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gi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documenttasks/documenttask1.xml" ContentType="application/vnd.ms-excel.documenttask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drawings/drawing5.xml" ContentType="application/vnd.openxmlformats-officedocument.drawing+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drawings/drawing6.xml" ContentType="application/vnd.openxmlformats-officedocument.drawing+xml"/>
  <Override PartName="/xl/comments13.xml" ContentType="application/vnd.openxmlformats-officedocument.spreadsheetml.comments+xml"/>
  <Override PartName="/xl/threadedComments/threadedComment12.xml" ContentType="application/vnd.ms-excel.threadedcomments+xml"/>
  <Override PartName="/xl/drawings/drawing7.xml" ContentType="application/vnd.openxmlformats-officedocument.drawing+xml"/>
  <Override PartName="/xl/comments14.xml" ContentType="application/vnd.openxmlformats-officedocument.spreadsheetml.comments+xml"/>
  <Override PartName="/xl/threadedComments/threadedComment13.xml" ContentType="application/vnd.ms-excel.threadedcomments+xml"/>
  <Override PartName="/xl/comments15.xml" ContentType="application/vnd.openxmlformats-officedocument.spreadsheetml.comments+xml"/>
  <Override PartName="/xl/threadedComments/threadedComment14.xml" ContentType="application/vnd.ms-excel.threadedcomments+xml"/>
  <Override PartName="/xl/comments16.xml" ContentType="application/vnd.openxmlformats-officedocument.spreadsheetml.comments+xml"/>
  <Override PartName="/xl/threadedComments/threadedComment15.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defaultThemeVersion="166925"/>
  <mc:AlternateContent xmlns:mc="http://schemas.openxmlformats.org/markup-compatibility/2006">
    <mc:Choice Requires="x15">
      <x15ac:absPath xmlns:x15ac="http://schemas.microsoft.com/office/spreadsheetml/2010/11/ac" url="C:\Users\distributedgeneratio\Desktop\"/>
    </mc:Choice>
  </mc:AlternateContent>
  <xr:revisionPtr revIDLastSave="0" documentId="13_ncr:1_{90F7319A-F68A-4AFC-B9CD-301365A63DA5}" xr6:coauthVersionLast="47" xr6:coauthVersionMax="47" xr10:uidLastSave="{00000000-0000-0000-0000-000000000000}"/>
  <bookViews>
    <workbookView xWindow="-120" yWindow="-120" windowWidth="29040" windowHeight="15720" tabRatio="901" firstSheet="9" activeTab="9" xr2:uid="{6E840C01-3E18-41C7-BF91-3B016FA59610}"/>
  </bookViews>
  <sheets>
    <sheet name="Batch1 calculation" sheetId="26" state="hidden" r:id="rId1"/>
    <sheet name="Week news" sheetId="24" state="hidden" r:id="rId2"/>
    <sheet name="ref.Phase 1 (2)" sheetId="32" state="hidden" r:id="rId3"/>
    <sheet name="관련 현황" sheetId="44" state="hidden" r:id="rId4"/>
    <sheet name="Summary" sheetId="55" state="hidden" r:id="rId5"/>
    <sheet name="DEVEX Payment Status" sheetId="59" state="hidden" r:id="rId6"/>
    <sheet name="Amount to be paid in 2025(1004)" sheetId="52" state="hidden" r:id="rId7"/>
    <sheet name="Amount to be paid_POSN2HO" sheetId="58" state="hidden" r:id="rId8"/>
    <sheet name="Amount to be paid in 2025(Total" sheetId="57" state="hidden" r:id="rId9"/>
    <sheet name="INPUTSHEET(Batch2)" sheetId="62" r:id="rId10"/>
    <sheet name="Input 기초" sheetId="63" r:id="rId11"/>
    <sheet name="Amount to be paid_GM_Batch1" sheetId="54" state="hidden" r:id="rId12"/>
    <sheet name="SPV별 CAPEX 현황" sheetId="60" state="hidden" r:id="rId13"/>
    <sheet name="DEVEX 지급현황" sheetId="61" state="hidden" r:id="rId14"/>
    <sheet name="GM Batch1" sheetId="46" state="hidden" r:id="rId15"/>
    <sheet name="GM Batch2-APA" sheetId="47" state="hidden" r:id="rId16"/>
    <sheet name="GM Batch2-SPA" sheetId="48" state="hidden" r:id="rId17"/>
    <sheet name="DG M&amp;A-SPA_POSN" sheetId="53" state="hidden" r:id="rId18"/>
    <sheet name="PAYMENT RATIO_RAW" sheetId="37" state="hidden" r:id="rId19"/>
    <sheet name="GM Batch2-brokerage" sheetId="50" state="hidden" r:id="rId20"/>
    <sheet name="Sheet4" sheetId="56" state="hidden" r:id="rId21"/>
    <sheet name="Payment plan+comment" sheetId="51" state="hidden" r:id="rId22"/>
    <sheet name="DG-PV Organic" sheetId="14" state="hidden" r:id="rId23"/>
    <sheet name="GM payment(재작성 중)" sheetId="36" state="hidden" r:id="rId24"/>
    <sheet name="SPVs Status 3" sheetId="30" state="hidden" r:id="rId25"/>
    <sheet name="ref.지급기준 (2)" sheetId="31" state="hidden" r:id="rId26"/>
    <sheet name="Solar M&amp;A" sheetId="1" state="hidden" r:id="rId27"/>
    <sheet name="Sheet1" sheetId="22" state="hidden" r:id="rId28"/>
    <sheet name="Rationales_Solar M&amp;A" sheetId="16" state="hidden" r:id="rId29"/>
    <sheet name="Solar Organic" sheetId="12" state="hidden" r:id="rId30"/>
    <sheet name="DG-PV M&amp;A" sheetId="15" state="hidden" r:id="rId31"/>
    <sheet name="Rationales_DG-PV Organic" sheetId="20" state="hidden" r:id="rId32"/>
    <sheet name="DG정리" sheetId="33" state="hidden" r:id="rId33"/>
    <sheet name="Quarterly BD Projection" sheetId="35" state="hidden" r:id="rId34"/>
    <sheet name="Wind" sheetId="6" state="hidden" r:id="rId35"/>
    <sheet name="Rationales_Wind" sheetId="21" state="hidden" r:id="rId36"/>
    <sheet name="Down PJ" sheetId="17" state="hidden" r:id="rId37"/>
    <sheet name="Back up" sheetId="8" state="hidden" r:id="rId38"/>
    <sheet name="Pivot" sheetId="3"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s>
  <definedNames>
    <definedName name="_xlnm._FilterDatabase" localSheetId="17" hidden="1">'DG M&amp;A-SPA_POSN'!$A$10:$CD$10</definedName>
    <definedName name="_xlnm._FilterDatabase" localSheetId="30" hidden="1">'DG-PV M&amp;A'!$A$2:$BB$21</definedName>
    <definedName name="_xlnm._FilterDatabase" localSheetId="22" hidden="1">'DG-PV Organic'!$A$2:$AD$37</definedName>
    <definedName name="_xlnm._FilterDatabase" localSheetId="36" hidden="1">'Down PJ'!$A$2:$BB$8</definedName>
    <definedName name="_xlnm._FilterDatabase" localSheetId="14" hidden="1">'GM Batch1'!$A$10:$CD$10</definedName>
    <definedName name="_xlnm._FilterDatabase" localSheetId="15" hidden="1">'GM Batch2-APA'!$A$10:$CD$10</definedName>
    <definedName name="_xlnm._FilterDatabase" localSheetId="19" hidden="1">'GM Batch2-brokerage'!$A$10:$I$10</definedName>
    <definedName name="_xlnm._FilterDatabase" localSheetId="16" hidden="1">'GM Batch2-SPA'!$A$10:$CD$10</definedName>
    <definedName name="_xlnm._FilterDatabase" localSheetId="23" hidden="1">'GM payment(재작성 중)'!$A$4:$BO$4</definedName>
    <definedName name="_xlnm._FilterDatabase" localSheetId="33" hidden="1">'Quarterly BD Projection'!$B$4:$S$137</definedName>
    <definedName name="_xlnm._FilterDatabase" localSheetId="31" hidden="1">'Rationales_DG-PV Organic'!$A$2:$F$2</definedName>
    <definedName name="_xlnm._FilterDatabase" localSheetId="28" hidden="1">'Rationales_Solar M&amp;A'!$A$2:$BD$13</definedName>
    <definedName name="_xlnm._FilterDatabase" localSheetId="35" hidden="1">Rationales_Wind!$A$2:$F$8</definedName>
    <definedName name="_xlnm._FilterDatabase" localSheetId="26" hidden="1">'Solar M&amp;A'!$A$2:$AY$29</definedName>
    <definedName name="_xlnm._FilterDatabase" localSheetId="29" hidden="1">'Solar Organic'!$A$2:$BB$8</definedName>
    <definedName name="_xlnm._FilterDatabase" localSheetId="24" hidden="1">'SPVs Status 3'!$A$4:$BP$4</definedName>
    <definedName name="_xlnm._FilterDatabase" localSheetId="34" hidden="1">Wind!$A$2:$AP$2</definedName>
    <definedName name="_xlnm.Print_Area" localSheetId="17">'DG M&amp;A-SPA_POSN'!$A$1:$BY$39</definedName>
    <definedName name="_xlnm.Print_Area" localSheetId="14">'GM Batch1'!$A$1:$BY$63</definedName>
    <definedName name="_xlnm.Print_Area" localSheetId="15">'GM Batch2-APA'!$A$1:$BY$51</definedName>
    <definedName name="_xlnm.Print_Area" localSheetId="19">'GM Batch2-brokerage'!$A$1:$I$17</definedName>
    <definedName name="_xlnm.Print_Area" localSheetId="16">'GM Batch2-SPA'!$A$1:$BY$39</definedName>
    <definedName name="_xlnm.Print_Area" localSheetId="23">'GM payment(재작성 중)'!$A$1:$BB$74</definedName>
    <definedName name="_xlnm.Print_Area" localSheetId="33">'Quarterly BD Projection'!$A$1:$AA$79</definedName>
    <definedName name="_xlnm.Print_Area" localSheetId="26">'Solar M&amp;A'!$A$1:$S$57</definedName>
    <definedName name="_xlnm.Print_Area" localSheetId="24">'SPVs Status 3'!$A$1:$BC$159</definedName>
  </definedNames>
  <calcPr calcId="191028"/>
  <pivotCaches>
    <pivotCache cacheId="3" r:id="rId4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0" i="62" l="1"/>
  <c r="M270" i="62"/>
  <c r="L270" i="62"/>
  <c r="K270" i="62"/>
  <c r="E270" i="62" l="1"/>
  <c r="N163" i="62"/>
  <c r="M163" i="62"/>
  <c r="L163" i="62"/>
  <c r="K163" i="62"/>
  <c r="J163" i="62"/>
  <c r="I163" i="62"/>
  <c r="H163" i="62"/>
  <c r="G163" i="62"/>
  <c r="F163" i="62"/>
  <c r="E163" i="62"/>
  <c r="O28" i="63"/>
  <c r="N28" i="63"/>
  <c r="M28" i="63"/>
  <c r="L28" i="63"/>
  <c r="K28" i="63"/>
  <c r="J28" i="63"/>
  <c r="I28" i="63"/>
  <c r="H28" i="63"/>
  <c r="G28" i="63"/>
  <c r="O34" i="63"/>
  <c r="N34" i="63"/>
  <c r="M34" i="63"/>
  <c r="L34" i="63"/>
  <c r="K34" i="63"/>
  <c r="J34" i="63"/>
  <c r="I34" i="63"/>
  <c r="H34" i="63"/>
  <c r="G34" i="63"/>
  <c r="F34" i="63"/>
  <c r="F28" i="63"/>
  <c r="O35" i="63"/>
  <c r="N35" i="63"/>
  <c r="M35" i="63"/>
  <c r="L35" i="63"/>
  <c r="K35" i="63"/>
  <c r="J35" i="63"/>
  <c r="I35" i="63"/>
  <c r="H35" i="63"/>
  <c r="G35" i="63"/>
  <c r="F35" i="63"/>
  <c r="N268" i="62"/>
  <c r="M268" i="62"/>
  <c r="L268" i="62"/>
  <c r="K268" i="62"/>
  <c r="J268" i="62"/>
  <c r="I268" i="62"/>
  <c r="H268" i="62"/>
  <c r="G268" i="62"/>
  <c r="F268" i="62"/>
  <c r="E268" i="62"/>
  <c r="O40" i="63"/>
  <c r="N40" i="63"/>
  <c r="M40" i="63"/>
  <c r="L40" i="63"/>
  <c r="K40" i="63"/>
  <c r="J40" i="63"/>
  <c r="I40" i="63"/>
  <c r="H40" i="63"/>
  <c r="G40" i="63"/>
  <c r="F40" i="63"/>
  <c r="F19" i="62"/>
  <c r="F270" i="62" s="1"/>
  <c r="G19" i="62"/>
  <c r="G270" i="62" s="1"/>
  <c r="H19" i="62"/>
  <c r="H270" i="62" s="1"/>
  <c r="I19" i="62"/>
  <c r="I270" i="62" s="1"/>
  <c r="J19" i="62"/>
  <c r="J270" i="62" s="1"/>
  <c r="K19" i="62"/>
  <c r="L19" i="62"/>
  <c r="M19" i="62"/>
  <c r="N19" i="62"/>
  <c r="E19" i="62"/>
  <c r="E65" i="62" s="1"/>
  <c r="K18" i="62"/>
  <c r="L18" i="62"/>
  <c r="M18" i="62"/>
  <c r="N18" i="62"/>
  <c r="F18" i="62"/>
  <c r="G18" i="62"/>
  <c r="H18" i="62"/>
  <c r="I18" i="62"/>
  <c r="J18" i="62"/>
  <c r="E18" i="62"/>
  <c r="E63" i="62" s="1"/>
  <c r="J236" i="62" l="1"/>
  <c r="I236" i="62"/>
  <c r="H236" i="62"/>
  <c r="G236" i="62"/>
  <c r="F236" i="62"/>
  <c r="E236" i="62"/>
  <c r="E219" i="62"/>
  <c r="K38" i="63"/>
  <c r="J38" i="63"/>
  <c r="I38" i="63"/>
  <c r="H38" i="63"/>
  <c r="G38" i="63"/>
  <c r="F38" i="63"/>
  <c r="N10" i="62"/>
  <c r="M10" i="62"/>
  <c r="L10" i="62"/>
  <c r="K10" i="62"/>
  <c r="J10" i="62"/>
  <c r="I10" i="62"/>
  <c r="H10" i="62"/>
  <c r="G10" i="62"/>
  <c r="F10" i="62"/>
  <c r="E10" i="62"/>
  <c r="O36" i="63" l="1"/>
  <c r="N36" i="63"/>
  <c r="M36" i="63"/>
  <c r="L36" i="63"/>
  <c r="P24" i="61"/>
  <c r="P25" i="61"/>
  <c r="P23" i="61"/>
  <c r="P22" i="61"/>
  <c r="P21" i="61"/>
  <c r="N20" i="61"/>
  <c r="E32" i="63"/>
  <c r="O19" i="63"/>
  <c r="N24" i="62" s="1"/>
  <c r="N19" i="63"/>
  <c r="M24" i="62" s="1"/>
  <c r="M19" i="63"/>
  <c r="L19" i="63"/>
  <c r="K24" i="62" s="1"/>
  <c r="K19" i="63"/>
  <c r="J19" i="63"/>
  <c r="I219" i="62" s="1"/>
  <c r="I19" i="63"/>
  <c r="H219" i="62" s="1"/>
  <c r="H19" i="63"/>
  <c r="G219" i="62" s="1"/>
  <c r="L219" i="62" l="1"/>
  <c r="J24" i="62"/>
  <c r="J219" i="62"/>
  <c r="H30" i="63"/>
  <c r="G165" i="62" s="1"/>
  <c r="K219" i="62"/>
  <c r="N32" i="63"/>
  <c r="M201" i="62" s="1"/>
  <c r="M219" i="62"/>
  <c r="N31" i="63"/>
  <c r="M183" i="62" s="1"/>
  <c r="N219" i="62"/>
  <c r="M32" i="63"/>
  <c r="L201" i="62" s="1"/>
  <c r="L24" i="62"/>
  <c r="H31" i="63"/>
  <c r="G183" i="62" s="1"/>
  <c r="G24" i="62"/>
  <c r="I31" i="63"/>
  <c r="H183" i="62" s="1"/>
  <c r="H24" i="62"/>
  <c r="J32" i="63"/>
  <c r="I201" i="62" s="1"/>
  <c r="I24" i="62"/>
  <c r="K32" i="63"/>
  <c r="J201" i="62" s="1"/>
  <c r="J30" i="63"/>
  <c r="I165" i="62" s="1"/>
  <c r="K30" i="63"/>
  <c r="J165" i="62" s="1"/>
  <c r="I30" i="63"/>
  <c r="H165" i="62" s="1"/>
  <c r="K31" i="63"/>
  <c r="J183" i="62" s="1"/>
  <c r="N30" i="63"/>
  <c r="M165" i="62" s="1"/>
  <c r="J31" i="63"/>
  <c r="I183" i="62" s="1"/>
  <c r="L31" i="63"/>
  <c r="K183" i="62" s="1"/>
  <c r="I32" i="63"/>
  <c r="H201" i="62" s="1"/>
  <c r="M31" i="63"/>
  <c r="L183" i="62" s="1"/>
  <c r="O31" i="63"/>
  <c r="N183" i="62" s="1"/>
  <c r="H32" i="63"/>
  <c r="G201" i="62" s="1"/>
  <c r="L30" i="63"/>
  <c r="K165" i="62" s="1"/>
  <c r="L32" i="63"/>
  <c r="K201" i="62" s="1"/>
  <c r="M30" i="63"/>
  <c r="L165" i="62" s="1"/>
  <c r="O30" i="63"/>
  <c r="N165" i="62" s="1"/>
  <c r="O32" i="63"/>
  <c r="N201" i="62" s="1"/>
  <c r="O18" i="63" l="1"/>
  <c r="N18" i="63"/>
  <c r="M18" i="63"/>
  <c r="L18" i="63"/>
  <c r="K18" i="63"/>
  <c r="J18" i="63"/>
  <c r="I18" i="63"/>
  <c r="H18" i="63"/>
  <c r="G19" i="63"/>
  <c r="F19" i="63"/>
  <c r="F18" i="63"/>
  <c r="G18" i="63"/>
  <c r="O27" i="63"/>
  <c r="N27" i="63"/>
  <c r="M27" i="63"/>
  <c r="L27" i="63"/>
  <c r="K27" i="63"/>
  <c r="J27" i="63"/>
  <c r="I27" i="63"/>
  <c r="H27" i="63"/>
  <c r="O26" i="63"/>
  <c r="N152" i="62" s="1"/>
  <c r="N26" i="63"/>
  <c r="M152" i="62" s="1"/>
  <c r="M26" i="63"/>
  <c r="L152" i="62" s="1"/>
  <c r="L26" i="63"/>
  <c r="K152" i="62" s="1"/>
  <c r="K26" i="63"/>
  <c r="J152" i="62" s="1"/>
  <c r="J26" i="63"/>
  <c r="I152" i="62" s="1"/>
  <c r="I26" i="63"/>
  <c r="H152" i="62" s="1"/>
  <c r="H26" i="63"/>
  <c r="G152" i="62" s="1"/>
  <c r="O25" i="63"/>
  <c r="N106" i="62" s="1"/>
  <c r="N25" i="63"/>
  <c r="M106" i="62" s="1"/>
  <c r="M25" i="63"/>
  <c r="L106" i="62" s="1"/>
  <c r="L25" i="63"/>
  <c r="K106" i="62" s="1"/>
  <c r="K25" i="63"/>
  <c r="J106" i="62" s="1"/>
  <c r="J25" i="63"/>
  <c r="I106" i="62" s="1"/>
  <c r="I25" i="63"/>
  <c r="H106" i="62" s="1"/>
  <c r="H25" i="63"/>
  <c r="G106" i="62" s="1"/>
  <c r="O24" i="63"/>
  <c r="N88" i="62" s="1"/>
  <c r="N24" i="63"/>
  <c r="M88" i="62" s="1"/>
  <c r="M24" i="63"/>
  <c r="L88" i="62" s="1"/>
  <c r="L24" i="63"/>
  <c r="K88" i="62" s="1"/>
  <c r="K24" i="63"/>
  <c r="J88" i="62" s="1"/>
  <c r="J24" i="63"/>
  <c r="I88" i="62" s="1"/>
  <c r="I24" i="63"/>
  <c r="H88" i="62" s="1"/>
  <c r="H24" i="63"/>
  <c r="G88" i="62" s="1"/>
  <c r="G24" i="63"/>
  <c r="F88" i="62" s="1"/>
  <c r="O23" i="63"/>
  <c r="N70" i="62" s="1"/>
  <c r="N23" i="63"/>
  <c r="M70" i="62" s="1"/>
  <c r="M23" i="63"/>
  <c r="L70" i="62" s="1"/>
  <c r="L23" i="63"/>
  <c r="K70" i="62" s="1"/>
  <c r="K23" i="63"/>
  <c r="J70" i="62" s="1"/>
  <c r="J23" i="63"/>
  <c r="I70" i="62" s="1"/>
  <c r="I23" i="63"/>
  <c r="H70" i="62" s="1"/>
  <c r="H23" i="63"/>
  <c r="G70" i="62" s="1"/>
  <c r="G23" i="63"/>
  <c r="F70" i="62" s="1"/>
  <c r="O22" i="63"/>
  <c r="N61" i="62" s="1"/>
  <c r="N22" i="63"/>
  <c r="M61" i="62" s="1"/>
  <c r="M22" i="63"/>
  <c r="L61" i="62" s="1"/>
  <c r="L22" i="63"/>
  <c r="K61" i="62" s="1"/>
  <c r="K22" i="63"/>
  <c r="J61" i="62" s="1"/>
  <c r="J22" i="63"/>
  <c r="I61" i="62" s="1"/>
  <c r="I22" i="63"/>
  <c r="H61" i="62" s="1"/>
  <c r="H22" i="63"/>
  <c r="G61" i="62" s="1"/>
  <c r="G22" i="63"/>
  <c r="F61" i="62" s="1"/>
  <c r="Q19" i="63"/>
  <c r="Q43" i="63" s="1"/>
  <c r="P19" i="63"/>
  <c r="P43" i="63" s="1"/>
  <c r="Q18" i="63"/>
  <c r="P18" i="63"/>
  <c r="L216" i="62"/>
  <c r="B43" i="63"/>
  <c r="B32" i="63"/>
  <c r="B31" i="63"/>
  <c r="B30" i="63"/>
  <c r="K43" i="63"/>
  <c r="H43" i="63"/>
  <c r="E15" i="63"/>
  <c r="L7" i="63"/>
  <c r="L6" i="63"/>
  <c r="I6" i="63"/>
  <c r="K5" i="63"/>
  <c r="L5" i="63" s="1"/>
  <c r="I5" i="63"/>
  <c r="E3" i="63"/>
  <c r="F4" i="63" s="1"/>
  <c r="W327" i="62"/>
  <c r="V327" i="62"/>
  <c r="U327" i="62"/>
  <c r="T327" i="62"/>
  <c r="S327" i="62"/>
  <c r="R327" i="62"/>
  <c r="O327" i="62"/>
  <c r="N327" i="62"/>
  <c r="M327" i="62"/>
  <c r="L327" i="62"/>
  <c r="K327" i="62"/>
  <c r="J327" i="62"/>
  <c r="I327" i="62"/>
  <c r="H327" i="62"/>
  <c r="G327" i="62"/>
  <c r="F327" i="62"/>
  <c r="E327" i="62"/>
  <c r="W326" i="62"/>
  <c r="V326" i="62"/>
  <c r="U326" i="62"/>
  <c r="T326" i="62"/>
  <c r="S326" i="62"/>
  <c r="R326" i="62"/>
  <c r="O326" i="62"/>
  <c r="N326" i="62"/>
  <c r="M326" i="62"/>
  <c r="L326" i="62"/>
  <c r="K326" i="62"/>
  <c r="J326" i="62"/>
  <c r="I326" i="62"/>
  <c r="H326" i="62"/>
  <c r="G326" i="62"/>
  <c r="F326" i="62"/>
  <c r="E326" i="62"/>
  <c r="W325" i="62"/>
  <c r="V325" i="62"/>
  <c r="U325" i="62"/>
  <c r="T325" i="62"/>
  <c r="S325" i="62"/>
  <c r="R325" i="62"/>
  <c r="O325" i="62"/>
  <c r="N325" i="62"/>
  <c r="M325" i="62"/>
  <c r="L325" i="62"/>
  <c r="K325" i="62"/>
  <c r="J325" i="62"/>
  <c r="I325" i="62"/>
  <c r="H325" i="62"/>
  <c r="G325" i="62"/>
  <c r="F325" i="62"/>
  <c r="E325" i="62"/>
  <c r="W324" i="62"/>
  <c r="V324" i="62"/>
  <c r="U324" i="62"/>
  <c r="T324" i="62"/>
  <c r="S324" i="62"/>
  <c r="R324" i="62"/>
  <c r="O324" i="62"/>
  <c r="N324" i="62"/>
  <c r="M324" i="62"/>
  <c r="L324" i="62"/>
  <c r="K324" i="62"/>
  <c r="J324" i="62"/>
  <c r="I324" i="62"/>
  <c r="H324" i="62"/>
  <c r="G324" i="62"/>
  <c r="F324" i="62"/>
  <c r="E324" i="62"/>
  <c r="W323" i="62"/>
  <c r="V323" i="62"/>
  <c r="U323" i="62"/>
  <c r="T323" i="62"/>
  <c r="S323" i="62"/>
  <c r="R323" i="62"/>
  <c r="O323" i="62"/>
  <c r="N323" i="62"/>
  <c r="M323" i="62"/>
  <c r="L323" i="62"/>
  <c r="K323" i="62"/>
  <c r="J323" i="62"/>
  <c r="I323" i="62"/>
  <c r="H323" i="62"/>
  <c r="G323" i="62"/>
  <c r="F323" i="62"/>
  <c r="E323" i="62"/>
  <c r="W322" i="62"/>
  <c r="V322" i="62"/>
  <c r="U322" i="62"/>
  <c r="T322" i="62"/>
  <c r="S322" i="62"/>
  <c r="R322" i="62"/>
  <c r="O322" i="62"/>
  <c r="N322" i="62"/>
  <c r="M322" i="62"/>
  <c r="L322" i="62"/>
  <c r="K322" i="62"/>
  <c r="J322" i="62"/>
  <c r="I322" i="62"/>
  <c r="H322" i="62"/>
  <c r="G322" i="62"/>
  <c r="F322" i="62"/>
  <c r="E322" i="62"/>
  <c r="W321" i="62"/>
  <c r="V321" i="62"/>
  <c r="U321" i="62"/>
  <c r="T321" i="62"/>
  <c r="S321" i="62"/>
  <c r="R321" i="62"/>
  <c r="O321" i="62"/>
  <c r="N321" i="62"/>
  <c r="M321" i="62"/>
  <c r="L321" i="62"/>
  <c r="K321" i="62"/>
  <c r="J321" i="62"/>
  <c r="I321" i="62"/>
  <c r="H321" i="62"/>
  <c r="G321" i="62"/>
  <c r="F321" i="62"/>
  <c r="E321" i="62"/>
  <c r="W320" i="62"/>
  <c r="V320" i="62"/>
  <c r="U320" i="62"/>
  <c r="T320" i="62"/>
  <c r="S320" i="62"/>
  <c r="R320" i="62"/>
  <c r="O320" i="62"/>
  <c r="N320" i="62"/>
  <c r="M320" i="62"/>
  <c r="L320" i="62"/>
  <c r="K320" i="62"/>
  <c r="J320" i="62"/>
  <c r="I320" i="62"/>
  <c r="H320" i="62"/>
  <c r="G320" i="62"/>
  <c r="F320" i="62"/>
  <c r="E320" i="62"/>
  <c r="W319" i="62"/>
  <c r="V319" i="62"/>
  <c r="U319" i="62"/>
  <c r="T319" i="62"/>
  <c r="S319" i="62"/>
  <c r="R319" i="62"/>
  <c r="O319" i="62"/>
  <c r="N319" i="62"/>
  <c r="M319" i="62"/>
  <c r="L319" i="62"/>
  <c r="K319" i="62"/>
  <c r="J319" i="62"/>
  <c r="I319" i="62"/>
  <c r="H319" i="62"/>
  <c r="G319" i="62"/>
  <c r="F319" i="62"/>
  <c r="E319" i="62"/>
  <c r="W318" i="62"/>
  <c r="V318" i="62"/>
  <c r="U318" i="62"/>
  <c r="T318" i="62"/>
  <c r="S318" i="62"/>
  <c r="R318" i="62"/>
  <c r="O318" i="62"/>
  <c r="N318" i="62"/>
  <c r="M318" i="62"/>
  <c r="L318" i="62"/>
  <c r="K318" i="62"/>
  <c r="J318" i="62"/>
  <c r="I318" i="62"/>
  <c r="H318" i="62"/>
  <c r="G318" i="62"/>
  <c r="F318" i="62"/>
  <c r="E318" i="62"/>
  <c r="W317" i="62"/>
  <c r="V317" i="62"/>
  <c r="U317" i="62"/>
  <c r="T317" i="62"/>
  <c r="S317" i="62"/>
  <c r="R317" i="62"/>
  <c r="O317" i="62"/>
  <c r="N317" i="62"/>
  <c r="M317" i="62"/>
  <c r="L317" i="62"/>
  <c r="K317" i="62"/>
  <c r="J317" i="62"/>
  <c r="I317" i="62"/>
  <c r="H317" i="62"/>
  <c r="G317" i="62"/>
  <c r="F317" i="62"/>
  <c r="E317" i="62"/>
  <c r="W316" i="62"/>
  <c r="V316" i="62"/>
  <c r="U316" i="62"/>
  <c r="T316" i="62"/>
  <c r="S316" i="62"/>
  <c r="R316" i="62"/>
  <c r="O316" i="62"/>
  <c r="N316" i="62"/>
  <c r="M316" i="62"/>
  <c r="L316" i="62"/>
  <c r="K316" i="62"/>
  <c r="J316" i="62"/>
  <c r="I316" i="62"/>
  <c r="H316" i="62"/>
  <c r="G316" i="62"/>
  <c r="F316" i="62"/>
  <c r="E316" i="62"/>
  <c r="W315" i="62"/>
  <c r="V315" i="62"/>
  <c r="U315" i="62"/>
  <c r="T315" i="62"/>
  <c r="S315" i="62"/>
  <c r="R315" i="62"/>
  <c r="O315" i="62"/>
  <c r="N315" i="62"/>
  <c r="M315" i="62"/>
  <c r="L315" i="62"/>
  <c r="K315" i="62"/>
  <c r="J315" i="62"/>
  <c r="I315" i="62"/>
  <c r="H315" i="62"/>
  <c r="G315" i="62"/>
  <c r="F315" i="62"/>
  <c r="E315" i="62"/>
  <c r="W314" i="62"/>
  <c r="V314" i="62"/>
  <c r="U314" i="62"/>
  <c r="T314" i="62"/>
  <c r="S314" i="62"/>
  <c r="R314" i="62"/>
  <c r="O314" i="62"/>
  <c r="N314" i="62"/>
  <c r="M314" i="62"/>
  <c r="L314" i="62"/>
  <c r="K314" i="62"/>
  <c r="J314" i="62"/>
  <c r="I314" i="62"/>
  <c r="H314" i="62"/>
  <c r="G314" i="62"/>
  <c r="F314" i="62"/>
  <c r="E314" i="62"/>
  <c r="W313" i="62"/>
  <c r="V313" i="62"/>
  <c r="U313" i="62"/>
  <c r="T313" i="62"/>
  <c r="S313" i="62"/>
  <c r="R313" i="62"/>
  <c r="O313" i="62"/>
  <c r="N313" i="62"/>
  <c r="M313" i="62"/>
  <c r="L313" i="62"/>
  <c r="K313" i="62"/>
  <c r="J313" i="62"/>
  <c r="I313" i="62"/>
  <c r="H313" i="62"/>
  <c r="G313" i="62"/>
  <c r="F313" i="62"/>
  <c r="E313" i="62"/>
  <c r="W312" i="62"/>
  <c r="V312" i="62"/>
  <c r="U312" i="62"/>
  <c r="T312" i="62"/>
  <c r="S312" i="62"/>
  <c r="R312" i="62"/>
  <c r="O312" i="62"/>
  <c r="N312" i="62"/>
  <c r="M312" i="62"/>
  <c r="L312" i="62"/>
  <c r="K312" i="62"/>
  <c r="J312" i="62"/>
  <c r="I312" i="62"/>
  <c r="H312" i="62"/>
  <c r="G312" i="62"/>
  <c r="F312" i="62"/>
  <c r="E312" i="62"/>
  <c r="W311" i="62"/>
  <c r="V311" i="62"/>
  <c r="U311" i="62"/>
  <c r="T311" i="62"/>
  <c r="S311" i="62"/>
  <c r="R311" i="62"/>
  <c r="O311" i="62"/>
  <c r="N311" i="62"/>
  <c r="M311" i="62"/>
  <c r="L311" i="62"/>
  <c r="K311" i="62"/>
  <c r="J311" i="62"/>
  <c r="I311" i="62"/>
  <c r="H311" i="62"/>
  <c r="G311" i="62"/>
  <c r="F311" i="62"/>
  <c r="E311" i="62"/>
  <c r="W310" i="62"/>
  <c r="V310" i="62"/>
  <c r="U310" i="62"/>
  <c r="T310" i="62"/>
  <c r="S310" i="62"/>
  <c r="R310" i="62"/>
  <c r="O310" i="62"/>
  <c r="N310" i="62"/>
  <c r="M310" i="62"/>
  <c r="L310" i="62"/>
  <c r="K310" i="62"/>
  <c r="J310" i="62"/>
  <c r="I310" i="62"/>
  <c r="H310" i="62"/>
  <c r="G310" i="62"/>
  <c r="F310" i="62"/>
  <c r="E310" i="62"/>
  <c r="W309" i="62"/>
  <c r="V309" i="62"/>
  <c r="U309" i="62"/>
  <c r="T309" i="62"/>
  <c r="S309" i="62"/>
  <c r="R309" i="62"/>
  <c r="O309" i="62"/>
  <c r="N309" i="62"/>
  <c r="M309" i="62"/>
  <c r="L309" i="62"/>
  <c r="K309" i="62"/>
  <c r="J309" i="62"/>
  <c r="I309" i="62"/>
  <c r="H309" i="62"/>
  <c r="G309" i="62"/>
  <c r="F309" i="62"/>
  <c r="E309" i="62"/>
  <c r="W308" i="62"/>
  <c r="V308" i="62"/>
  <c r="U308" i="62"/>
  <c r="T308" i="62"/>
  <c r="S308" i="62"/>
  <c r="R308" i="62"/>
  <c r="O308" i="62"/>
  <c r="N308" i="62"/>
  <c r="M308" i="62"/>
  <c r="L308" i="62"/>
  <c r="K308" i="62"/>
  <c r="J308" i="62"/>
  <c r="I308" i="62"/>
  <c r="H308" i="62"/>
  <c r="G308" i="62"/>
  <c r="F308" i="62"/>
  <c r="E308" i="62"/>
  <c r="W307" i="62"/>
  <c r="V307" i="62"/>
  <c r="U307" i="62"/>
  <c r="T307" i="62"/>
  <c r="S307" i="62"/>
  <c r="R307" i="62"/>
  <c r="O307" i="62"/>
  <c r="N307" i="62"/>
  <c r="M307" i="62"/>
  <c r="L307" i="62"/>
  <c r="K307" i="62"/>
  <c r="J307" i="62"/>
  <c r="I307" i="62"/>
  <c r="H307" i="62"/>
  <c r="G307" i="62"/>
  <c r="F307" i="62"/>
  <c r="E307" i="62"/>
  <c r="W306" i="62"/>
  <c r="V306" i="62"/>
  <c r="U306" i="62"/>
  <c r="T306" i="62"/>
  <c r="S306" i="62"/>
  <c r="R306" i="62"/>
  <c r="O306" i="62"/>
  <c r="N306" i="62"/>
  <c r="M306" i="62"/>
  <c r="L306" i="62"/>
  <c r="K306" i="62"/>
  <c r="J306" i="62"/>
  <c r="I306" i="62"/>
  <c r="H306" i="62"/>
  <c r="G306" i="62"/>
  <c r="F306" i="62"/>
  <c r="E306" i="62"/>
  <c r="W305" i="62"/>
  <c r="V305" i="62"/>
  <c r="U305" i="62"/>
  <c r="T305" i="62"/>
  <c r="S305" i="62"/>
  <c r="R305" i="62"/>
  <c r="O305" i="62"/>
  <c r="N305" i="62"/>
  <c r="M305" i="62"/>
  <c r="L305" i="62"/>
  <c r="K305" i="62"/>
  <c r="J305" i="62"/>
  <c r="I305" i="62"/>
  <c r="H305" i="62"/>
  <c r="G305" i="62"/>
  <c r="F305" i="62"/>
  <c r="E305" i="62"/>
  <c r="D305" i="62"/>
  <c r="D306" i="62" s="1"/>
  <c r="D307" i="62" s="1"/>
  <c r="D308" i="62" s="1"/>
  <c r="D309" i="62" s="1"/>
  <c r="D310" i="62" s="1"/>
  <c r="D311" i="62" s="1"/>
  <c r="D312" i="62" s="1"/>
  <c r="D313" i="62" s="1"/>
  <c r="D314" i="62" s="1"/>
  <c r="D315" i="62" s="1"/>
  <c r="D316" i="62" s="1"/>
  <c r="D317" i="62" s="1"/>
  <c r="D318" i="62" s="1"/>
  <c r="D319" i="62" s="1"/>
  <c r="D320" i="62" s="1"/>
  <c r="D321" i="62" s="1"/>
  <c r="D322" i="62" s="1"/>
  <c r="D323" i="62" s="1"/>
  <c r="D324" i="62" s="1"/>
  <c r="D325" i="62" s="1"/>
  <c r="D326" i="62" s="1"/>
  <c r="D327" i="62" s="1"/>
  <c r="W304" i="62"/>
  <c r="V304" i="62"/>
  <c r="U304" i="62"/>
  <c r="T304" i="62"/>
  <c r="S304" i="62"/>
  <c r="R304" i="62"/>
  <c r="O304" i="62"/>
  <c r="N304" i="62"/>
  <c r="M304" i="62"/>
  <c r="L304" i="62"/>
  <c r="K304" i="62"/>
  <c r="J304" i="62"/>
  <c r="I304" i="62"/>
  <c r="H304" i="62"/>
  <c r="G304" i="62"/>
  <c r="F304" i="62"/>
  <c r="E304" i="62"/>
  <c r="W300" i="62"/>
  <c r="V300" i="62"/>
  <c r="U300" i="62"/>
  <c r="T300" i="62"/>
  <c r="S300" i="62"/>
  <c r="R300" i="62"/>
  <c r="O300" i="62"/>
  <c r="N300" i="62"/>
  <c r="M300" i="62"/>
  <c r="L300" i="62"/>
  <c r="K300" i="62"/>
  <c r="J300" i="62"/>
  <c r="I300" i="62"/>
  <c r="H300" i="62"/>
  <c r="G300" i="62"/>
  <c r="F300" i="62"/>
  <c r="E300" i="62"/>
  <c r="D273" i="62"/>
  <c r="D274" i="62" s="1"/>
  <c r="D275" i="62" s="1"/>
  <c r="D276" i="62" s="1"/>
  <c r="D277" i="62" s="1"/>
  <c r="D278" i="62" s="1"/>
  <c r="D279" i="62" s="1"/>
  <c r="D280" i="62" s="1"/>
  <c r="D281" i="62" s="1"/>
  <c r="D282" i="62" s="1"/>
  <c r="D283" i="62" s="1"/>
  <c r="D284" i="62" s="1"/>
  <c r="D285" i="62" s="1"/>
  <c r="D286" i="62" s="1"/>
  <c r="D287" i="62" s="1"/>
  <c r="D288" i="62" s="1"/>
  <c r="D289" i="62" s="1"/>
  <c r="D290" i="62" s="1"/>
  <c r="D291" i="62" s="1"/>
  <c r="D292" i="62" s="1"/>
  <c r="D293" i="62" s="1"/>
  <c r="D294" i="62" s="1"/>
  <c r="D295" i="62" s="1"/>
  <c r="W272" i="62"/>
  <c r="V272" i="62"/>
  <c r="U272" i="62"/>
  <c r="T272" i="62"/>
  <c r="S272" i="62"/>
  <c r="R272" i="62"/>
  <c r="M272" i="62"/>
  <c r="L272" i="62"/>
  <c r="K272" i="62"/>
  <c r="J272" i="62"/>
  <c r="I272" i="62"/>
  <c r="H272" i="62"/>
  <c r="G272" i="62"/>
  <c r="F272" i="62"/>
  <c r="E272" i="62"/>
  <c r="V268" i="62"/>
  <c r="U268" i="62"/>
  <c r="T268" i="62"/>
  <c r="S268" i="62"/>
  <c r="R268" i="62"/>
  <c r="D241" i="62"/>
  <c r="D242" i="62" s="1"/>
  <c r="D243" i="62" s="1"/>
  <c r="D244" i="62" s="1"/>
  <c r="D245" i="62" s="1"/>
  <c r="D246" i="62" s="1"/>
  <c r="D247" i="62" s="1"/>
  <c r="D248" i="62" s="1"/>
  <c r="D249" i="62" s="1"/>
  <c r="D250" i="62" s="1"/>
  <c r="D251" i="62" s="1"/>
  <c r="D252" i="62" s="1"/>
  <c r="D253" i="62" s="1"/>
  <c r="D254" i="62" s="1"/>
  <c r="D255" i="62" s="1"/>
  <c r="D256" i="62" s="1"/>
  <c r="D257" i="62" s="1"/>
  <c r="D258" i="62" s="1"/>
  <c r="D259" i="62" s="1"/>
  <c r="D260" i="62" s="1"/>
  <c r="D261" i="62" s="1"/>
  <c r="D262" i="62" s="1"/>
  <c r="D263" i="62" s="1"/>
  <c r="V232" i="62"/>
  <c r="U232" i="62"/>
  <c r="T232" i="62"/>
  <c r="S232" i="62"/>
  <c r="R232" i="62"/>
  <c r="I232" i="62"/>
  <c r="H232" i="62"/>
  <c r="G232" i="62"/>
  <c r="F232" i="62"/>
  <c r="E232" i="62"/>
  <c r="V230" i="62"/>
  <c r="U230" i="62"/>
  <c r="T230" i="62"/>
  <c r="S230" i="62"/>
  <c r="R230" i="62"/>
  <c r="V229" i="62"/>
  <c r="U229" i="62"/>
  <c r="T229" i="62"/>
  <c r="S229" i="62"/>
  <c r="R229" i="62"/>
  <c r="V227" i="62"/>
  <c r="U227" i="62"/>
  <c r="T227" i="62"/>
  <c r="S227" i="62"/>
  <c r="R227" i="62"/>
  <c r="I227" i="62"/>
  <c r="H227" i="62"/>
  <c r="G227" i="62"/>
  <c r="F227" i="62"/>
  <c r="E227" i="62"/>
  <c r="V224" i="62"/>
  <c r="U224" i="62"/>
  <c r="T224" i="62"/>
  <c r="S224" i="62"/>
  <c r="R224" i="62"/>
  <c r="I224" i="62"/>
  <c r="H224" i="62"/>
  <c r="G224" i="62"/>
  <c r="F224" i="62"/>
  <c r="E224" i="62"/>
  <c r="D224" i="62"/>
  <c r="D225" i="62" s="1"/>
  <c r="D226" i="62" s="1"/>
  <c r="D227" i="62" s="1"/>
  <c r="D228" i="62" s="1"/>
  <c r="D229" i="62" s="1"/>
  <c r="D230" i="62" s="1"/>
  <c r="D231" i="62" s="1"/>
  <c r="D232" i="62" s="1"/>
  <c r="W219" i="62"/>
  <c r="V219" i="62"/>
  <c r="V216" i="62" s="1"/>
  <c r="U219" i="62"/>
  <c r="U216" i="62" s="1"/>
  <c r="T219" i="62"/>
  <c r="T216" i="62" s="1"/>
  <c r="S219" i="62"/>
  <c r="R219" i="62"/>
  <c r="N216" i="62"/>
  <c r="O217" i="62"/>
  <c r="O216" i="62"/>
  <c r="V214" i="62"/>
  <c r="U214" i="62"/>
  <c r="T214" i="62"/>
  <c r="S214" i="62"/>
  <c r="R214" i="62"/>
  <c r="I214" i="62"/>
  <c r="H214" i="62"/>
  <c r="G214" i="62"/>
  <c r="F214" i="62"/>
  <c r="E214" i="62"/>
  <c r="V213" i="62"/>
  <c r="U213" i="62"/>
  <c r="T213" i="62"/>
  <c r="S213" i="62"/>
  <c r="R213" i="62"/>
  <c r="I213" i="62"/>
  <c r="H213" i="62"/>
  <c r="G213" i="62"/>
  <c r="F213" i="62"/>
  <c r="E213" i="62"/>
  <c r="V212" i="62"/>
  <c r="U212" i="62"/>
  <c r="T212" i="62"/>
  <c r="S212" i="62"/>
  <c r="R212" i="62"/>
  <c r="I212" i="62"/>
  <c r="H212" i="62"/>
  <c r="G212" i="62"/>
  <c r="F212" i="62"/>
  <c r="E212" i="62"/>
  <c r="V211" i="62"/>
  <c r="U211" i="62"/>
  <c r="T211" i="62"/>
  <c r="S211" i="62"/>
  <c r="R211" i="62"/>
  <c r="I211" i="62"/>
  <c r="H211" i="62"/>
  <c r="G211" i="62"/>
  <c r="F211" i="62"/>
  <c r="E211" i="62"/>
  <c r="V210" i="62"/>
  <c r="U210" i="62"/>
  <c r="T210" i="62"/>
  <c r="S210" i="62"/>
  <c r="R210" i="62"/>
  <c r="I210" i="62"/>
  <c r="H210" i="62"/>
  <c r="G210" i="62"/>
  <c r="F210" i="62"/>
  <c r="E210" i="62"/>
  <c r="V209" i="62"/>
  <c r="U209" i="62"/>
  <c r="T209" i="62"/>
  <c r="S209" i="62"/>
  <c r="R209" i="62"/>
  <c r="I209" i="62"/>
  <c r="H209" i="62"/>
  <c r="G209" i="62"/>
  <c r="F209" i="62"/>
  <c r="E209" i="62"/>
  <c r="V208" i="62"/>
  <c r="U208" i="62"/>
  <c r="T208" i="62"/>
  <c r="S208" i="62"/>
  <c r="R208" i="62"/>
  <c r="I208" i="62"/>
  <c r="H208" i="62"/>
  <c r="G208" i="62"/>
  <c r="F208" i="62"/>
  <c r="E208" i="62"/>
  <c r="V207" i="62"/>
  <c r="U207" i="62"/>
  <c r="T207" i="62"/>
  <c r="S207" i="62"/>
  <c r="R207" i="62"/>
  <c r="I207" i="62"/>
  <c r="H207" i="62"/>
  <c r="G207" i="62"/>
  <c r="F207" i="62"/>
  <c r="E207" i="62"/>
  <c r="V206" i="62"/>
  <c r="U206" i="62"/>
  <c r="T206" i="62"/>
  <c r="S206" i="62"/>
  <c r="R206" i="62"/>
  <c r="I206" i="62"/>
  <c r="H206" i="62"/>
  <c r="G206" i="62"/>
  <c r="F206" i="62"/>
  <c r="E206" i="62"/>
  <c r="D206" i="62"/>
  <c r="D207" i="62" s="1"/>
  <c r="D208" i="62" s="1"/>
  <c r="D209" i="62" s="1"/>
  <c r="D210" i="62" s="1"/>
  <c r="D211" i="62" s="1"/>
  <c r="D212" i="62" s="1"/>
  <c r="D213" i="62" s="1"/>
  <c r="D214" i="62" s="1"/>
  <c r="W203" i="62"/>
  <c r="V203" i="62"/>
  <c r="U203" i="62"/>
  <c r="T203" i="62"/>
  <c r="S203" i="62"/>
  <c r="R203" i="62"/>
  <c r="O203" i="62"/>
  <c r="N203" i="62"/>
  <c r="M203" i="62"/>
  <c r="L203" i="62"/>
  <c r="K203" i="62"/>
  <c r="J203" i="62"/>
  <c r="I203" i="62"/>
  <c r="H203" i="62"/>
  <c r="G203" i="62"/>
  <c r="F203" i="62"/>
  <c r="E203" i="62"/>
  <c r="W201" i="62"/>
  <c r="V201" i="62"/>
  <c r="U201" i="62"/>
  <c r="T201" i="62"/>
  <c r="S201" i="62"/>
  <c r="R201" i="62"/>
  <c r="V196" i="62"/>
  <c r="U196" i="62"/>
  <c r="T196" i="62"/>
  <c r="S196" i="62"/>
  <c r="R196" i="62"/>
  <c r="I196" i="62"/>
  <c r="H196" i="62"/>
  <c r="G196" i="62"/>
  <c r="F196" i="62"/>
  <c r="E196" i="62"/>
  <c r="V195" i="62"/>
  <c r="U195" i="62"/>
  <c r="T195" i="62"/>
  <c r="S195" i="62"/>
  <c r="R195" i="62"/>
  <c r="I195" i="62"/>
  <c r="H195" i="62"/>
  <c r="G195" i="62"/>
  <c r="F195" i="62"/>
  <c r="E195" i="62"/>
  <c r="V194" i="62"/>
  <c r="U194" i="62"/>
  <c r="T194" i="62"/>
  <c r="S194" i="62"/>
  <c r="R194" i="62"/>
  <c r="I194" i="62"/>
  <c r="H194" i="62"/>
  <c r="G194" i="62"/>
  <c r="F194" i="62"/>
  <c r="E194" i="62"/>
  <c r="V193" i="62"/>
  <c r="U193" i="62"/>
  <c r="T193" i="62"/>
  <c r="S193" i="62"/>
  <c r="R193" i="62"/>
  <c r="I193" i="62"/>
  <c r="H193" i="62"/>
  <c r="G193" i="62"/>
  <c r="F193" i="62"/>
  <c r="E193" i="62"/>
  <c r="V192" i="62"/>
  <c r="U192" i="62"/>
  <c r="T192" i="62"/>
  <c r="S192" i="62"/>
  <c r="R192" i="62"/>
  <c r="I192" i="62"/>
  <c r="H192" i="62"/>
  <c r="G192" i="62"/>
  <c r="F192" i="62"/>
  <c r="E192" i="62"/>
  <c r="V190" i="62"/>
  <c r="U190" i="62"/>
  <c r="T190" i="62"/>
  <c r="S190" i="62"/>
  <c r="R190" i="62"/>
  <c r="I190" i="62"/>
  <c r="H190" i="62"/>
  <c r="G190" i="62"/>
  <c r="F190" i="62"/>
  <c r="E190" i="62"/>
  <c r="V189" i="62"/>
  <c r="U189" i="62"/>
  <c r="T189" i="62"/>
  <c r="S189" i="62"/>
  <c r="R189" i="62"/>
  <c r="I189" i="62"/>
  <c r="H189" i="62"/>
  <c r="G189" i="62"/>
  <c r="F189" i="62"/>
  <c r="E189" i="62"/>
  <c r="V188" i="62"/>
  <c r="U188" i="62"/>
  <c r="T188" i="62"/>
  <c r="S188" i="62"/>
  <c r="R188" i="62"/>
  <c r="I188" i="62"/>
  <c r="H188" i="62"/>
  <c r="G188" i="62"/>
  <c r="F188" i="62"/>
  <c r="E188" i="62"/>
  <c r="D188" i="62"/>
  <c r="D189" i="62" s="1"/>
  <c r="D190" i="62" s="1"/>
  <c r="D191" i="62" s="1"/>
  <c r="D192" i="62" s="1"/>
  <c r="D193" i="62" s="1"/>
  <c r="D194" i="62" s="1"/>
  <c r="D195" i="62" s="1"/>
  <c r="D196" i="62" s="1"/>
  <c r="O185" i="62"/>
  <c r="N185" i="62"/>
  <c r="M185" i="62"/>
  <c r="L185" i="62"/>
  <c r="K185" i="62"/>
  <c r="J185" i="62"/>
  <c r="I185" i="62"/>
  <c r="H185" i="62"/>
  <c r="G185" i="62"/>
  <c r="F185" i="62"/>
  <c r="E185" i="62"/>
  <c r="W183" i="62"/>
  <c r="V183" i="62"/>
  <c r="U183" i="62"/>
  <c r="T183" i="62"/>
  <c r="S183" i="62"/>
  <c r="R183" i="62"/>
  <c r="O181" i="62"/>
  <c r="D170" i="62"/>
  <c r="D171" i="62" s="1"/>
  <c r="D172" i="62" s="1"/>
  <c r="D173" i="62" s="1"/>
  <c r="D174" i="62" s="1"/>
  <c r="D175" i="62" s="1"/>
  <c r="D176" i="62" s="1"/>
  <c r="D177" i="62" s="1"/>
  <c r="D178" i="62" s="1"/>
  <c r="N167" i="62"/>
  <c r="M167" i="62"/>
  <c r="L167" i="62"/>
  <c r="K167" i="62"/>
  <c r="J167" i="62"/>
  <c r="I167" i="62"/>
  <c r="H167" i="62"/>
  <c r="G167" i="62"/>
  <c r="F167" i="62"/>
  <c r="E167" i="62"/>
  <c r="W165" i="62"/>
  <c r="V165" i="62"/>
  <c r="U165" i="62"/>
  <c r="T165" i="62"/>
  <c r="S165" i="62"/>
  <c r="R165" i="62"/>
  <c r="O162" i="62"/>
  <c r="O161" i="62"/>
  <c r="W156" i="62"/>
  <c r="V156" i="62"/>
  <c r="U156" i="62"/>
  <c r="T156" i="62"/>
  <c r="S156" i="62"/>
  <c r="R156" i="62"/>
  <c r="O156" i="62"/>
  <c r="G156" i="62"/>
  <c r="F156" i="62"/>
  <c r="E156" i="62"/>
  <c r="V155" i="62"/>
  <c r="U155" i="62"/>
  <c r="T155" i="62"/>
  <c r="S155" i="62"/>
  <c r="R155" i="62"/>
  <c r="I155" i="62"/>
  <c r="H155" i="62"/>
  <c r="G155" i="62"/>
  <c r="F155" i="62"/>
  <c r="E155" i="62"/>
  <c r="W154" i="62"/>
  <c r="V154" i="62"/>
  <c r="U154" i="62"/>
  <c r="T154" i="62"/>
  <c r="S154" i="62"/>
  <c r="R154" i="62"/>
  <c r="O154" i="62"/>
  <c r="G154" i="62"/>
  <c r="F154" i="62"/>
  <c r="E154" i="62"/>
  <c r="W152" i="62"/>
  <c r="V152" i="62"/>
  <c r="U152" i="62"/>
  <c r="T152" i="62"/>
  <c r="S152" i="62"/>
  <c r="R152" i="62"/>
  <c r="W129" i="62"/>
  <c r="V129" i="62"/>
  <c r="U129" i="62"/>
  <c r="T129" i="62"/>
  <c r="S129" i="62"/>
  <c r="R129" i="62"/>
  <c r="O129" i="62"/>
  <c r="G129" i="62"/>
  <c r="F129" i="62"/>
  <c r="E129" i="62"/>
  <c r="R128" i="62"/>
  <c r="E128" i="62"/>
  <c r="W127" i="62"/>
  <c r="V127" i="62"/>
  <c r="U127" i="62"/>
  <c r="T127" i="62"/>
  <c r="S127" i="62"/>
  <c r="R127" i="62"/>
  <c r="O127" i="62"/>
  <c r="G127" i="62"/>
  <c r="F127" i="62"/>
  <c r="E127" i="62"/>
  <c r="W125" i="62"/>
  <c r="V125" i="62"/>
  <c r="U125" i="62"/>
  <c r="T125" i="62"/>
  <c r="S125" i="62"/>
  <c r="R125" i="62"/>
  <c r="O122" i="62"/>
  <c r="V119" i="62"/>
  <c r="U119" i="62"/>
  <c r="T119" i="62"/>
  <c r="S119" i="62"/>
  <c r="R119" i="62"/>
  <c r="O119" i="62"/>
  <c r="N119" i="62"/>
  <c r="I119" i="62"/>
  <c r="H119" i="62"/>
  <c r="V118" i="62"/>
  <c r="U118" i="62"/>
  <c r="T118" i="62"/>
  <c r="S118" i="62"/>
  <c r="R118" i="62"/>
  <c r="I118" i="62"/>
  <c r="H118" i="62"/>
  <c r="G118" i="62"/>
  <c r="F118" i="62"/>
  <c r="E118" i="62"/>
  <c r="V117" i="62"/>
  <c r="U117" i="62"/>
  <c r="T117" i="62"/>
  <c r="S117" i="62"/>
  <c r="R117" i="62"/>
  <c r="O117" i="62"/>
  <c r="N117" i="62"/>
  <c r="I117" i="62"/>
  <c r="H117" i="62"/>
  <c r="W110" i="62"/>
  <c r="V110" i="62"/>
  <c r="U110" i="62"/>
  <c r="T110" i="62"/>
  <c r="S110" i="62"/>
  <c r="R110" i="62"/>
  <c r="O110" i="62"/>
  <c r="G110" i="62"/>
  <c r="F110" i="62"/>
  <c r="E110" i="62"/>
  <c r="V109" i="62"/>
  <c r="U109" i="62"/>
  <c r="T109" i="62"/>
  <c r="S109" i="62"/>
  <c r="R109" i="62"/>
  <c r="I109" i="62"/>
  <c r="H109" i="62"/>
  <c r="G109" i="62"/>
  <c r="F109" i="62"/>
  <c r="E109" i="62"/>
  <c r="O108" i="62"/>
  <c r="N108" i="62"/>
  <c r="M108" i="62"/>
  <c r="L108" i="62"/>
  <c r="K108" i="62"/>
  <c r="J108" i="62"/>
  <c r="I108" i="62"/>
  <c r="H108" i="62"/>
  <c r="G108" i="62"/>
  <c r="F108" i="62"/>
  <c r="E108" i="62"/>
  <c r="W106" i="62"/>
  <c r="V106" i="62"/>
  <c r="U106" i="62"/>
  <c r="T106" i="62"/>
  <c r="S106" i="62"/>
  <c r="R106" i="62"/>
  <c r="W101" i="62"/>
  <c r="V101" i="62"/>
  <c r="U101" i="62"/>
  <c r="T101" i="62"/>
  <c r="S101" i="62"/>
  <c r="R101" i="62"/>
  <c r="O101" i="62"/>
  <c r="N101" i="62"/>
  <c r="M101" i="62"/>
  <c r="L101" i="62"/>
  <c r="K101" i="62"/>
  <c r="J101" i="62"/>
  <c r="I101" i="62"/>
  <c r="H101" i="62"/>
  <c r="G101" i="62"/>
  <c r="F101" i="62"/>
  <c r="E101" i="62"/>
  <c r="V100" i="62"/>
  <c r="U100" i="62"/>
  <c r="T100" i="62"/>
  <c r="S100" i="62"/>
  <c r="R100" i="62"/>
  <c r="O100" i="62"/>
  <c r="N100" i="62"/>
  <c r="I100" i="62"/>
  <c r="H100" i="62"/>
  <c r="G100" i="62"/>
  <c r="F100" i="62"/>
  <c r="E100" i="62"/>
  <c r="W99" i="62"/>
  <c r="V99" i="62"/>
  <c r="U99" i="62"/>
  <c r="T99" i="62"/>
  <c r="S99" i="62"/>
  <c r="R99" i="62"/>
  <c r="O99" i="62"/>
  <c r="N99" i="62"/>
  <c r="M99" i="62"/>
  <c r="L99" i="62"/>
  <c r="K99" i="62"/>
  <c r="J99" i="62"/>
  <c r="I99" i="62"/>
  <c r="H99" i="62"/>
  <c r="G99" i="62"/>
  <c r="F99" i="62"/>
  <c r="E99" i="62"/>
  <c r="W92" i="62"/>
  <c r="V92" i="62"/>
  <c r="U92" i="62"/>
  <c r="T92" i="62"/>
  <c r="S92" i="62"/>
  <c r="R92" i="62"/>
  <c r="O92" i="62"/>
  <c r="G92" i="62"/>
  <c r="F92" i="62"/>
  <c r="E92" i="62"/>
  <c r="R91" i="62"/>
  <c r="E91" i="62"/>
  <c r="O90" i="62"/>
  <c r="N90" i="62"/>
  <c r="M90" i="62"/>
  <c r="L90" i="62"/>
  <c r="K90" i="62"/>
  <c r="J90" i="62"/>
  <c r="I90" i="62"/>
  <c r="H90" i="62"/>
  <c r="G90" i="62"/>
  <c r="F90" i="62"/>
  <c r="E90" i="62"/>
  <c r="W88" i="62"/>
  <c r="V88" i="62"/>
  <c r="U88" i="62"/>
  <c r="T88" i="62"/>
  <c r="S88" i="62"/>
  <c r="R88" i="62"/>
  <c r="W83" i="62"/>
  <c r="V83" i="62"/>
  <c r="U83" i="62"/>
  <c r="T83" i="62"/>
  <c r="S83" i="62"/>
  <c r="R83" i="62"/>
  <c r="O83" i="62"/>
  <c r="N83" i="62"/>
  <c r="M83" i="62"/>
  <c r="L83" i="62"/>
  <c r="K83" i="62"/>
  <c r="J83" i="62"/>
  <c r="I83" i="62"/>
  <c r="H83" i="62"/>
  <c r="G83" i="62"/>
  <c r="F83" i="62"/>
  <c r="E83" i="62"/>
  <c r="W82" i="62"/>
  <c r="V82" i="62"/>
  <c r="U82" i="62"/>
  <c r="T82" i="62"/>
  <c r="S82" i="62"/>
  <c r="R82" i="62"/>
  <c r="O82" i="62"/>
  <c r="N82" i="62"/>
  <c r="M82" i="62"/>
  <c r="L82" i="62"/>
  <c r="K82" i="62"/>
  <c r="J82" i="62"/>
  <c r="I82" i="62"/>
  <c r="H82" i="62"/>
  <c r="G82" i="62"/>
  <c r="F82" i="62"/>
  <c r="E82" i="62"/>
  <c r="W81" i="62"/>
  <c r="V81" i="62"/>
  <c r="U81" i="62"/>
  <c r="T81" i="62"/>
  <c r="S81" i="62"/>
  <c r="R81" i="62"/>
  <c r="O81" i="62"/>
  <c r="N81" i="62"/>
  <c r="M81" i="62"/>
  <c r="L81" i="62"/>
  <c r="K81" i="62"/>
  <c r="J81" i="62"/>
  <c r="I81" i="62"/>
  <c r="H81" i="62"/>
  <c r="G81" i="62"/>
  <c r="F81" i="62"/>
  <c r="E81" i="62"/>
  <c r="W74" i="62"/>
  <c r="V74" i="62"/>
  <c r="U74" i="62"/>
  <c r="T74" i="62"/>
  <c r="S74" i="62"/>
  <c r="R74" i="62"/>
  <c r="V73" i="62"/>
  <c r="U73" i="62"/>
  <c r="T73" i="62"/>
  <c r="S73" i="62"/>
  <c r="R73" i="62"/>
  <c r="G73" i="62"/>
  <c r="F73" i="62"/>
  <c r="E73" i="62"/>
  <c r="W72" i="62"/>
  <c r="V72" i="62"/>
  <c r="U72" i="62"/>
  <c r="T72" i="62"/>
  <c r="S72" i="62"/>
  <c r="R72" i="62"/>
  <c r="W70" i="62"/>
  <c r="V70" i="62"/>
  <c r="U70" i="62"/>
  <c r="T70" i="62"/>
  <c r="S70" i="62"/>
  <c r="R70" i="62"/>
  <c r="W65" i="62"/>
  <c r="V65" i="62"/>
  <c r="U65" i="62"/>
  <c r="T65" i="62"/>
  <c r="S65" i="62"/>
  <c r="R65" i="62"/>
  <c r="O65" i="62"/>
  <c r="N65" i="62"/>
  <c r="M65" i="62"/>
  <c r="G65" i="62"/>
  <c r="F65" i="62"/>
  <c r="O63" i="62"/>
  <c r="N63" i="62"/>
  <c r="M63" i="62"/>
  <c r="L63" i="62"/>
  <c r="K63" i="62"/>
  <c r="J63" i="62"/>
  <c r="I63" i="62"/>
  <c r="H63" i="62"/>
  <c r="G63" i="62"/>
  <c r="F63" i="62"/>
  <c r="W61" i="62"/>
  <c r="V61" i="62"/>
  <c r="U61" i="62"/>
  <c r="T61" i="62"/>
  <c r="S61" i="62"/>
  <c r="R61" i="62"/>
  <c r="R58" i="62"/>
  <c r="O58" i="62"/>
  <c r="N58" i="62"/>
  <c r="W36" i="62"/>
  <c r="V36" i="62"/>
  <c r="U36" i="62"/>
  <c r="T36" i="62"/>
  <c r="S36" i="62"/>
  <c r="R36" i="62"/>
  <c r="O36" i="62"/>
  <c r="O41" i="62" s="1"/>
  <c r="O26" i="62"/>
  <c r="W24" i="62"/>
  <c r="V24" i="62"/>
  <c r="U24" i="62"/>
  <c r="T24" i="62"/>
  <c r="S24" i="62"/>
  <c r="R24" i="62"/>
  <c r="N41" i="62"/>
  <c r="M26" i="62"/>
  <c r="L26" i="62"/>
  <c r="K26" i="62"/>
  <c r="J41" i="62"/>
  <c r="I41" i="62"/>
  <c r="H41" i="62"/>
  <c r="N156" i="62"/>
  <c r="M127" i="62"/>
  <c r="L92" i="62"/>
  <c r="K127" i="62"/>
  <c r="J127" i="62"/>
  <c r="I127" i="62"/>
  <c r="H129" i="62"/>
  <c r="W5" i="62"/>
  <c r="W6" i="62" s="1"/>
  <c r="V5" i="62"/>
  <c r="V6" i="62" s="1"/>
  <c r="U5" i="62"/>
  <c r="U6" i="62" s="1"/>
  <c r="T5" i="62"/>
  <c r="T6" i="62" s="1"/>
  <c r="S5" i="62"/>
  <c r="S6" i="62" s="1"/>
  <c r="R5" i="62"/>
  <c r="R6" i="62" s="1"/>
  <c r="S41" i="62" l="1"/>
  <c r="G26" i="63"/>
  <c r="F152" i="62" s="1"/>
  <c r="F219" i="62"/>
  <c r="E24" i="62"/>
  <c r="E26" i="62" s="1"/>
  <c r="F24" i="62"/>
  <c r="F41" i="62" s="1"/>
  <c r="G25" i="63"/>
  <c r="F106" i="62" s="1"/>
  <c r="W41" i="62"/>
  <c r="R217" i="62"/>
  <c r="S217" i="62"/>
  <c r="S26" i="62"/>
  <c r="W26" i="62"/>
  <c r="H92" i="62"/>
  <c r="I92" i="62"/>
  <c r="I65" i="62"/>
  <c r="M92" i="62"/>
  <c r="I154" i="62"/>
  <c r="N92" i="62"/>
  <c r="M154" i="62"/>
  <c r="N154" i="62"/>
  <c r="W181" i="62"/>
  <c r="F43" i="63"/>
  <c r="F32" i="63"/>
  <c r="E201" i="62" s="1"/>
  <c r="F30" i="63"/>
  <c r="E165" i="62" s="1"/>
  <c r="F31" i="63"/>
  <c r="E183" i="62" s="1"/>
  <c r="G31" i="63"/>
  <c r="F183" i="62" s="1"/>
  <c r="G30" i="63"/>
  <c r="F165" i="62" s="1"/>
  <c r="G32" i="63"/>
  <c r="F201" i="62" s="1"/>
  <c r="G27" i="63"/>
  <c r="V163" i="62"/>
  <c r="W59" i="62"/>
  <c r="R162" i="62"/>
  <c r="U59" i="62"/>
  <c r="N26" i="62"/>
  <c r="R181" i="62"/>
  <c r="W217" i="62"/>
  <c r="R41" i="62"/>
  <c r="G41" i="62"/>
  <c r="G26" i="62"/>
  <c r="W122" i="62"/>
  <c r="F24" i="63"/>
  <c r="E88" i="62" s="1"/>
  <c r="F27" i="63"/>
  <c r="F22" i="63"/>
  <c r="E61" i="62" s="1"/>
  <c r="F25" i="63"/>
  <c r="E106" i="62" s="1"/>
  <c r="F23" i="63"/>
  <c r="E70" i="62" s="1"/>
  <c r="F26" i="63"/>
  <c r="E152" i="62" s="1"/>
  <c r="R216" i="62"/>
  <c r="W216" i="62"/>
  <c r="R161" i="62"/>
  <c r="R59" i="62"/>
  <c r="V59" i="62"/>
  <c r="T59" i="62"/>
  <c r="Q23" i="63"/>
  <c r="H26" i="62"/>
  <c r="Q27" i="63"/>
  <c r="I26" i="62"/>
  <c r="Q32" i="63"/>
  <c r="N43" i="63"/>
  <c r="P22" i="63"/>
  <c r="P26" i="63"/>
  <c r="P31" i="63"/>
  <c r="Q22" i="63"/>
  <c r="Q26" i="63"/>
  <c r="Q31" i="63"/>
  <c r="P35" i="63"/>
  <c r="O43" i="63"/>
  <c r="P24" i="63"/>
  <c r="Q24" i="63"/>
  <c r="P23" i="63"/>
  <c r="P27" i="63"/>
  <c r="P32" i="63"/>
  <c r="P25" i="63"/>
  <c r="P30" i="63"/>
  <c r="Q35" i="63"/>
  <c r="Q25" i="63"/>
  <c r="Q30" i="63"/>
  <c r="J26" i="62"/>
  <c r="W161" i="62"/>
  <c r="L41" i="62"/>
  <c r="S163" i="62"/>
  <c r="O61" i="62"/>
  <c r="T163" i="62"/>
  <c r="F5" i="63"/>
  <c r="I43" i="63"/>
  <c r="U163" i="62"/>
  <c r="S216" i="62"/>
  <c r="J43" i="63"/>
  <c r="T217" i="62"/>
  <c r="I29" i="63"/>
  <c r="R163" i="62"/>
  <c r="U217" i="62"/>
  <c r="W58" i="62"/>
  <c r="W163" i="62"/>
  <c r="F6" i="63"/>
  <c r="L161" i="62"/>
  <c r="V217" i="62"/>
  <c r="S162" i="62"/>
  <c r="M181" i="62"/>
  <c r="U162" i="62"/>
  <c r="N122" i="62"/>
  <c r="F8" i="63"/>
  <c r="M41" i="62"/>
  <c r="S59" i="62"/>
  <c r="J29" i="63"/>
  <c r="L110" i="62"/>
  <c r="M110" i="62"/>
  <c r="N110" i="62"/>
  <c r="N127" i="62"/>
  <c r="I129" i="62"/>
  <c r="L43" i="63"/>
  <c r="O106" i="62"/>
  <c r="T41" i="62"/>
  <c r="J129" i="62"/>
  <c r="H156" i="62"/>
  <c r="T162" i="62"/>
  <c r="F7" i="63"/>
  <c r="M43" i="63"/>
  <c r="R26" i="62"/>
  <c r="U41" i="62"/>
  <c r="K129" i="62"/>
  <c r="I156" i="62"/>
  <c r="V41" i="62"/>
  <c r="R122" i="62"/>
  <c r="L129" i="62"/>
  <c r="J156" i="62"/>
  <c r="V162" i="62"/>
  <c r="L217" i="62"/>
  <c r="O88" i="62"/>
  <c r="J122" i="62"/>
  <c r="L127" i="62"/>
  <c r="T26" i="62"/>
  <c r="H65" i="62"/>
  <c r="M129" i="62"/>
  <c r="H154" i="62"/>
  <c r="K156" i="62"/>
  <c r="W162" i="62"/>
  <c r="K122" i="62"/>
  <c r="U26" i="62"/>
  <c r="N129" i="62"/>
  <c r="L156" i="62"/>
  <c r="N217" i="62"/>
  <c r="L122" i="62"/>
  <c r="H216" i="62"/>
  <c r="F26" i="62"/>
  <c r="V26" i="62"/>
  <c r="J65" i="62"/>
  <c r="J154" i="62"/>
  <c r="M156" i="62"/>
  <c r="L29" i="63"/>
  <c r="O70" i="62"/>
  <c r="M122" i="62"/>
  <c r="I216" i="62"/>
  <c r="H127" i="62"/>
  <c r="K65" i="62"/>
  <c r="K154" i="62"/>
  <c r="I4" i="63"/>
  <c r="J6" i="63" s="1"/>
  <c r="J216" i="62"/>
  <c r="K41" i="62"/>
  <c r="L65" i="62"/>
  <c r="L154" i="62"/>
  <c r="K216" i="62"/>
  <c r="J92" i="62"/>
  <c r="I110" i="62"/>
  <c r="G43" i="63"/>
  <c r="H110" i="62"/>
  <c r="K92" i="62"/>
  <c r="J110" i="62"/>
  <c r="K110" i="62"/>
  <c r="E41" i="62" l="1"/>
  <c r="F216" i="62"/>
  <c r="J5" i="63"/>
  <c r="M29" i="63"/>
  <c r="K29" i="63"/>
  <c r="M161" i="62"/>
  <c r="N29" i="63"/>
  <c r="Q21" i="63"/>
  <c r="Q29" i="63"/>
  <c r="O21" i="63"/>
  <c r="N59" i="62" s="1"/>
  <c r="P29" i="63"/>
  <c r="N21" i="63"/>
  <c r="M59" i="62" s="1"/>
  <c r="P21" i="63"/>
  <c r="O29" i="63"/>
  <c r="H21" i="63"/>
  <c r="G59" i="62" s="1"/>
  <c r="L181" i="62"/>
  <c r="H29" i="63"/>
  <c r="M217" i="62"/>
  <c r="K217" i="62"/>
  <c r="F29" i="63"/>
  <c r="G29" i="63"/>
  <c r="M216" i="62"/>
  <c r="M21" i="63"/>
  <c r="L59" i="62" s="1"/>
  <c r="H217" i="62"/>
  <c r="K21" i="63"/>
  <c r="J59" i="62" s="1"/>
  <c r="F217" i="62"/>
  <c r="N161" i="62"/>
  <c r="N181" i="62"/>
  <c r="J181" i="62"/>
  <c r="J161" i="62"/>
  <c r="G21" i="63"/>
  <c r="F59" i="62" s="1"/>
  <c r="J21" i="63"/>
  <c r="I59" i="62" s="1"/>
  <c r="I21" i="63"/>
  <c r="H59" i="62" s="1"/>
  <c r="K161" i="62"/>
  <c r="K181" i="62"/>
  <c r="E122" i="62"/>
  <c r="E181" i="62"/>
  <c r="J217" i="62"/>
  <c r="G216" i="62"/>
  <c r="G217" i="62"/>
  <c r="L21" i="63"/>
  <c r="K59" i="62" s="1"/>
  <c r="I217" i="62"/>
  <c r="E216" i="62" l="1"/>
  <c r="E217" i="62"/>
  <c r="K58" i="62"/>
  <c r="M58" i="62"/>
  <c r="J58" i="62"/>
  <c r="L58" i="62"/>
  <c r="P37" i="61"/>
  <c r="S37" i="61" s="1"/>
  <c r="P36" i="61"/>
  <c r="S36" i="61" s="1"/>
  <c r="P35" i="61"/>
  <c r="G35" i="61" s="1"/>
  <c r="P34" i="61"/>
  <c r="G34" i="61" s="1"/>
  <c r="F37" i="61"/>
  <c r="F36" i="61"/>
  <c r="F35" i="61"/>
  <c r="F34" i="61"/>
  <c r="G36" i="61"/>
  <c r="J37" i="61"/>
  <c r="H37" i="61" s="1"/>
  <c r="J36" i="61"/>
  <c r="H36" i="61" s="1"/>
  <c r="J35" i="61"/>
  <c r="H35" i="61" s="1"/>
  <c r="I34" i="61"/>
  <c r="I35" i="61" s="1"/>
  <c r="I36" i="61" s="1"/>
  <c r="I37" i="61" s="1"/>
  <c r="J34" i="61"/>
  <c r="H34" i="61"/>
  <c r="C37" i="61"/>
  <c r="C36" i="61"/>
  <c r="C35" i="61"/>
  <c r="C34" i="61"/>
  <c r="G37" i="61"/>
  <c r="S34" i="61" l="1"/>
  <c r="S35" i="61"/>
  <c r="P33" i="61"/>
  <c r="G33" i="61"/>
  <c r="L33" i="61"/>
  <c r="N33" i="61"/>
  <c r="D33" i="61"/>
  <c r="H33" i="61"/>
  <c r="J33" i="61"/>
  <c r="F33" i="61"/>
  <c r="N25" i="61" l="1"/>
  <c r="N24" i="61"/>
  <c r="N23" i="61"/>
  <c r="N22" i="61"/>
  <c r="N21" i="61"/>
  <c r="L25" i="61"/>
  <c r="L24" i="61"/>
  <c r="L23" i="61"/>
  <c r="L22" i="61"/>
  <c r="L21" i="61"/>
  <c r="J25" i="61"/>
  <c r="H25" i="61" s="1"/>
  <c r="J24" i="61"/>
  <c r="J23" i="61"/>
  <c r="H23" i="61" s="1"/>
  <c r="J22" i="61"/>
  <c r="H22" i="61" s="1"/>
  <c r="J21" i="61"/>
  <c r="I21" i="61"/>
  <c r="I22" i="61" s="1"/>
  <c r="I23" i="61" s="1"/>
  <c r="I24" i="61" s="1"/>
  <c r="I25" i="61" s="1"/>
  <c r="H24" i="61"/>
  <c r="L20" i="61"/>
  <c r="J20" i="61"/>
  <c r="H20" i="61" s="1"/>
  <c r="I20" i="61"/>
  <c r="S18" i="47"/>
  <c r="S19" i="47"/>
  <c r="D25" i="61"/>
  <c r="F25" i="61" s="1"/>
  <c r="D24" i="61"/>
  <c r="F24" i="61" s="1"/>
  <c r="D23" i="61"/>
  <c r="F23" i="61" s="1"/>
  <c r="D22" i="61"/>
  <c r="F22" i="61" s="1"/>
  <c r="D21" i="61"/>
  <c r="F21" i="61" s="1"/>
  <c r="C25" i="61"/>
  <c r="C24" i="61"/>
  <c r="C23" i="61"/>
  <c r="C22" i="61"/>
  <c r="C21" i="61"/>
  <c r="D20" i="61"/>
  <c r="F20" i="61"/>
  <c r="C20" i="61"/>
  <c r="S44" i="47"/>
  <c r="S38" i="47"/>
  <c r="S32" i="47"/>
  <c r="S26" i="47"/>
  <c r="S20" i="47"/>
  <c r="G25" i="61" l="1"/>
  <c r="S25" i="61" s="1"/>
  <c r="G20" i="61"/>
  <c r="S20" i="61" s="1"/>
  <c r="G24" i="61"/>
  <c r="S24" i="61" s="1"/>
  <c r="G23" i="61"/>
  <c r="S23" i="61" s="1"/>
  <c r="G22" i="61"/>
  <c r="S22" i="61" s="1"/>
  <c r="G21" i="61"/>
  <c r="S21" i="61" s="1"/>
  <c r="J19" i="61"/>
  <c r="H21" i="61"/>
  <c r="H19" i="61" s="1"/>
  <c r="L19" i="61"/>
  <c r="N19" i="61"/>
  <c r="P19" i="61"/>
  <c r="F19" i="61"/>
  <c r="D19" i="61"/>
  <c r="G19" i="61" l="1"/>
  <c r="P10" i="61" l="1"/>
  <c r="P9" i="61"/>
  <c r="P8" i="61"/>
  <c r="P7" i="61"/>
  <c r="N10" i="61"/>
  <c r="N9" i="61"/>
  <c r="G9" i="61" s="1"/>
  <c r="N8" i="61"/>
  <c r="G8" i="61" s="1"/>
  <c r="N7" i="61"/>
  <c r="G7" i="61" s="1"/>
  <c r="L10" i="61"/>
  <c r="K10" i="61"/>
  <c r="L9" i="61"/>
  <c r="K9" i="61"/>
  <c r="L8" i="61"/>
  <c r="K8" i="61"/>
  <c r="L7" i="61"/>
  <c r="K7" i="61"/>
  <c r="H14" i="61"/>
  <c r="H13" i="61"/>
  <c r="H12" i="61"/>
  <c r="H11" i="61"/>
  <c r="I10" i="61"/>
  <c r="I9" i="61"/>
  <c r="I8" i="61"/>
  <c r="J10" i="61"/>
  <c r="J9" i="61"/>
  <c r="J8" i="61"/>
  <c r="H8" i="61" s="1"/>
  <c r="J7" i="61"/>
  <c r="H7" i="61" s="1"/>
  <c r="I7" i="61"/>
  <c r="F10" i="61"/>
  <c r="F9" i="61"/>
  <c r="F8" i="61"/>
  <c r="F7" i="61"/>
  <c r="D14" i="61"/>
  <c r="D13" i="61"/>
  <c r="D12" i="61"/>
  <c r="D11" i="61"/>
  <c r="C14" i="61"/>
  <c r="C13" i="61"/>
  <c r="C12" i="61"/>
  <c r="C11" i="61"/>
  <c r="C10" i="61"/>
  <c r="C9" i="61"/>
  <c r="C8" i="61"/>
  <c r="C7" i="61"/>
  <c r="AL69" i="46"/>
  <c r="AL68" i="46"/>
  <c r="AL67" i="46"/>
  <c r="AR67" i="46"/>
  <c r="AR66" i="46"/>
  <c r="E4" i="60"/>
  <c r="BA4" i="60"/>
  <c r="AZ4" i="60"/>
  <c r="AX4" i="60"/>
  <c r="AV4" i="60"/>
  <c r="AU4" i="60"/>
  <c r="AS4" i="60"/>
  <c r="AQ4" i="60"/>
  <c r="AP4" i="60"/>
  <c r="AN4" i="60"/>
  <c r="AL4" i="60"/>
  <c r="AK4" i="60"/>
  <c r="AI4" i="60"/>
  <c r="AG4" i="60"/>
  <c r="AF4" i="60"/>
  <c r="AD4" i="60"/>
  <c r="W4" i="60"/>
  <c r="V4" i="60"/>
  <c r="T4" i="60"/>
  <c r="AA4" i="60"/>
  <c r="AB4" i="60"/>
  <c r="Y4" i="60"/>
  <c r="BC18" i="60"/>
  <c r="BC17" i="60"/>
  <c r="BC16" i="60"/>
  <c r="BC15" i="60"/>
  <c r="BC14" i="60"/>
  <c r="BC13" i="60"/>
  <c r="BC12" i="60"/>
  <c r="BC11" i="60"/>
  <c r="BC10" i="60"/>
  <c r="BC9" i="60"/>
  <c r="BC8" i="60"/>
  <c r="BC7" i="60"/>
  <c r="BC6" i="60"/>
  <c r="BC5" i="60"/>
  <c r="I18" i="60"/>
  <c r="I17" i="60"/>
  <c r="I16" i="60"/>
  <c r="I15" i="60"/>
  <c r="I14" i="60"/>
  <c r="I13" i="60"/>
  <c r="I12" i="60"/>
  <c r="I11" i="60"/>
  <c r="I10" i="60"/>
  <c r="I9" i="60"/>
  <c r="I8" i="60"/>
  <c r="I7" i="60"/>
  <c r="I6" i="60"/>
  <c r="I5" i="60"/>
  <c r="AX18" i="60"/>
  <c r="BA18" i="60" s="1"/>
  <c r="AX17" i="60"/>
  <c r="BA17" i="60" s="1"/>
  <c r="AX16" i="60"/>
  <c r="BA16" i="60" s="1"/>
  <c r="AX15" i="60"/>
  <c r="BA15" i="60" s="1"/>
  <c r="AX14" i="60"/>
  <c r="BA14" i="60" s="1"/>
  <c r="BA13" i="60"/>
  <c r="AX13" i="60"/>
  <c r="AX12" i="60"/>
  <c r="BA12" i="60" s="1"/>
  <c r="AX11" i="60"/>
  <c r="BA11" i="60" s="1"/>
  <c r="AX10" i="60"/>
  <c r="BA10" i="60" s="1"/>
  <c r="AX9" i="60"/>
  <c r="BA9" i="60" s="1"/>
  <c r="AX8" i="60"/>
  <c r="BA8" i="60" s="1"/>
  <c r="AX7" i="60"/>
  <c r="BA7" i="60" s="1"/>
  <c r="AX6" i="60"/>
  <c r="BA6" i="60" s="1"/>
  <c r="BA5" i="60"/>
  <c r="AX5" i="60"/>
  <c r="AS18" i="60"/>
  <c r="AV18" i="60" s="1"/>
  <c r="AS17" i="60"/>
  <c r="AV17" i="60" s="1"/>
  <c r="AS16" i="60"/>
  <c r="AV16" i="60" s="1"/>
  <c r="AS15" i="60"/>
  <c r="AV15" i="60" s="1"/>
  <c r="AS14" i="60"/>
  <c r="AV14" i="60" s="1"/>
  <c r="AS13" i="60"/>
  <c r="AV13" i="60" s="1"/>
  <c r="AV12" i="60"/>
  <c r="AS12" i="60"/>
  <c r="AS11" i="60"/>
  <c r="AV11" i="60" s="1"/>
  <c r="AS10" i="60"/>
  <c r="AV10" i="60" s="1"/>
  <c r="AS9" i="60"/>
  <c r="AV9" i="60" s="1"/>
  <c r="AS8" i="60"/>
  <c r="AV8" i="60" s="1"/>
  <c r="AS7" i="60"/>
  <c r="AV7" i="60" s="1"/>
  <c r="AS6" i="60"/>
  <c r="AV6" i="60" s="1"/>
  <c r="AS5" i="60"/>
  <c r="AV5" i="60" s="1"/>
  <c r="AN18" i="60"/>
  <c r="AQ18" i="60" s="1"/>
  <c r="AN17" i="60"/>
  <c r="AQ17" i="60" s="1"/>
  <c r="AN16" i="60"/>
  <c r="AQ16" i="60" s="1"/>
  <c r="AN15" i="60"/>
  <c r="AQ15" i="60" s="1"/>
  <c r="AN14" i="60"/>
  <c r="AQ14" i="60" s="1"/>
  <c r="AN13" i="60"/>
  <c r="AQ13" i="60" s="1"/>
  <c r="AQ12" i="60"/>
  <c r="AN12" i="60"/>
  <c r="AN11" i="60"/>
  <c r="AQ11" i="60" s="1"/>
  <c r="AN10" i="60"/>
  <c r="AQ10" i="60" s="1"/>
  <c r="AN9" i="60"/>
  <c r="AQ9" i="60" s="1"/>
  <c r="AN8" i="60"/>
  <c r="AQ8" i="60" s="1"/>
  <c r="AN7" i="60"/>
  <c r="AQ7" i="60" s="1"/>
  <c r="AN6" i="60"/>
  <c r="AQ6" i="60" s="1"/>
  <c r="AN5" i="60"/>
  <c r="AQ5" i="60" s="1"/>
  <c r="AI18" i="60"/>
  <c r="AL18" i="60" s="1"/>
  <c r="AI17" i="60"/>
  <c r="AL17" i="60" s="1"/>
  <c r="AL16" i="60"/>
  <c r="AI16" i="60"/>
  <c r="AI15" i="60"/>
  <c r="AL15" i="60" s="1"/>
  <c r="AI14" i="60"/>
  <c r="AL14" i="60" s="1"/>
  <c r="AI13" i="60"/>
  <c r="AL13" i="60" s="1"/>
  <c r="AI12" i="60"/>
  <c r="AL12" i="60" s="1"/>
  <c r="AI11" i="60"/>
  <c r="AL11" i="60" s="1"/>
  <c r="AI10" i="60"/>
  <c r="AL10" i="60" s="1"/>
  <c r="AI9" i="60"/>
  <c r="AL9" i="60" s="1"/>
  <c r="AL8" i="60"/>
  <c r="AI8" i="60"/>
  <c r="AI7" i="60"/>
  <c r="AL7" i="60" s="1"/>
  <c r="AI6" i="60"/>
  <c r="AL6" i="60" s="1"/>
  <c r="AI5" i="60"/>
  <c r="AL5" i="60" s="1"/>
  <c r="AD18" i="60"/>
  <c r="AD17" i="60"/>
  <c r="AD16" i="60"/>
  <c r="AD15" i="60"/>
  <c r="AD14" i="60"/>
  <c r="AD13" i="60"/>
  <c r="AD12" i="60"/>
  <c r="AD11" i="60"/>
  <c r="AD10" i="60"/>
  <c r="AD9" i="60"/>
  <c r="AD8" i="60"/>
  <c r="AD7" i="60"/>
  <c r="AD6" i="60"/>
  <c r="AD5" i="60"/>
  <c r="Y5" i="60"/>
  <c r="T5" i="60"/>
  <c r="H18" i="60"/>
  <c r="H17" i="60"/>
  <c r="H16" i="60"/>
  <c r="H15" i="60"/>
  <c r="T15" i="60" s="1"/>
  <c r="W15" i="60" s="1"/>
  <c r="H14" i="60"/>
  <c r="H13" i="60"/>
  <c r="T13" i="60" s="1"/>
  <c r="W13" i="60" s="1"/>
  <c r="H12" i="60"/>
  <c r="H11" i="60"/>
  <c r="H10" i="60"/>
  <c r="H9" i="60"/>
  <c r="H8" i="60"/>
  <c r="H7" i="60"/>
  <c r="H6" i="60"/>
  <c r="H5" i="60"/>
  <c r="F4" i="60"/>
  <c r="D12" i="60"/>
  <c r="D11" i="60"/>
  <c r="D10" i="60"/>
  <c r="D9" i="60"/>
  <c r="D8" i="60"/>
  <c r="D7" i="60"/>
  <c r="D6" i="60"/>
  <c r="D5" i="60"/>
  <c r="C12" i="60"/>
  <c r="C11" i="60"/>
  <c r="C10" i="60"/>
  <c r="C9" i="60"/>
  <c r="C8" i="60"/>
  <c r="C7" i="60"/>
  <c r="C6" i="60"/>
  <c r="C5" i="60"/>
  <c r="K90" i="60"/>
  <c r="R90" i="60" s="1"/>
  <c r="H90" i="60"/>
  <c r="AX90" i="60" s="1"/>
  <c r="BA90" i="60" s="1"/>
  <c r="C90" i="60"/>
  <c r="K89" i="60"/>
  <c r="R89" i="60" s="1"/>
  <c r="H89" i="60"/>
  <c r="C89" i="60"/>
  <c r="K88" i="60"/>
  <c r="R88" i="60" s="1"/>
  <c r="H88" i="60"/>
  <c r="C88" i="60"/>
  <c r="K87" i="60"/>
  <c r="R87" i="60" s="1"/>
  <c r="H87" i="60"/>
  <c r="AX87" i="60" s="1"/>
  <c r="BA87" i="60" s="1"/>
  <c r="C87" i="60"/>
  <c r="K86" i="60"/>
  <c r="R86" i="60" s="1"/>
  <c r="H86" i="60"/>
  <c r="Y86" i="60" s="1"/>
  <c r="AB86" i="60" s="1"/>
  <c r="C86" i="60"/>
  <c r="K85" i="60"/>
  <c r="R85" i="60" s="1"/>
  <c r="H85" i="60"/>
  <c r="T85" i="60" s="1"/>
  <c r="C85" i="60"/>
  <c r="AF84" i="60"/>
  <c r="AC84" i="60"/>
  <c r="AA84" i="60"/>
  <c r="Z84" i="60"/>
  <c r="X84" i="60"/>
  <c r="V84" i="60"/>
  <c r="U84" i="60"/>
  <c r="S84" i="60"/>
  <c r="K84" i="60"/>
  <c r="R84" i="60" s="1"/>
  <c r="H84" i="60"/>
  <c r="AX84" i="60" s="1"/>
  <c r="BA84" i="60" s="1"/>
  <c r="AC83" i="60"/>
  <c r="AA83" i="60"/>
  <c r="Z83" i="60"/>
  <c r="X83" i="60"/>
  <c r="V83" i="60"/>
  <c r="U83" i="60"/>
  <c r="S83" i="60"/>
  <c r="K83" i="60"/>
  <c r="R83" i="60" s="1"/>
  <c r="H83" i="60"/>
  <c r="AX83" i="60" s="1"/>
  <c r="BA83" i="60" s="1"/>
  <c r="AC82" i="60"/>
  <c r="AA82" i="60"/>
  <c r="Z82" i="60"/>
  <c r="X82" i="60"/>
  <c r="V82" i="60"/>
  <c r="U82" i="60"/>
  <c r="S82" i="60"/>
  <c r="K82" i="60"/>
  <c r="R82" i="60" s="1"/>
  <c r="H82" i="60"/>
  <c r="Y82" i="60" s="1"/>
  <c r="AF81" i="60"/>
  <c r="AE81" i="60"/>
  <c r="AC81" i="60"/>
  <c r="AA81" i="60"/>
  <c r="Z81" i="60"/>
  <c r="X81" i="60"/>
  <c r="V81" i="60"/>
  <c r="U81" i="60"/>
  <c r="S81" i="60"/>
  <c r="K81" i="60"/>
  <c r="R81" i="60" s="1"/>
  <c r="H81" i="60"/>
  <c r="AX81" i="60" s="1"/>
  <c r="BA81" i="60" s="1"/>
  <c r="AF80" i="60"/>
  <c r="AE80" i="60"/>
  <c r="AC80" i="60"/>
  <c r="AA80" i="60"/>
  <c r="Z80" i="60"/>
  <c r="X80" i="60"/>
  <c r="V80" i="60"/>
  <c r="U80" i="60"/>
  <c r="S80" i="60"/>
  <c r="K80" i="60"/>
  <c r="R80" i="60" s="1"/>
  <c r="H80" i="60"/>
  <c r="AF79" i="60"/>
  <c r="AE79" i="60"/>
  <c r="AC79" i="60"/>
  <c r="AA79" i="60"/>
  <c r="Z79" i="60"/>
  <c r="X79" i="60"/>
  <c r="V79" i="60"/>
  <c r="U79" i="60"/>
  <c r="S79" i="60"/>
  <c r="K79" i="60"/>
  <c r="R79" i="60" s="1"/>
  <c r="H79" i="60"/>
  <c r="Y79" i="60" s="1"/>
  <c r="AC78" i="60"/>
  <c r="AA78" i="60"/>
  <c r="Z78" i="60"/>
  <c r="Y78" i="60"/>
  <c r="X78" i="60"/>
  <c r="V78" i="60"/>
  <c r="U78" i="60"/>
  <c r="S78" i="60"/>
  <c r="K78" i="60"/>
  <c r="R78" i="60" s="1"/>
  <c r="H78" i="60"/>
  <c r="T78" i="60" s="1"/>
  <c r="AF77" i="60"/>
  <c r="AE77" i="60"/>
  <c r="AC77" i="60"/>
  <c r="AA77" i="60"/>
  <c r="Z77" i="60"/>
  <c r="X77" i="60"/>
  <c r="V77" i="60"/>
  <c r="U77" i="60"/>
  <c r="S77" i="60"/>
  <c r="K77" i="60"/>
  <c r="R77" i="60" s="1"/>
  <c r="H77" i="60"/>
  <c r="Q76" i="60"/>
  <c r="O76" i="60"/>
  <c r="N76" i="60"/>
  <c r="M76" i="60"/>
  <c r="L76" i="60"/>
  <c r="D76" i="60"/>
  <c r="K72" i="60"/>
  <c r="R72" i="60" s="1"/>
  <c r="D72" i="60"/>
  <c r="H72" i="60" s="1"/>
  <c r="C72" i="60"/>
  <c r="K71" i="60"/>
  <c r="R71" i="60" s="1"/>
  <c r="D71" i="60"/>
  <c r="C71" i="60"/>
  <c r="K70" i="60"/>
  <c r="R70" i="60" s="1"/>
  <c r="D70" i="60"/>
  <c r="C70" i="60"/>
  <c r="K69" i="60"/>
  <c r="R69" i="60" s="1"/>
  <c r="D69" i="60"/>
  <c r="H69" i="60" s="1"/>
  <c r="C69" i="60"/>
  <c r="K68" i="60"/>
  <c r="R68" i="60" s="1"/>
  <c r="D68" i="60"/>
  <c r="H68" i="60" s="1"/>
  <c r="AX68" i="60" s="1"/>
  <c r="BA68" i="60" s="1"/>
  <c r="C68" i="60"/>
  <c r="K67" i="60"/>
  <c r="R67" i="60" s="1"/>
  <c r="D67" i="60"/>
  <c r="H67" i="60" s="1"/>
  <c r="C67" i="60"/>
  <c r="K66" i="60"/>
  <c r="R66" i="60" s="1"/>
  <c r="I66" i="60"/>
  <c r="D66" i="60"/>
  <c r="H66" i="60" s="1"/>
  <c r="C66" i="60"/>
  <c r="K65" i="60"/>
  <c r="R65" i="60" s="1"/>
  <c r="I65" i="60"/>
  <c r="D65" i="60"/>
  <c r="H65" i="60" s="1"/>
  <c r="AX65" i="60" s="1"/>
  <c r="BA65" i="60" s="1"/>
  <c r="C65" i="60"/>
  <c r="R64" i="60"/>
  <c r="K64" i="60"/>
  <c r="I64" i="60"/>
  <c r="D64" i="60"/>
  <c r="H64" i="60" s="1"/>
  <c r="AX64" i="60" s="1"/>
  <c r="BA64" i="60" s="1"/>
  <c r="C64" i="60"/>
  <c r="K63" i="60"/>
  <c r="R63" i="60" s="1"/>
  <c r="I63" i="60"/>
  <c r="D63" i="60"/>
  <c r="H63" i="60" s="1"/>
  <c r="C63" i="60"/>
  <c r="K62" i="60"/>
  <c r="R62" i="60" s="1"/>
  <c r="I62" i="60"/>
  <c r="D62" i="60"/>
  <c r="V61" i="60"/>
  <c r="I61" i="60" s="1"/>
  <c r="J61" i="60" s="1"/>
  <c r="U61" i="60"/>
  <c r="S61" i="60"/>
  <c r="K61" i="60"/>
  <c r="R61" i="60" s="1"/>
  <c r="D61" i="60"/>
  <c r="H61" i="60" s="1"/>
  <c r="V60" i="60"/>
  <c r="I60" i="60" s="1"/>
  <c r="J60" i="60" s="1"/>
  <c r="U60" i="60"/>
  <c r="S60" i="60"/>
  <c r="K60" i="60"/>
  <c r="R60" i="60" s="1"/>
  <c r="D60" i="60"/>
  <c r="V59" i="60"/>
  <c r="I59" i="60" s="1"/>
  <c r="U59" i="60"/>
  <c r="S59" i="60"/>
  <c r="K59" i="60"/>
  <c r="D59" i="60"/>
  <c r="H59" i="60" s="1"/>
  <c r="Q58" i="60"/>
  <c r="O58" i="60"/>
  <c r="N58" i="60"/>
  <c r="M58" i="60"/>
  <c r="L58" i="60"/>
  <c r="K54" i="60"/>
  <c r="R54" i="60" s="1"/>
  <c r="D54" i="60"/>
  <c r="C54" i="60"/>
  <c r="K53" i="60"/>
  <c r="R53" i="60" s="1"/>
  <c r="D53" i="60"/>
  <c r="H53" i="60" s="1"/>
  <c r="AX53" i="60" s="1"/>
  <c r="BA53" i="60" s="1"/>
  <c r="C53" i="60"/>
  <c r="K52" i="60"/>
  <c r="R52" i="60" s="1"/>
  <c r="D52" i="60"/>
  <c r="H52" i="60" s="1"/>
  <c r="T52" i="60" s="1"/>
  <c r="W52" i="60" s="1"/>
  <c r="C52" i="60"/>
  <c r="K51" i="60"/>
  <c r="R51" i="60" s="1"/>
  <c r="D51" i="60"/>
  <c r="H51" i="60" s="1"/>
  <c r="C51" i="60"/>
  <c r="K50" i="60"/>
  <c r="R50" i="60" s="1"/>
  <c r="H50" i="60"/>
  <c r="AX50" i="60" s="1"/>
  <c r="BA50" i="60" s="1"/>
  <c r="K49" i="60"/>
  <c r="R49" i="60" s="1"/>
  <c r="H49" i="60"/>
  <c r="K48" i="60"/>
  <c r="R48" i="60" s="1"/>
  <c r="I48" i="60"/>
  <c r="D48" i="60"/>
  <c r="H48" i="60" s="1"/>
  <c r="AX48" i="60" s="1"/>
  <c r="BA48" i="60" s="1"/>
  <c r="K47" i="60"/>
  <c r="R47" i="60" s="1"/>
  <c r="I47" i="60"/>
  <c r="D47" i="60"/>
  <c r="H47" i="60" s="1"/>
  <c r="Y47" i="60" s="1"/>
  <c r="K46" i="60"/>
  <c r="R46" i="60" s="1"/>
  <c r="I46" i="60"/>
  <c r="H46" i="60"/>
  <c r="T46" i="60" s="1"/>
  <c r="W46" i="60" s="1"/>
  <c r="K45" i="60"/>
  <c r="R45" i="60" s="1"/>
  <c r="I45" i="60"/>
  <c r="H45" i="60"/>
  <c r="AX45" i="60" s="1"/>
  <c r="BA45" i="60" s="1"/>
  <c r="K44" i="60"/>
  <c r="R44" i="60" s="1"/>
  <c r="I44" i="60"/>
  <c r="H44" i="60"/>
  <c r="K43" i="60"/>
  <c r="R43" i="60" s="1"/>
  <c r="I43" i="60"/>
  <c r="H43" i="60"/>
  <c r="V42" i="60"/>
  <c r="V40" i="60" s="1"/>
  <c r="U42" i="60"/>
  <c r="S42" i="60"/>
  <c r="K42" i="60"/>
  <c r="R42" i="60" s="1"/>
  <c r="H42" i="60"/>
  <c r="AX42" i="60" s="1"/>
  <c r="BA42" i="60" s="1"/>
  <c r="K41" i="60"/>
  <c r="I41" i="60"/>
  <c r="H41" i="60"/>
  <c r="Y41" i="60" s="1"/>
  <c r="Q40" i="60"/>
  <c r="O40" i="60"/>
  <c r="N40" i="60"/>
  <c r="M40" i="60"/>
  <c r="L40" i="60"/>
  <c r="J40" i="60"/>
  <c r="K36" i="60"/>
  <c r="R36" i="60" s="1"/>
  <c r="D36" i="60"/>
  <c r="K35" i="60"/>
  <c r="R35" i="60" s="1"/>
  <c r="D35" i="60"/>
  <c r="H35" i="60" s="1"/>
  <c r="K34" i="60"/>
  <c r="R34" i="60" s="1"/>
  <c r="D34" i="60"/>
  <c r="H34" i="60" s="1"/>
  <c r="T34" i="60" s="1"/>
  <c r="W34" i="60" s="1"/>
  <c r="K33" i="60"/>
  <c r="R33" i="60" s="1"/>
  <c r="D33" i="60"/>
  <c r="H33" i="60" s="1"/>
  <c r="AX33" i="60" s="1"/>
  <c r="BA33" i="60" s="1"/>
  <c r="K32" i="60"/>
  <c r="R32" i="60" s="1"/>
  <c r="D32" i="60"/>
  <c r="H32" i="60" s="1"/>
  <c r="K31" i="60"/>
  <c r="R31" i="60" s="1"/>
  <c r="D31" i="60"/>
  <c r="K30" i="60"/>
  <c r="R30" i="60" s="1"/>
  <c r="I30" i="60"/>
  <c r="H30" i="60"/>
  <c r="Y30" i="60" s="1"/>
  <c r="AC29" i="60"/>
  <c r="K29" i="60"/>
  <c r="R29" i="60" s="1"/>
  <c r="I29" i="60"/>
  <c r="H29" i="60"/>
  <c r="Y29" i="60" s="1"/>
  <c r="AC28" i="60"/>
  <c r="K28" i="60"/>
  <c r="R28" i="60" s="1"/>
  <c r="I28" i="60"/>
  <c r="H28" i="60"/>
  <c r="AX28" i="60" s="1"/>
  <c r="BA28" i="60" s="1"/>
  <c r="AC27" i="60"/>
  <c r="K27" i="60"/>
  <c r="R27" i="60" s="1"/>
  <c r="I27" i="60"/>
  <c r="H27" i="60"/>
  <c r="AX27" i="60" s="1"/>
  <c r="BA27" i="60" s="1"/>
  <c r="AC26" i="60"/>
  <c r="K26" i="60"/>
  <c r="R26" i="60" s="1"/>
  <c r="I26" i="60"/>
  <c r="H26" i="60"/>
  <c r="AX26" i="60" s="1"/>
  <c r="BA26" i="60" s="1"/>
  <c r="AC25" i="60"/>
  <c r="K25" i="60"/>
  <c r="R25" i="60" s="1"/>
  <c r="I25" i="60"/>
  <c r="H25" i="60"/>
  <c r="T25" i="60" s="1"/>
  <c r="AC24" i="60"/>
  <c r="K24" i="60"/>
  <c r="R24" i="60" s="1"/>
  <c r="I24" i="60"/>
  <c r="H24" i="60"/>
  <c r="K23" i="60"/>
  <c r="R23" i="60" s="1"/>
  <c r="I23" i="60"/>
  <c r="H23" i="60"/>
  <c r="Y23" i="60" s="1"/>
  <c r="V22" i="60"/>
  <c r="Q22" i="60"/>
  <c r="O22" i="60"/>
  <c r="N22" i="60"/>
  <c r="M22" i="60"/>
  <c r="L22" i="60"/>
  <c r="J22" i="60"/>
  <c r="K18" i="60"/>
  <c r="R18" i="60" s="1"/>
  <c r="K17" i="60"/>
  <c r="R17" i="60" s="1"/>
  <c r="K16" i="60"/>
  <c r="R16" i="60" s="1"/>
  <c r="Q4" i="60"/>
  <c r="K15" i="60"/>
  <c r="K14" i="60"/>
  <c r="R14" i="60" s="1"/>
  <c r="K13" i="60"/>
  <c r="R13" i="60" s="1"/>
  <c r="K12" i="60"/>
  <c r="R12" i="60" s="1"/>
  <c r="K11" i="60"/>
  <c r="R11" i="60" s="1"/>
  <c r="K10" i="60"/>
  <c r="R10" i="60" s="1"/>
  <c r="Y10" i="60"/>
  <c r="K9" i="60"/>
  <c r="R9" i="60" s="1"/>
  <c r="K8" i="60"/>
  <c r="R8" i="60" s="1"/>
  <c r="O4" i="60"/>
  <c r="K6" i="60"/>
  <c r="R6" i="60" s="1"/>
  <c r="Y6" i="60"/>
  <c r="K5" i="60"/>
  <c r="R5" i="60" s="1"/>
  <c r="N4" i="60"/>
  <c r="M4" i="60"/>
  <c r="L4" i="60"/>
  <c r="Q40" i="47"/>
  <c r="Q34" i="47"/>
  <c r="Q28" i="47"/>
  <c r="Q22" i="47"/>
  <c r="Q16" i="47"/>
  <c r="H9" i="61" l="1"/>
  <c r="H10" i="61"/>
  <c r="L6" i="61"/>
  <c r="N6" i="61"/>
  <c r="G10" i="61"/>
  <c r="G6" i="61" s="1"/>
  <c r="P6" i="61"/>
  <c r="J6" i="61"/>
  <c r="H6" i="61"/>
  <c r="D6" i="61"/>
  <c r="BC4" i="60"/>
  <c r="T87" i="60"/>
  <c r="W87" i="60" s="1"/>
  <c r="Y87" i="60"/>
  <c r="I83" i="60"/>
  <c r="Y33" i="60"/>
  <c r="AB33" i="60" s="1"/>
  <c r="AX34" i="60"/>
  <c r="BA34" i="60" s="1"/>
  <c r="Y84" i="60"/>
  <c r="J4" i="60"/>
  <c r="AX23" i="60"/>
  <c r="BA23" i="60" s="1"/>
  <c r="D22" i="60"/>
  <c r="W78" i="60"/>
  <c r="T26" i="60"/>
  <c r="W26" i="60" s="1"/>
  <c r="D40" i="60"/>
  <c r="T84" i="60"/>
  <c r="W84" i="60" s="1"/>
  <c r="Y90" i="60"/>
  <c r="AB90" i="60" s="1"/>
  <c r="W5" i="60"/>
  <c r="Y26" i="60"/>
  <c r="AB26" i="60" s="1"/>
  <c r="AX29" i="60"/>
  <c r="BA29" i="60" s="1"/>
  <c r="AX41" i="60"/>
  <c r="BA41" i="60" s="1"/>
  <c r="AX30" i="60"/>
  <c r="BA30" i="60" s="1"/>
  <c r="I81" i="60"/>
  <c r="Y46" i="60"/>
  <c r="AB46" i="60" s="1"/>
  <c r="Y28" i="60"/>
  <c r="Y52" i="60"/>
  <c r="I77" i="60"/>
  <c r="T7" i="60"/>
  <c r="W7" i="60" s="1"/>
  <c r="Y35" i="60"/>
  <c r="AB35" i="60" s="1"/>
  <c r="AX35" i="60"/>
  <c r="BA35" i="60" s="1"/>
  <c r="T66" i="60"/>
  <c r="W66" i="60" s="1"/>
  <c r="AX66" i="60"/>
  <c r="BA66" i="60" s="1"/>
  <c r="Y66" i="60"/>
  <c r="AB66" i="60" s="1"/>
  <c r="AX63" i="60"/>
  <c r="BA63" i="60" s="1"/>
  <c r="Y63" i="60"/>
  <c r="AB63" i="60" s="1"/>
  <c r="T63" i="60"/>
  <c r="W63" i="60" s="1"/>
  <c r="AX51" i="60"/>
  <c r="BA51" i="60" s="1"/>
  <c r="T51" i="60"/>
  <c r="W51" i="60" s="1"/>
  <c r="Y51" i="60"/>
  <c r="AB51" i="60" s="1"/>
  <c r="AB30" i="60"/>
  <c r="Y11" i="60"/>
  <c r="AB41" i="60"/>
  <c r="H54" i="60"/>
  <c r="H40" i="60" s="1"/>
  <c r="AD87" i="60"/>
  <c r="AG87" i="60" s="1"/>
  <c r="Y15" i="60"/>
  <c r="AB15" i="60" s="1"/>
  <c r="I58" i="60"/>
  <c r="AD78" i="60"/>
  <c r="AG78" i="60" s="1"/>
  <c r="T82" i="60"/>
  <c r="W82" i="60" s="1"/>
  <c r="T27" i="60"/>
  <c r="W27" i="60" s="1"/>
  <c r="T33" i="60"/>
  <c r="T45" i="60"/>
  <c r="W45" i="60" s="1"/>
  <c r="H60" i="60"/>
  <c r="T81" i="60"/>
  <c r="W81" i="60" s="1"/>
  <c r="AX47" i="60"/>
  <c r="BA47" i="60" s="1"/>
  <c r="AB78" i="60"/>
  <c r="I82" i="60"/>
  <c r="Y45" i="60"/>
  <c r="T68" i="60"/>
  <c r="W68" i="60" s="1"/>
  <c r="Y8" i="60"/>
  <c r="AB8" i="60" s="1"/>
  <c r="T30" i="60"/>
  <c r="AD30" i="60" s="1"/>
  <c r="AG30" i="60" s="1"/>
  <c r="Y68" i="60"/>
  <c r="Y85" i="60"/>
  <c r="AB85" i="60" s="1"/>
  <c r="Y27" i="60"/>
  <c r="I42" i="60"/>
  <c r="I40" i="60" s="1"/>
  <c r="AX78" i="60"/>
  <c r="BA78" i="60" s="1"/>
  <c r="AX85" i="60"/>
  <c r="BA85" i="60" s="1"/>
  <c r="K76" i="60"/>
  <c r="Y81" i="60"/>
  <c r="AB81" i="60" s="1"/>
  <c r="AD46" i="60"/>
  <c r="AG46" i="60" s="1"/>
  <c r="T79" i="60"/>
  <c r="W79" i="60" s="1"/>
  <c r="AX86" i="60"/>
  <c r="BA86" i="60" s="1"/>
  <c r="T90" i="60"/>
  <c r="T41" i="60"/>
  <c r="W41" i="60" s="1"/>
  <c r="I22" i="60"/>
  <c r="AX46" i="60"/>
  <c r="BA46" i="60" s="1"/>
  <c r="I79" i="60"/>
  <c r="J79" i="60" s="1"/>
  <c r="J76" i="60" s="1"/>
  <c r="I4" i="60"/>
  <c r="R15" i="60"/>
  <c r="I80" i="60"/>
  <c r="AB84" i="60"/>
  <c r="T16" i="60"/>
  <c r="W16" i="60" s="1"/>
  <c r="Y16" i="60"/>
  <c r="AB16" i="60" s="1"/>
  <c r="Y14" i="60"/>
  <c r="AB14" i="60" s="1"/>
  <c r="T14" i="60"/>
  <c r="W14" i="60" s="1"/>
  <c r="T9" i="60"/>
  <c r="W9" i="60" s="1"/>
  <c r="Y9" i="60"/>
  <c r="AB9" i="60" s="1"/>
  <c r="T10" i="60"/>
  <c r="W10" i="60" s="1"/>
  <c r="T8" i="60"/>
  <c r="W8" i="60" s="1"/>
  <c r="R76" i="60"/>
  <c r="Y65" i="60"/>
  <c r="Y67" i="60"/>
  <c r="T67" i="60"/>
  <c r="T77" i="60"/>
  <c r="H76" i="60"/>
  <c r="Y77" i="60"/>
  <c r="Y50" i="60"/>
  <c r="V58" i="60"/>
  <c r="Y89" i="60"/>
  <c r="AX89" i="60"/>
  <c r="BA89" i="60" s="1"/>
  <c r="AX69" i="60"/>
  <c r="BA69" i="60" s="1"/>
  <c r="Y69" i="60"/>
  <c r="AB69" i="60" s="1"/>
  <c r="T69" i="60"/>
  <c r="Y72" i="60"/>
  <c r="AB72" i="60" s="1"/>
  <c r="AX72" i="60"/>
  <c r="BA72" i="60" s="1"/>
  <c r="Y32" i="60"/>
  <c r="AB32" i="60" s="1"/>
  <c r="AX32" i="60"/>
  <c r="BA32" i="60" s="1"/>
  <c r="T49" i="60"/>
  <c r="AX49" i="60"/>
  <c r="BA49" i="60" s="1"/>
  <c r="Y49" i="60"/>
  <c r="Y61" i="60"/>
  <c r="AX61" i="60"/>
  <c r="BA61" i="60" s="1"/>
  <c r="Y44" i="60"/>
  <c r="AX44" i="60"/>
  <c r="BA44" i="60" s="1"/>
  <c r="Y48" i="60"/>
  <c r="AB48" i="60" s="1"/>
  <c r="T48" i="60"/>
  <c r="Y17" i="60"/>
  <c r="AB29" i="60"/>
  <c r="Y42" i="60"/>
  <c r="T42" i="60"/>
  <c r="T24" i="60"/>
  <c r="AX24" i="60"/>
  <c r="BA24" i="60" s="1"/>
  <c r="Y24" i="60"/>
  <c r="AB23" i="60"/>
  <c r="K22" i="60"/>
  <c r="R22" i="60"/>
  <c r="H31" i="60"/>
  <c r="AX52" i="60"/>
  <c r="BA52" i="60" s="1"/>
  <c r="AX67" i="60"/>
  <c r="BA67" i="60" s="1"/>
  <c r="I78" i="60"/>
  <c r="T89" i="60"/>
  <c r="D4" i="60"/>
  <c r="W25" i="60"/>
  <c r="H36" i="60"/>
  <c r="T44" i="60"/>
  <c r="J58" i="60"/>
  <c r="T64" i="60"/>
  <c r="T72" i="60"/>
  <c r="T12" i="60"/>
  <c r="AB82" i="60"/>
  <c r="Y53" i="60"/>
  <c r="T53" i="60"/>
  <c r="AX59" i="60"/>
  <c r="T59" i="60"/>
  <c r="T6" i="60"/>
  <c r="AG6" i="60" s="1"/>
  <c r="T17" i="60"/>
  <c r="Y34" i="60"/>
  <c r="K58" i="60"/>
  <c r="Y64" i="60"/>
  <c r="T83" i="60"/>
  <c r="Y83" i="60"/>
  <c r="W85" i="60"/>
  <c r="D58" i="60"/>
  <c r="H70" i="60"/>
  <c r="AB6" i="60"/>
  <c r="T32" i="60"/>
  <c r="K40" i="60"/>
  <c r="I84" i="60"/>
  <c r="Y7" i="60"/>
  <c r="AB10" i="60"/>
  <c r="Y12" i="60"/>
  <c r="AB28" i="60"/>
  <c r="AB47" i="60"/>
  <c r="Y59" i="60"/>
  <c r="AX80" i="60"/>
  <c r="BA80" i="60" s="1"/>
  <c r="T80" i="60"/>
  <c r="Y80" i="60"/>
  <c r="Y13" i="60"/>
  <c r="Y25" i="60"/>
  <c r="AX25" i="60"/>
  <c r="BA25" i="60" s="1"/>
  <c r="T43" i="60"/>
  <c r="AX43" i="60"/>
  <c r="BA43" i="60" s="1"/>
  <c r="Y43" i="60"/>
  <c r="AB45" i="60"/>
  <c r="T61" i="60"/>
  <c r="T65" i="60"/>
  <c r="H71" i="60"/>
  <c r="AB79" i="60"/>
  <c r="K7" i="60"/>
  <c r="R7" i="60" s="1"/>
  <c r="T50" i="60"/>
  <c r="AX77" i="60"/>
  <c r="Y88" i="60"/>
  <c r="T88" i="60"/>
  <c r="AX88" i="60"/>
  <c r="BA88" i="60" s="1"/>
  <c r="T11" i="60"/>
  <c r="T23" i="60"/>
  <c r="AD23" i="60" s="1"/>
  <c r="R41" i="60"/>
  <c r="R40" i="60" s="1"/>
  <c r="T35" i="60"/>
  <c r="T86" i="60"/>
  <c r="AB87" i="60"/>
  <c r="AB5" i="60"/>
  <c r="T29" i="60"/>
  <c r="AD29" i="60" s="1"/>
  <c r="AG29" i="60" s="1"/>
  <c r="T47" i="60"/>
  <c r="R59" i="60"/>
  <c r="R58" i="60" s="1"/>
  <c r="T28" i="60"/>
  <c r="H62" i="60"/>
  <c r="AX79" i="60"/>
  <c r="BA79" i="60" s="1"/>
  <c r="AX82" i="60"/>
  <c r="BA82" i="60" s="1"/>
  <c r="V76" i="60"/>
  <c r="P26" i="58"/>
  <c r="F6" i="61" l="1"/>
  <c r="AD33" i="60"/>
  <c r="AG33" i="60" s="1"/>
  <c r="BC78" i="60"/>
  <c r="AD90" i="60"/>
  <c r="AG90" i="60" s="1"/>
  <c r="AD26" i="60"/>
  <c r="AG26" i="60" s="1"/>
  <c r="AD82" i="60"/>
  <c r="AG82" i="60" s="1"/>
  <c r="W33" i="60"/>
  <c r="AD27" i="60"/>
  <c r="AG27" i="60" s="1"/>
  <c r="AD84" i="60"/>
  <c r="AG84" i="60" s="1"/>
  <c r="AG5" i="60"/>
  <c r="AD45" i="60"/>
  <c r="AG45" i="60" s="1"/>
  <c r="AG11" i="60"/>
  <c r="AD51" i="60"/>
  <c r="AG51" i="60" s="1"/>
  <c r="AD81" i="60"/>
  <c r="AG81" i="60" s="1"/>
  <c r="BC87" i="60"/>
  <c r="AD41" i="60"/>
  <c r="AG41" i="60" s="1"/>
  <c r="AD52" i="60"/>
  <c r="AG52" i="60" s="1"/>
  <c r="AB52" i="60"/>
  <c r="I76" i="60"/>
  <c r="AD63" i="60"/>
  <c r="BC63" i="60" s="1"/>
  <c r="AD66" i="60"/>
  <c r="AG66" i="60" s="1"/>
  <c r="AG8" i="60"/>
  <c r="AG15" i="60"/>
  <c r="AG63" i="60"/>
  <c r="W90" i="60"/>
  <c r="Y60" i="60"/>
  <c r="AX60" i="60"/>
  <c r="BA60" i="60" s="1"/>
  <c r="T60" i="60"/>
  <c r="AD85" i="60"/>
  <c r="AG85" i="60" s="1"/>
  <c r="BC90" i="60"/>
  <c r="AD69" i="60"/>
  <c r="AG69" i="60" s="1"/>
  <c r="W30" i="60"/>
  <c r="BC30" i="60"/>
  <c r="AB27" i="60"/>
  <c r="AD68" i="60"/>
  <c r="AB68" i="60"/>
  <c r="R4" i="60"/>
  <c r="H22" i="60"/>
  <c r="BC46" i="60"/>
  <c r="AB11" i="60"/>
  <c r="AG9" i="60"/>
  <c r="AX54" i="60"/>
  <c r="BA54" i="60" s="1"/>
  <c r="BA40" i="60" s="1"/>
  <c r="T54" i="60"/>
  <c r="Y54" i="60"/>
  <c r="AD79" i="60"/>
  <c r="AG79" i="60" s="1"/>
  <c r="BC26" i="60"/>
  <c r="AG14" i="60"/>
  <c r="W12" i="60"/>
  <c r="AB80" i="60"/>
  <c r="AD80" i="60"/>
  <c r="AG80" i="60" s="1"/>
  <c r="AB61" i="60"/>
  <c r="AD61" i="60"/>
  <c r="AG61" i="60" s="1"/>
  <c r="BC80" i="60"/>
  <c r="W80" i="60"/>
  <c r="AD49" i="60"/>
  <c r="AG49" i="60" s="1"/>
  <c r="AB49" i="60"/>
  <c r="AD64" i="60"/>
  <c r="AG64" i="60" s="1"/>
  <c r="AB64" i="60"/>
  <c r="T71" i="60"/>
  <c r="Y71" i="60"/>
  <c r="AX71" i="60"/>
  <c r="BA71" i="60" s="1"/>
  <c r="AG23" i="60"/>
  <c r="W49" i="60"/>
  <c r="AD24" i="60"/>
  <c r="AG24" i="60" s="1"/>
  <c r="AB24" i="60"/>
  <c r="W72" i="60"/>
  <c r="AB53" i="60"/>
  <c r="AD53" i="60"/>
  <c r="AG53" i="60" s="1"/>
  <c r="W65" i="60"/>
  <c r="W32" i="60"/>
  <c r="AG17" i="60"/>
  <c r="AB17" i="60"/>
  <c r="AX62" i="60"/>
  <c r="BA62" i="60" s="1"/>
  <c r="Y62" i="60"/>
  <c r="T62" i="60"/>
  <c r="W23" i="60"/>
  <c r="BC23" i="60"/>
  <c r="AD59" i="60"/>
  <c r="BC59" i="60" s="1"/>
  <c r="AB59" i="60"/>
  <c r="T18" i="60"/>
  <c r="Y18" i="60"/>
  <c r="AB34" i="60"/>
  <c r="AD34" i="60"/>
  <c r="AG34" i="60" s="1"/>
  <c r="W89" i="60"/>
  <c r="AD50" i="60"/>
  <c r="AG50" i="60" s="1"/>
  <c r="AB50" i="60"/>
  <c r="W61" i="60"/>
  <c r="AD32" i="60"/>
  <c r="AG32" i="60" s="1"/>
  <c r="AB43" i="60"/>
  <c r="AD43" i="60"/>
  <c r="AG43" i="60" s="1"/>
  <c r="W83" i="60"/>
  <c r="AD48" i="60"/>
  <c r="AG48" i="60" s="1"/>
  <c r="W11" i="60"/>
  <c r="W28" i="60"/>
  <c r="W48" i="60"/>
  <c r="AB77" i="60"/>
  <c r="Y76" i="60"/>
  <c r="AD77" i="60"/>
  <c r="AD28" i="60"/>
  <c r="AG28" i="60" s="1"/>
  <c r="W17" i="60"/>
  <c r="AD88" i="60"/>
  <c r="AG88" i="60" s="1"/>
  <c r="AB88" i="60"/>
  <c r="W69" i="60"/>
  <c r="W47" i="60"/>
  <c r="W6" i="60"/>
  <c r="W43" i="60"/>
  <c r="BA77" i="60"/>
  <c r="BA76" i="60" s="1"/>
  <c r="AX76" i="60"/>
  <c r="T70" i="60"/>
  <c r="AX70" i="60"/>
  <c r="BA70" i="60" s="1"/>
  <c r="Y70" i="60"/>
  <c r="T31" i="60"/>
  <c r="AX31" i="60"/>
  <c r="Y31" i="60"/>
  <c r="AB67" i="60"/>
  <c r="AD67" i="60"/>
  <c r="AG67" i="60" s="1"/>
  <c r="AB25" i="60"/>
  <c r="AD25" i="60"/>
  <c r="AG25" i="60" s="1"/>
  <c r="AB44" i="60"/>
  <c r="AD44" i="60"/>
  <c r="AG44" i="60" s="1"/>
  <c r="AD65" i="60"/>
  <c r="AG65" i="60" s="1"/>
  <c r="AB65" i="60"/>
  <c r="W50" i="60"/>
  <c r="H58" i="60"/>
  <c r="W86" i="60"/>
  <c r="AD86" i="60"/>
  <c r="AG86" i="60" s="1"/>
  <c r="AB7" i="60"/>
  <c r="BA59" i="60"/>
  <c r="AD72" i="60"/>
  <c r="AG72" i="60" s="1"/>
  <c r="AD42" i="60"/>
  <c r="BC42" i="60" s="1"/>
  <c r="AB42" i="60"/>
  <c r="AB89" i="60"/>
  <c r="AD89" i="60"/>
  <c r="AG89" i="60" s="1"/>
  <c r="BC33" i="60"/>
  <c r="W88" i="60"/>
  <c r="T76" i="60"/>
  <c r="W77" i="60"/>
  <c r="W64" i="60"/>
  <c r="W24" i="60"/>
  <c r="W67" i="60"/>
  <c r="BC29" i="60"/>
  <c r="W29" i="60"/>
  <c r="AG12" i="60"/>
  <c r="AB12" i="60"/>
  <c r="W44" i="60"/>
  <c r="BC82" i="60"/>
  <c r="AB13" i="60"/>
  <c r="W59" i="60"/>
  <c r="AX36" i="60"/>
  <c r="BA36" i="60" s="1"/>
  <c r="Y36" i="60"/>
  <c r="T36" i="60"/>
  <c r="W42" i="60"/>
  <c r="W35" i="60"/>
  <c r="AD35" i="60"/>
  <c r="AG35" i="60" s="1"/>
  <c r="AB83" i="60"/>
  <c r="AD83" i="60"/>
  <c r="AG83" i="60" s="1"/>
  <c r="W53" i="60"/>
  <c r="K4" i="60"/>
  <c r="H4" i="60"/>
  <c r="AD47" i="60"/>
  <c r="AG47" i="60" s="1"/>
  <c r="L32" i="48"/>
  <c r="L26" i="48"/>
  <c r="L20" i="48"/>
  <c r="L14" i="48"/>
  <c r="L42" i="47"/>
  <c r="X30" i="53"/>
  <c r="X24" i="53"/>
  <c r="X18" i="53"/>
  <c r="X12" i="53"/>
  <c r="AJ11" i="46"/>
  <c r="T58" i="60" l="1"/>
  <c r="BC84" i="60"/>
  <c r="Y58" i="60"/>
  <c r="BC67" i="60"/>
  <c r="BC64" i="60"/>
  <c r="BC27" i="60"/>
  <c r="BC66" i="60"/>
  <c r="BC51" i="60"/>
  <c r="BC45" i="60"/>
  <c r="T22" i="60"/>
  <c r="AX40" i="60"/>
  <c r="BC81" i="60"/>
  <c r="BC50" i="60"/>
  <c r="BC52" i="60"/>
  <c r="BC34" i="60"/>
  <c r="BC41" i="60"/>
  <c r="BC85" i="60"/>
  <c r="BC24" i="60"/>
  <c r="BC72" i="60"/>
  <c r="W54" i="60"/>
  <c r="W40" i="60" s="1"/>
  <c r="AD54" i="60"/>
  <c r="AG54" i="60" s="1"/>
  <c r="AB54" i="60"/>
  <c r="AB40" i="60" s="1"/>
  <c r="W60" i="60"/>
  <c r="BC88" i="60"/>
  <c r="AG16" i="60"/>
  <c r="BC69" i="60"/>
  <c r="BC25" i="60"/>
  <c r="BC53" i="60"/>
  <c r="Y40" i="60"/>
  <c r="BC79" i="60"/>
  <c r="AB60" i="60"/>
  <c r="AD60" i="60"/>
  <c r="AG60" i="60" s="1"/>
  <c r="BC48" i="60"/>
  <c r="AG68" i="60"/>
  <c r="BC68" i="60"/>
  <c r="BC65" i="60"/>
  <c r="T40" i="60"/>
  <c r="AG10" i="60"/>
  <c r="AB71" i="60"/>
  <c r="AD71" i="60"/>
  <c r="AG71" i="60" s="1"/>
  <c r="W71" i="60"/>
  <c r="AB18" i="60"/>
  <c r="W18" i="60"/>
  <c r="AG42" i="60"/>
  <c r="W70" i="60"/>
  <c r="AD76" i="60"/>
  <c r="BC76" i="60" s="1"/>
  <c r="AG77" i="60"/>
  <c r="AG76" i="60" s="1"/>
  <c r="BC43" i="60"/>
  <c r="AB76" i="60"/>
  <c r="BC61" i="60"/>
  <c r="AG59" i="60"/>
  <c r="AB70" i="60"/>
  <c r="AD70" i="60"/>
  <c r="AG70" i="60" s="1"/>
  <c r="W36" i="60"/>
  <c r="AB36" i="60"/>
  <c r="AD36" i="60"/>
  <c r="AG36" i="60" s="1"/>
  <c r="BC28" i="60"/>
  <c r="AX58" i="60"/>
  <c r="W62" i="60"/>
  <c r="BA58" i="60"/>
  <c r="BC89" i="60"/>
  <c r="BC86" i="60"/>
  <c r="BA31" i="60"/>
  <c r="BA22" i="60" s="1"/>
  <c r="AX22" i="60"/>
  <c r="BC32" i="60"/>
  <c r="W76" i="60"/>
  <c r="AG13" i="60"/>
  <c r="BC77" i="60"/>
  <c r="BC47" i="60"/>
  <c r="AB62" i="60"/>
  <c r="AD62" i="60"/>
  <c r="AG62" i="60" s="1"/>
  <c r="AG7" i="60"/>
  <c r="Y22" i="60"/>
  <c r="BC49" i="60"/>
  <c r="BC44" i="60"/>
  <c r="AB31" i="60"/>
  <c r="AD31" i="60"/>
  <c r="AG31" i="60" s="1"/>
  <c r="BC35" i="60"/>
  <c r="W31" i="60"/>
  <c r="BC83" i="60"/>
  <c r="K31" i="58"/>
  <c r="K30" i="58"/>
  <c r="K29" i="58"/>
  <c r="K28" i="58"/>
  <c r="J31" i="58"/>
  <c r="J30" i="58"/>
  <c r="J29" i="58"/>
  <c r="J28" i="58"/>
  <c r="BC71" i="60" l="1"/>
  <c r="BC31" i="60"/>
  <c r="BC60" i="60"/>
  <c r="AB22" i="60"/>
  <c r="AD40" i="60"/>
  <c r="BC40" i="60" s="1"/>
  <c r="AG40" i="60"/>
  <c r="W22" i="60"/>
  <c r="AG22" i="60"/>
  <c r="W58" i="60"/>
  <c r="AB58" i="60"/>
  <c r="BC54" i="60"/>
  <c r="AD22" i="60"/>
  <c r="BC22" i="60" s="1"/>
  <c r="AD58" i="60"/>
  <c r="BC58" i="60" s="1"/>
  <c r="AG18" i="60"/>
  <c r="BC36" i="60"/>
  <c r="AG58" i="60"/>
  <c r="BC62" i="60"/>
  <c r="BC70" i="60"/>
  <c r="E32" i="58"/>
  <c r="AE68" i="46"/>
  <c r="AE71" i="46"/>
  <c r="AE67" i="46"/>
  <c r="AD66" i="46"/>
  <c r="AD68" i="46"/>
  <c r="AD69" i="46"/>
  <c r="AD70" i="46" s="1"/>
  <c r="E75" i="58" l="1"/>
  <c r="E74" i="58"/>
  <c r="C63" i="58"/>
  <c r="E79" i="58"/>
  <c r="F36" i="58"/>
  <c r="E36" i="58"/>
  <c r="E63" i="58"/>
  <c r="E62" i="58"/>
  <c r="F71" i="58"/>
  <c r="E71" i="58"/>
  <c r="E70" i="58"/>
  <c r="BN39" i="48" l="1"/>
  <c r="BM39" i="48"/>
  <c r="BO39" i="48" s="1"/>
  <c r="BN38" i="48"/>
  <c r="BM38" i="48"/>
  <c r="BO38" i="48" s="1"/>
  <c r="BN36" i="48"/>
  <c r="BM36" i="48"/>
  <c r="BL36" i="48" s="1"/>
  <c r="BN35" i="48"/>
  <c r="BN40" i="48" s="1"/>
  <c r="BM35" i="48"/>
  <c r="BO35" i="48" s="1"/>
  <c r="BL35" i="48"/>
  <c r="BG39" i="48"/>
  <c r="BF39" i="48"/>
  <c r="BH39" i="48" s="1"/>
  <c r="BG38" i="48"/>
  <c r="BF38" i="48"/>
  <c r="BH38" i="48" s="1"/>
  <c r="BG36" i="48"/>
  <c r="BF36" i="48"/>
  <c r="BH36" i="48" s="1"/>
  <c r="BE36" i="48"/>
  <c r="BG35" i="48"/>
  <c r="BG40" i="48" s="1"/>
  <c r="BF35" i="48"/>
  <c r="BH35" i="48" s="1"/>
  <c r="BE35" i="48"/>
  <c r="AZ39" i="48"/>
  <c r="AY39" i="48"/>
  <c r="BA39" i="48" s="1"/>
  <c r="AZ38" i="48"/>
  <c r="AY38" i="48"/>
  <c r="BA38" i="48" s="1"/>
  <c r="AZ36" i="48"/>
  <c r="AY36" i="48"/>
  <c r="BA36" i="48" s="1"/>
  <c r="AX36" i="48"/>
  <c r="AZ35" i="48"/>
  <c r="AZ40" i="48" s="1"/>
  <c r="AY35" i="48"/>
  <c r="BA35" i="48" s="1"/>
  <c r="AX35" i="48"/>
  <c r="AS39" i="48"/>
  <c r="AR39" i="48"/>
  <c r="AT39" i="48" s="1"/>
  <c r="AS38" i="48"/>
  <c r="AR38" i="48"/>
  <c r="AT38" i="48" s="1"/>
  <c r="AS36" i="48"/>
  <c r="AR36" i="48"/>
  <c r="AT36" i="48" s="1"/>
  <c r="AQ36" i="48"/>
  <c r="AS35" i="48"/>
  <c r="AS40" i="48" s="1"/>
  <c r="AR35" i="48"/>
  <c r="AT35" i="48" s="1"/>
  <c r="AQ35" i="48"/>
  <c r="AL40" i="48"/>
  <c r="AL39" i="48"/>
  <c r="AK39" i="48"/>
  <c r="AM39" i="48" s="1"/>
  <c r="AL38" i="48"/>
  <c r="AK38" i="48"/>
  <c r="AM38" i="48" s="1"/>
  <c r="AL36" i="48"/>
  <c r="AK36" i="48"/>
  <c r="AM36" i="48" s="1"/>
  <c r="AJ36" i="48"/>
  <c r="AL35" i="48"/>
  <c r="AK35" i="48"/>
  <c r="AM35" i="48" s="1"/>
  <c r="AJ35" i="48"/>
  <c r="AE39" i="48"/>
  <c r="AD39" i="48"/>
  <c r="AE38" i="48"/>
  <c r="AD38" i="48"/>
  <c r="AF38" i="48" s="1"/>
  <c r="AE36" i="48"/>
  <c r="AD36" i="48"/>
  <c r="AF36" i="48" s="1"/>
  <c r="AC36" i="48"/>
  <c r="AE35" i="48"/>
  <c r="AE40" i="48" s="1"/>
  <c r="AD35" i="48"/>
  <c r="AF35" i="48" s="1"/>
  <c r="AC35" i="48"/>
  <c r="X39" i="48"/>
  <c r="W39" i="48"/>
  <c r="Y39" i="48" s="1"/>
  <c r="X38" i="48"/>
  <c r="X36" i="48"/>
  <c r="W36" i="48"/>
  <c r="Y36" i="48" s="1"/>
  <c r="V36" i="48"/>
  <c r="X35" i="48"/>
  <c r="X40" i="48" s="1"/>
  <c r="W35" i="48"/>
  <c r="Y35" i="48" s="1"/>
  <c r="Q39" i="48"/>
  <c r="Q38" i="48"/>
  <c r="Q36" i="48"/>
  <c r="Q35" i="48"/>
  <c r="P39" i="48"/>
  <c r="R39" i="48" s="1"/>
  <c r="P36" i="48"/>
  <c r="O36" i="48" s="1"/>
  <c r="P35" i="48"/>
  <c r="O35" i="48"/>
  <c r="H39" i="48"/>
  <c r="H38" i="48"/>
  <c r="G39" i="48"/>
  <c r="G38" i="48"/>
  <c r="R24" i="48"/>
  <c r="R18" i="48"/>
  <c r="R12" i="48"/>
  <c r="P26" i="48"/>
  <c r="R33" i="48"/>
  <c r="R27" i="48"/>
  <c r="R26" i="48"/>
  <c r="R23" i="48"/>
  <c r="R21" i="48"/>
  <c r="R20" i="48"/>
  <c r="R17" i="48"/>
  <c r="R15" i="48"/>
  <c r="K33" i="48"/>
  <c r="K32" i="48"/>
  <c r="K30" i="48"/>
  <c r="K29" i="48"/>
  <c r="L29" i="48" s="1"/>
  <c r="I33" i="48"/>
  <c r="BL33" i="48" s="1"/>
  <c r="I32" i="48"/>
  <c r="AK32" i="48" s="1"/>
  <c r="AJ32" i="48" s="1"/>
  <c r="I30" i="48"/>
  <c r="AQ30" i="48" s="1"/>
  <c r="I29" i="48"/>
  <c r="G32" i="48"/>
  <c r="BL27" i="48"/>
  <c r="BE27" i="48"/>
  <c r="AX27" i="48"/>
  <c r="AQ27" i="48"/>
  <c r="AJ27" i="48"/>
  <c r="AC27" i="48"/>
  <c r="V27" i="48"/>
  <c r="BL26" i="48"/>
  <c r="BE26" i="48"/>
  <c r="AX26" i="48"/>
  <c r="AQ26" i="48"/>
  <c r="AK26" i="48"/>
  <c r="AJ26" i="48" s="1"/>
  <c r="AC26" i="48"/>
  <c r="W26" i="48"/>
  <c r="V26" i="48" s="1"/>
  <c r="BL24" i="48"/>
  <c r="BE24" i="48"/>
  <c r="AX24" i="48"/>
  <c r="AQ24" i="48"/>
  <c r="AJ24" i="48"/>
  <c r="AC24" i="48"/>
  <c r="V24" i="48"/>
  <c r="Q28" i="48"/>
  <c r="O27" i="48"/>
  <c r="O26" i="48"/>
  <c r="P24" i="48"/>
  <c r="O24" i="48"/>
  <c r="P23" i="48"/>
  <c r="K27" i="48"/>
  <c r="J27" i="48" s="1"/>
  <c r="K26" i="48"/>
  <c r="J26" i="48"/>
  <c r="K24" i="48"/>
  <c r="L24" i="48" s="1"/>
  <c r="K23" i="48"/>
  <c r="L23" i="48" s="1"/>
  <c r="H23" i="48"/>
  <c r="I27" i="48"/>
  <c r="I26" i="48"/>
  <c r="I24" i="48"/>
  <c r="I23" i="48"/>
  <c r="G26" i="48"/>
  <c r="BN22" i="48"/>
  <c r="BL21" i="48"/>
  <c r="BM20" i="48"/>
  <c r="BL20" i="48" s="1"/>
  <c r="BL18" i="48"/>
  <c r="BO17" i="48"/>
  <c r="BM17" i="48"/>
  <c r="BM22" i="48" s="1"/>
  <c r="BL17" i="48"/>
  <c r="BG22" i="48"/>
  <c r="BE21" i="48"/>
  <c r="BF20" i="48"/>
  <c r="BE20" i="48" s="1"/>
  <c r="BE18" i="48"/>
  <c r="BF17" i="48"/>
  <c r="BH17" i="48" s="1"/>
  <c r="AZ22" i="48"/>
  <c r="AY22" i="48"/>
  <c r="BA22" i="48" s="1"/>
  <c r="AX22" i="48"/>
  <c r="AX21" i="48"/>
  <c r="AY20" i="48"/>
  <c r="AX20" i="48" s="1"/>
  <c r="AX18" i="48"/>
  <c r="AY17" i="48"/>
  <c r="BA17" i="48" s="1"/>
  <c r="AS22" i="48"/>
  <c r="AQ21" i="48"/>
  <c r="AR20" i="48"/>
  <c r="AQ20" i="48" s="1"/>
  <c r="AQ18" i="48"/>
  <c r="AR17" i="48"/>
  <c r="AT17" i="48" s="1"/>
  <c r="AQ17" i="48"/>
  <c r="AL22" i="48"/>
  <c r="AJ21" i="48"/>
  <c r="AK20" i="48"/>
  <c r="AJ20" i="48" s="1"/>
  <c r="AJ18" i="48"/>
  <c r="AM17" i="48"/>
  <c r="AK17" i="48"/>
  <c r="AJ17" i="48" s="1"/>
  <c r="AE22" i="48"/>
  <c r="AC21" i="48"/>
  <c r="AD20" i="48"/>
  <c r="AC20" i="48"/>
  <c r="AC18" i="48"/>
  <c r="AD17" i="48"/>
  <c r="AD22" i="48" s="1"/>
  <c r="X22" i="48"/>
  <c r="V21" i="48"/>
  <c r="W20" i="48"/>
  <c r="V20" i="48"/>
  <c r="V18" i="48"/>
  <c r="W17" i="48"/>
  <c r="W22" i="48" s="1"/>
  <c r="V17" i="48"/>
  <c r="P20" i="48"/>
  <c r="O20" i="48" s="1"/>
  <c r="O21" i="48"/>
  <c r="P18" i="48"/>
  <c r="O18" i="48" s="1"/>
  <c r="P17" i="48"/>
  <c r="O17" i="48" s="1"/>
  <c r="K21" i="48"/>
  <c r="J21" i="48" s="1"/>
  <c r="K20" i="48"/>
  <c r="J20" i="48" s="1"/>
  <c r="K18" i="48"/>
  <c r="L18" i="48" s="1"/>
  <c r="K17" i="48"/>
  <c r="J17" i="48" s="1"/>
  <c r="I21" i="48"/>
  <c r="I20" i="48"/>
  <c r="I14" i="48"/>
  <c r="I12" i="48"/>
  <c r="I13" i="48"/>
  <c r="P12" i="48"/>
  <c r="O12" i="48" s="1"/>
  <c r="G20" i="48"/>
  <c r="W14" i="48"/>
  <c r="W38" i="48" s="1"/>
  <c r="Y38" i="48" s="1"/>
  <c r="P14" i="48"/>
  <c r="P38" i="48" s="1"/>
  <c r="R38" i="48" s="1"/>
  <c r="J14" i="48"/>
  <c r="AK12" i="48"/>
  <c r="K15" i="48"/>
  <c r="K14" i="48"/>
  <c r="K12" i="48"/>
  <c r="G14" i="48"/>
  <c r="G11" i="48"/>
  <c r="K64" i="52"/>
  <c r="P6" i="52"/>
  <c r="P5" i="52"/>
  <c r="R14" i="48" l="1"/>
  <c r="O14" i="48"/>
  <c r="BO36" i="48"/>
  <c r="BL38" i="48"/>
  <c r="BM40" i="48"/>
  <c r="BE38" i="48"/>
  <c r="BF40" i="48"/>
  <c r="AY40" i="48"/>
  <c r="AR40" i="48"/>
  <c r="AK40" i="48"/>
  <c r="AC38" i="48"/>
  <c r="AF39" i="48"/>
  <c r="AD40" i="48"/>
  <c r="V38" i="48"/>
  <c r="W40" i="48"/>
  <c r="V35" i="48"/>
  <c r="R36" i="48"/>
  <c r="R35" i="48"/>
  <c r="O38" i="48"/>
  <c r="L30" i="48"/>
  <c r="V32" i="48"/>
  <c r="J32" i="48"/>
  <c r="AQ32" i="48"/>
  <c r="BE32" i="48"/>
  <c r="BE30" i="48"/>
  <c r="P32" i="48"/>
  <c r="R32" i="48" s="1"/>
  <c r="AX32" i="48"/>
  <c r="AC32" i="48"/>
  <c r="J33" i="48"/>
  <c r="O33" i="48"/>
  <c r="V30" i="48"/>
  <c r="BL32" i="48"/>
  <c r="AJ30" i="48"/>
  <c r="I38" i="48"/>
  <c r="AX30" i="48"/>
  <c r="BL30" i="48"/>
  <c r="P30" i="48"/>
  <c r="AC30" i="48"/>
  <c r="J29" i="48"/>
  <c r="J30" i="48"/>
  <c r="V33" i="48"/>
  <c r="AC33" i="48"/>
  <c r="AJ33" i="48"/>
  <c r="AQ33" i="48"/>
  <c r="AX33" i="48"/>
  <c r="BE33" i="48"/>
  <c r="J24" i="48"/>
  <c r="P28" i="48"/>
  <c r="O23" i="48"/>
  <c r="J23" i="48"/>
  <c r="BO22" i="48"/>
  <c r="BL22" i="48"/>
  <c r="BE17" i="48"/>
  <c r="BF22" i="48"/>
  <c r="AX17" i="48"/>
  <c r="AR22" i="48"/>
  <c r="AK22" i="48"/>
  <c r="AF22" i="48"/>
  <c r="AC22" i="48"/>
  <c r="AC17" i="48"/>
  <c r="AF17" i="48"/>
  <c r="Y22" i="48"/>
  <c r="V22" i="48"/>
  <c r="Y17" i="48"/>
  <c r="J18" i="48"/>
  <c r="L17" i="48"/>
  <c r="V12" i="48"/>
  <c r="AR12" i="48"/>
  <c r="AJ12" i="48"/>
  <c r="AC12" i="48"/>
  <c r="AJ11" i="59"/>
  <c r="AI11" i="59"/>
  <c r="AH11" i="59"/>
  <c r="AG11" i="59"/>
  <c r="AF11" i="59"/>
  <c r="AE11" i="59"/>
  <c r="AD11" i="59"/>
  <c r="AC11" i="59"/>
  <c r="AB11" i="59"/>
  <c r="AA11" i="59"/>
  <c r="Z11" i="59"/>
  <c r="Y11" i="59"/>
  <c r="X11" i="59"/>
  <c r="W11" i="59"/>
  <c r="V11" i="59"/>
  <c r="U11" i="59"/>
  <c r="T11" i="59"/>
  <c r="S11" i="59"/>
  <c r="Q11" i="59"/>
  <c r="P11" i="59"/>
  <c r="O11" i="59"/>
  <c r="N11" i="59"/>
  <c r="M11" i="59"/>
  <c r="L11" i="59"/>
  <c r="J11" i="59"/>
  <c r="AJ10" i="59"/>
  <c r="AI10" i="59"/>
  <c r="AH10" i="59"/>
  <c r="AG10" i="59"/>
  <c r="AF10" i="59"/>
  <c r="AE10" i="59"/>
  <c r="AD10" i="59"/>
  <c r="AC10" i="59"/>
  <c r="AB10" i="59"/>
  <c r="AA10" i="59"/>
  <c r="Z10" i="59"/>
  <c r="Y10" i="59"/>
  <c r="X10" i="59"/>
  <c r="W10" i="59"/>
  <c r="V10" i="59"/>
  <c r="U10" i="59"/>
  <c r="T10" i="59"/>
  <c r="S10" i="59"/>
  <c r="Q10" i="59"/>
  <c r="P10" i="59"/>
  <c r="O10" i="59"/>
  <c r="N10" i="59"/>
  <c r="M10" i="59"/>
  <c r="L10" i="59"/>
  <c r="J10" i="59"/>
  <c r="AJ9" i="59"/>
  <c r="AI9" i="59"/>
  <c r="AH9" i="59"/>
  <c r="AG9" i="59"/>
  <c r="AF9" i="59"/>
  <c r="AE9" i="59"/>
  <c r="AD9" i="59"/>
  <c r="AC9" i="59"/>
  <c r="AB9" i="59"/>
  <c r="AA9" i="59"/>
  <c r="Z9" i="59"/>
  <c r="Y9" i="59"/>
  <c r="X9" i="59"/>
  <c r="W9" i="59"/>
  <c r="V9" i="59"/>
  <c r="U9" i="59"/>
  <c r="T9" i="59"/>
  <c r="S9" i="59"/>
  <c r="Q9" i="59"/>
  <c r="P9" i="59"/>
  <c r="O9" i="59"/>
  <c r="N9" i="59"/>
  <c r="M9" i="59"/>
  <c r="L9" i="59"/>
  <c r="J9" i="59"/>
  <c r="AJ8" i="59"/>
  <c r="AI8" i="59"/>
  <c r="AH8" i="59"/>
  <c r="AG8" i="59"/>
  <c r="AF8" i="59"/>
  <c r="AE8" i="59"/>
  <c r="AD8" i="59"/>
  <c r="AC8" i="59"/>
  <c r="AB8" i="59"/>
  <c r="AA8" i="59"/>
  <c r="Z8" i="59"/>
  <c r="Y8" i="59"/>
  <c r="X8" i="59"/>
  <c r="W8" i="59"/>
  <c r="V8" i="59"/>
  <c r="U8" i="59"/>
  <c r="T8" i="59"/>
  <c r="S8" i="59"/>
  <c r="Q8" i="59"/>
  <c r="P8" i="59"/>
  <c r="O8" i="59"/>
  <c r="N8" i="59"/>
  <c r="M8" i="59"/>
  <c r="L8" i="59"/>
  <c r="J8" i="59"/>
  <c r="G11" i="59"/>
  <c r="G10" i="59"/>
  <c r="G9" i="59"/>
  <c r="G8" i="59"/>
  <c r="AJ7" i="59"/>
  <c r="AI7" i="59"/>
  <c r="AH7" i="59"/>
  <c r="AG7" i="59"/>
  <c r="AF7" i="59"/>
  <c r="AE7" i="59"/>
  <c r="AD7" i="59"/>
  <c r="AC7" i="59"/>
  <c r="AB7" i="59"/>
  <c r="AA7" i="59"/>
  <c r="Z7" i="59"/>
  <c r="Y7" i="59"/>
  <c r="X7" i="59"/>
  <c r="W7" i="59"/>
  <c r="V7" i="59"/>
  <c r="U7" i="59"/>
  <c r="T7" i="59"/>
  <c r="S7" i="59"/>
  <c r="R7" i="59"/>
  <c r="Q7" i="59"/>
  <c r="O7" i="59"/>
  <c r="N7" i="59"/>
  <c r="M7" i="59"/>
  <c r="L7" i="59"/>
  <c r="J7" i="59"/>
  <c r="C11" i="59"/>
  <c r="C10" i="59"/>
  <c r="C9" i="59"/>
  <c r="C8" i="59"/>
  <c r="C7" i="59"/>
  <c r="AJ6" i="59"/>
  <c r="AI6" i="59"/>
  <c r="AH6" i="59"/>
  <c r="AG6" i="59"/>
  <c r="AF6" i="59"/>
  <c r="AE6" i="59"/>
  <c r="AD6" i="59"/>
  <c r="AC6" i="59"/>
  <c r="AB6" i="59"/>
  <c r="AA6" i="59"/>
  <c r="Z6" i="59"/>
  <c r="Y6" i="59"/>
  <c r="W6" i="59"/>
  <c r="V6" i="59"/>
  <c r="U6" i="59"/>
  <c r="T6" i="59"/>
  <c r="S6" i="59"/>
  <c r="Q6" i="59"/>
  <c r="O6" i="59"/>
  <c r="N6" i="59"/>
  <c r="M6" i="59"/>
  <c r="L6" i="59"/>
  <c r="AJ12" i="59"/>
  <c r="AI12" i="59"/>
  <c r="AH12" i="59"/>
  <c r="AG12" i="59"/>
  <c r="AF12" i="59"/>
  <c r="AE12" i="59"/>
  <c r="AD12" i="59"/>
  <c r="AC12" i="59"/>
  <c r="AB12" i="59"/>
  <c r="AA12" i="59"/>
  <c r="Z12" i="59"/>
  <c r="Y12" i="59"/>
  <c r="W12" i="59"/>
  <c r="V12" i="59"/>
  <c r="U12" i="59"/>
  <c r="T12" i="59"/>
  <c r="S12" i="59"/>
  <c r="Q12" i="59"/>
  <c r="P12" i="59"/>
  <c r="O12" i="59"/>
  <c r="N12" i="59"/>
  <c r="M12" i="59"/>
  <c r="L12" i="59"/>
  <c r="J12" i="59"/>
  <c r="R34" i="59"/>
  <c r="R33" i="59"/>
  <c r="R32" i="59"/>
  <c r="R31" i="59"/>
  <c r="E34" i="59"/>
  <c r="E33" i="59"/>
  <c r="E32" i="59"/>
  <c r="E31" i="59"/>
  <c r="D34" i="59"/>
  <c r="D33" i="59"/>
  <c r="D32" i="59"/>
  <c r="D31" i="59"/>
  <c r="R30" i="59"/>
  <c r="R11" i="59" s="1"/>
  <c r="R29" i="59"/>
  <c r="R10" i="59" s="1"/>
  <c r="R28" i="59"/>
  <c r="R9" i="59" s="1"/>
  <c r="R27" i="59"/>
  <c r="R8" i="59" s="1"/>
  <c r="AQ38" i="48" l="1"/>
  <c r="AJ38" i="48"/>
  <c r="AX38" i="48"/>
  <c r="BO40" i="48"/>
  <c r="BH40" i="48"/>
  <c r="BA40" i="48"/>
  <c r="AT40" i="48"/>
  <c r="AM40" i="48"/>
  <c r="AF40" i="48"/>
  <c r="Y40" i="48"/>
  <c r="O32" i="48"/>
  <c r="O30" i="48"/>
  <c r="R30" i="48"/>
  <c r="R28" i="48"/>
  <c r="O28" i="48"/>
  <c r="BH22" i="48"/>
  <c r="BE22" i="48"/>
  <c r="AT22" i="48"/>
  <c r="AQ22" i="48"/>
  <c r="AM22" i="48"/>
  <c r="AJ22" i="48"/>
  <c r="AQ12" i="48"/>
  <c r="AY12" i="48"/>
  <c r="C6" i="59"/>
  <c r="R6" i="59"/>
  <c r="R12" i="59"/>
  <c r="E12" i="59"/>
  <c r="E30" i="59"/>
  <c r="E29" i="59"/>
  <c r="E28" i="59"/>
  <c r="E27" i="59"/>
  <c r="D30" i="59"/>
  <c r="D29" i="59"/>
  <c r="D28" i="59"/>
  <c r="D27" i="59"/>
  <c r="P22" i="59"/>
  <c r="K22" i="59" s="1"/>
  <c r="P26" i="59"/>
  <c r="K26" i="59" s="1"/>
  <c r="P25" i="59"/>
  <c r="K25" i="59" s="1"/>
  <c r="P24" i="59"/>
  <c r="K24" i="59" s="1"/>
  <c r="P23" i="59"/>
  <c r="K23" i="59" s="1"/>
  <c r="G34" i="59"/>
  <c r="G33" i="59"/>
  <c r="G32" i="59"/>
  <c r="G31" i="59"/>
  <c r="X34" i="59"/>
  <c r="X33" i="59"/>
  <c r="X32" i="59"/>
  <c r="X31" i="59"/>
  <c r="X30" i="59"/>
  <c r="X29" i="59"/>
  <c r="X28" i="59"/>
  <c r="X27" i="59"/>
  <c r="X26" i="59"/>
  <c r="X25" i="59"/>
  <c r="X24" i="59"/>
  <c r="X23" i="59"/>
  <c r="X22" i="59"/>
  <c r="X21" i="59"/>
  <c r="X20" i="59"/>
  <c r="X19" i="59"/>
  <c r="X18" i="59"/>
  <c r="X17" i="59"/>
  <c r="X16" i="59"/>
  <c r="X15" i="59"/>
  <c r="X14" i="59"/>
  <c r="X13" i="59"/>
  <c r="K34" i="59"/>
  <c r="K33" i="59"/>
  <c r="K32" i="59"/>
  <c r="K31" i="59"/>
  <c r="K30" i="59"/>
  <c r="K11" i="59" s="1"/>
  <c r="K29" i="59"/>
  <c r="K10" i="59" s="1"/>
  <c r="K28" i="59"/>
  <c r="K9" i="59" s="1"/>
  <c r="K27" i="59"/>
  <c r="K8" i="59" s="1"/>
  <c r="K20" i="59"/>
  <c r="K19" i="59"/>
  <c r="K18" i="59"/>
  <c r="K17" i="59"/>
  <c r="K16" i="59"/>
  <c r="K15" i="59"/>
  <c r="K14" i="59"/>
  <c r="P21" i="59"/>
  <c r="E26" i="59"/>
  <c r="G26" i="59" s="1"/>
  <c r="E25" i="59"/>
  <c r="G25" i="59" s="1"/>
  <c r="E24" i="59"/>
  <c r="G24" i="59" s="1"/>
  <c r="E23" i="59"/>
  <c r="G23" i="59" s="1"/>
  <c r="E22" i="59"/>
  <c r="G22" i="59" s="1"/>
  <c r="E21" i="59"/>
  <c r="D26" i="59"/>
  <c r="D25" i="59"/>
  <c r="D24" i="59"/>
  <c r="D23" i="59"/>
  <c r="D22" i="59"/>
  <c r="D21" i="59"/>
  <c r="J20" i="59"/>
  <c r="J19" i="59"/>
  <c r="J18" i="59"/>
  <c r="J17" i="59"/>
  <c r="J16" i="59"/>
  <c r="J15" i="59"/>
  <c r="J14" i="59"/>
  <c r="C14" i="59"/>
  <c r="C15" i="59" s="1"/>
  <c r="C16" i="59" s="1"/>
  <c r="C17" i="59" s="1"/>
  <c r="C18" i="59" s="1"/>
  <c r="C19" i="59" s="1"/>
  <c r="C20" i="59" s="1"/>
  <c r="C21" i="59" s="1"/>
  <c r="C22" i="59" s="1"/>
  <c r="C23" i="59" s="1"/>
  <c r="C24" i="59" s="1"/>
  <c r="C25" i="59" s="1"/>
  <c r="C26" i="59" s="1"/>
  <c r="C32" i="59" s="1"/>
  <c r="C33" i="59" s="1"/>
  <c r="C34" i="59" s="1"/>
  <c r="K13" i="59"/>
  <c r="J13" i="59"/>
  <c r="E20" i="59"/>
  <c r="G20" i="59" s="1"/>
  <c r="E19" i="59"/>
  <c r="G19" i="59" s="1"/>
  <c r="E18" i="59"/>
  <c r="G18" i="59" s="1"/>
  <c r="E17" i="59"/>
  <c r="G17" i="59" s="1"/>
  <c r="E16" i="59"/>
  <c r="G16" i="59" s="1"/>
  <c r="E15" i="59"/>
  <c r="G15" i="59" s="1"/>
  <c r="E14" i="59"/>
  <c r="G14" i="59" s="1"/>
  <c r="E13" i="59"/>
  <c r="D20" i="59"/>
  <c r="D19" i="59"/>
  <c r="D18" i="59"/>
  <c r="D17" i="59"/>
  <c r="D16" i="59"/>
  <c r="D15" i="59"/>
  <c r="D14" i="59"/>
  <c r="D13" i="59"/>
  <c r="L24" i="58"/>
  <c r="L23" i="58"/>
  <c r="D29" i="58"/>
  <c r="G29" i="58"/>
  <c r="D30" i="58"/>
  <c r="E30" i="58" s="1"/>
  <c r="G30" i="58"/>
  <c r="D31" i="58"/>
  <c r="D23" i="55" s="1"/>
  <c r="E23" i="55" s="1"/>
  <c r="E31" i="58"/>
  <c r="G31" i="58"/>
  <c r="D32" i="58"/>
  <c r="G32" i="58"/>
  <c r="F34" i="58"/>
  <c r="G34" i="58"/>
  <c r="F51" i="53"/>
  <c r="F53" i="53" s="1"/>
  <c r="C53" i="53"/>
  <c r="C54" i="53"/>
  <c r="C55" i="53"/>
  <c r="C56" i="53"/>
  <c r="F27" i="59" l="1"/>
  <c r="E8" i="59"/>
  <c r="F28" i="59"/>
  <c r="E9" i="59"/>
  <c r="F29" i="59"/>
  <c r="E10" i="59"/>
  <c r="F30" i="59"/>
  <c r="E11" i="59"/>
  <c r="G21" i="59"/>
  <c r="G7" i="59" s="1"/>
  <c r="E7" i="59"/>
  <c r="AX12" i="48"/>
  <c r="P7" i="59"/>
  <c r="I24" i="59"/>
  <c r="H24" i="59" s="1"/>
  <c r="X12" i="59"/>
  <c r="K12" i="59"/>
  <c r="J6" i="59"/>
  <c r="X6" i="59"/>
  <c r="E6" i="59"/>
  <c r="G12" i="59"/>
  <c r="P6" i="59"/>
  <c r="I33" i="59"/>
  <c r="H33" i="59" s="1"/>
  <c r="G13" i="59"/>
  <c r="K21" i="59"/>
  <c r="I20" i="59"/>
  <c r="H20" i="59" s="1"/>
  <c r="I19" i="59"/>
  <c r="H19" i="59" s="1"/>
  <c r="I23" i="59"/>
  <c r="H23" i="59" s="1"/>
  <c r="I25" i="59"/>
  <c r="H25" i="59" s="1"/>
  <c r="I22" i="59"/>
  <c r="H22" i="59" s="1"/>
  <c r="I26" i="59"/>
  <c r="H26" i="59" s="1"/>
  <c r="I27" i="59"/>
  <c r="I8" i="59" s="1"/>
  <c r="H8" i="59" s="1"/>
  <c r="I16" i="59"/>
  <c r="H16" i="59" s="1"/>
  <c r="I28" i="59"/>
  <c r="I9" i="59" s="1"/>
  <c r="H9" i="59" s="1"/>
  <c r="I17" i="59"/>
  <c r="H17" i="59" s="1"/>
  <c r="I29" i="59"/>
  <c r="I10" i="59" s="1"/>
  <c r="H10" i="59" s="1"/>
  <c r="I34" i="59"/>
  <c r="H34" i="59" s="1"/>
  <c r="I18" i="59"/>
  <c r="H18" i="59" s="1"/>
  <c r="I30" i="59"/>
  <c r="I11" i="59" s="1"/>
  <c r="H11" i="59" s="1"/>
  <c r="I31" i="59"/>
  <c r="I32" i="59"/>
  <c r="H32" i="59" s="1"/>
  <c r="I13" i="59"/>
  <c r="I14" i="59"/>
  <c r="H14" i="59" s="1"/>
  <c r="I15" i="59"/>
  <c r="H15" i="59" s="1"/>
  <c r="E29" i="58"/>
  <c r="C57" i="53"/>
  <c r="D54" i="53" s="1"/>
  <c r="BL12" i="48" l="1"/>
  <c r="BE12" i="48"/>
  <c r="K6" i="59"/>
  <c r="I6" i="59" s="1"/>
  <c r="K7" i="59"/>
  <c r="G6" i="59"/>
  <c r="H31" i="59"/>
  <c r="I12" i="59"/>
  <c r="H12" i="59" s="1"/>
  <c r="I21" i="59"/>
  <c r="H13" i="59"/>
  <c r="D55" i="53"/>
  <c r="D53" i="53"/>
  <c r="D56" i="53"/>
  <c r="H21" i="59" l="1"/>
  <c r="I7" i="59"/>
  <c r="H7" i="59" s="1"/>
  <c r="D57" i="53"/>
  <c r="X52" i="52" l="1"/>
  <c r="X51" i="52" s="1"/>
  <c r="V52" i="52"/>
  <c r="V51" i="52" s="1"/>
  <c r="T52" i="52"/>
  <c r="T51" i="52" s="1"/>
  <c r="R52" i="52"/>
  <c r="R51" i="52"/>
  <c r="G20" i="58" l="1"/>
  <c r="H20" i="58" s="1"/>
  <c r="G19" i="58"/>
  <c r="H19" i="58" s="1"/>
  <c r="G18" i="58"/>
  <c r="H18" i="58" s="1"/>
  <c r="G17" i="58"/>
  <c r="H17" i="58" s="1"/>
  <c r="P20" i="58"/>
  <c r="P19" i="58"/>
  <c r="P18" i="58"/>
  <c r="P17" i="58"/>
  <c r="P14" i="58"/>
  <c r="P13" i="58"/>
  <c r="P12" i="58"/>
  <c r="P11" i="58"/>
  <c r="J20" i="58"/>
  <c r="J19" i="58"/>
  <c r="J18" i="58"/>
  <c r="J17" i="58"/>
  <c r="T22" i="58" l="1"/>
  <c r="T21" i="58" s="1"/>
  <c r="R22" i="58"/>
  <c r="R21" i="58" s="1"/>
  <c r="J22" i="58"/>
  <c r="J21" i="58" s="1"/>
  <c r="N20" i="58"/>
  <c r="L50" i="52"/>
  <c r="L52" i="52" s="1"/>
  <c r="X50" i="52"/>
  <c r="W50" i="52"/>
  <c r="V50" i="52"/>
  <c r="S50" i="52"/>
  <c r="R50" i="52"/>
  <c r="X30" i="52"/>
  <c r="Q60" i="52"/>
  <c r="Q59" i="52"/>
  <c r="Q58" i="52"/>
  <c r="Q57" i="52"/>
  <c r="Q48" i="52"/>
  <c r="Q47" i="52"/>
  <c r="Q46" i="52"/>
  <c r="Q45" i="52"/>
  <c r="Q44" i="52"/>
  <c r="Q43" i="52"/>
  <c r="Q42" i="52"/>
  <c r="Q41" i="52"/>
  <c r="Q40" i="52"/>
  <c r="Q39" i="52"/>
  <c r="Q38" i="52"/>
  <c r="Q37" i="52"/>
  <c r="Q36" i="52"/>
  <c r="Q35" i="52"/>
  <c r="Q34" i="52"/>
  <c r="Q33" i="52"/>
  <c r="Q32" i="52"/>
  <c r="Q31" i="52"/>
  <c r="Q28" i="52"/>
  <c r="Q27" i="52"/>
  <c r="Q26" i="52"/>
  <c r="Q25" i="52"/>
  <c r="Q24" i="52"/>
  <c r="Q23" i="52"/>
  <c r="Q22" i="52"/>
  <c r="Q21" i="52"/>
  <c r="Q20" i="52"/>
  <c r="Q19" i="52"/>
  <c r="Q18" i="52"/>
  <c r="Q17" i="52"/>
  <c r="Q16" i="52"/>
  <c r="Q15" i="52"/>
  <c r="N48" i="52"/>
  <c r="N47" i="52"/>
  <c r="N46" i="52"/>
  <c r="N45" i="52"/>
  <c r="N44" i="52"/>
  <c r="N43" i="52"/>
  <c r="N42" i="52"/>
  <c r="N41" i="52"/>
  <c r="N40" i="52"/>
  <c r="N39" i="52"/>
  <c r="N38" i="52"/>
  <c r="N37" i="52"/>
  <c r="N36" i="52"/>
  <c r="N35" i="52"/>
  <c r="N28" i="52"/>
  <c r="N27" i="52"/>
  <c r="N26" i="52"/>
  <c r="N25" i="52"/>
  <c r="N24" i="52"/>
  <c r="N23" i="52"/>
  <c r="N22" i="52"/>
  <c r="N21" i="52"/>
  <c r="N20" i="52"/>
  <c r="N19" i="52"/>
  <c r="N18" i="52"/>
  <c r="N17" i="52"/>
  <c r="N16" i="52"/>
  <c r="N15" i="52"/>
  <c r="Y38" i="52"/>
  <c r="Y37" i="52"/>
  <c r="Y36" i="52"/>
  <c r="Y35" i="52"/>
  <c r="U34" i="52"/>
  <c r="U33" i="52"/>
  <c r="U32" i="52"/>
  <c r="U31" i="52"/>
  <c r="T34" i="52"/>
  <c r="T33" i="52"/>
  <c r="T32" i="52"/>
  <c r="T31" i="52"/>
  <c r="U38" i="52"/>
  <c r="U37" i="52"/>
  <c r="U36" i="52"/>
  <c r="U35" i="52"/>
  <c r="T38" i="52"/>
  <c r="T37" i="52"/>
  <c r="T36" i="52"/>
  <c r="T35" i="52"/>
  <c r="P34" i="52"/>
  <c r="N34" i="52" s="1"/>
  <c r="P33" i="52"/>
  <c r="N33" i="52" s="1"/>
  <c r="P32" i="52"/>
  <c r="N32" i="52" s="1"/>
  <c r="P31" i="52"/>
  <c r="N31" i="52" s="1"/>
  <c r="O34" i="52"/>
  <c r="O33" i="52"/>
  <c r="O32" i="52"/>
  <c r="O31" i="52"/>
  <c r="Y18" i="52"/>
  <c r="Y17" i="52"/>
  <c r="Y16" i="52"/>
  <c r="Y15" i="52"/>
  <c r="W18" i="52"/>
  <c r="W17" i="52"/>
  <c r="W16" i="52"/>
  <c r="W15" i="52"/>
  <c r="V18" i="52"/>
  <c r="V17" i="52"/>
  <c r="V16" i="52"/>
  <c r="V15" i="52"/>
  <c r="AA53" i="46"/>
  <c r="AA47" i="46"/>
  <c r="AA41" i="46"/>
  <c r="AA35" i="46"/>
  <c r="L51" i="52" l="1"/>
  <c r="V30" i="52"/>
  <c r="N50" i="52"/>
  <c r="W30" i="52"/>
  <c r="W29" i="52" s="1"/>
  <c r="Y50" i="52"/>
  <c r="Y52" i="52" s="1"/>
  <c r="Y51" i="52" s="1"/>
  <c r="Q62" i="52"/>
  <c r="Q61" i="52" s="1"/>
  <c r="U50" i="52"/>
  <c r="Q50" i="52"/>
  <c r="P50" i="52"/>
  <c r="Y30" i="52"/>
  <c r="Y29" i="52" s="1"/>
  <c r="O50" i="52"/>
  <c r="T50" i="52"/>
  <c r="G21" i="58"/>
  <c r="H21" i="58"/>
  <c r="P22" i="58"/>
  <c r="P21" i="58" s="1"/>
  <c r="T14" i="52"/>
  <c r="T13" i="52"/>
  <c r="T12" i="52"/>
  <c r="S14" i="52"/>
  <c r="Q14" i="52" s="1"/>
  <c r="S13" i="52"/>
  <c r="Q13" i="52" s="1"/>
  <c r="S12" i="52"/>
  <c r="Q12" i="52" s="1"/>
  <c r="R14" i="52"/>
  <c r="R13" i="52"/>
  <c r="R12" i="52"/>
  <c r="P14" i="52"/>
  <c r="N14" i="52" s="1"/>
  <c r="O14" i="52"/>
  <c r="P13" i="52"/>
  <c r="N13" i="52" s="1"/>
  <c r="O13" i="52"/>
  <c r="P12" i="52"/>
  <c r="N12" i="52" s="1"/>
  <c r="O12" i="52"/>
  <c r="P11" i="52"/>
  <c r="AO29" i="46"/>
  <c r="AO23" i="46"/>
  <c r="AH23" i="46" s="1"/>
  <c r="AO17" i="46"/>
  <c r="AH17" i="46" s="1"/>
  <c r="AO11" i="46"/>
  <c r="AR53" i="46"/>
  <c r="AR47" i="46"/>
  <c r="AR41" i="46"/>
  <c r="AR35" i="46"/>
  <c r="AR29" i="46"/>
  <c r="AR23" i="46"/>
  <c r="AR28" i="46"/>
  <c r="AR17" i="46"/>
  <c r="BR17" i="46" s="1"/>
  <c r="BR11" i="46"/>
  <c r="BX12" i="46"/>
  <c r="AR11" i="46"/>
  <c r="BU16" i="46"/>
  <c r="BZ12" i="46"/>
  <c r="BY12" i="46"/>
  <c r="BW12" i="46"/>
  <c r="BU12" i="46"/>
  <c r="BU11" i="46"/>
  <c r="BM53" i="46"/>
  <c r="BM47" i="46"/>
  <c r="BM41" i="46"/>
  <c r="BM35" i="46"/>
  <c r="BM29" i="46"/>
  <c r="BM23" i="46"/>
  <c r="BM17" i="46"/>
  <c r="BM11" i="46"/>
  <c r="BF53" i="46"/>
  <c r="BF47" i="46"/>
  <c r="BF41" i="46"/>
  <c r="BF35" i="46"/>
  <c r="BF29" i="46"/>
  <c r="BF23" i="46"/>
  <c r="BF17" i="46"/>
  <c r="BF11" i="46"/>
  <c r="AD53" i="46"/>
  <c r="AD47" i="46"/>
  <c r="AD41" i="46"/>
  <c r="AD35" i="46"/>
  <c r="AD29" i="46"/>
  <c r="AD23" i="46"/>
  <c r="AD17" i="46"/>
  <c r="AD11" i="46"/>
  <c r="G53" i="46"/>
  <c r="G47" i="46"/>
  <c r="G41" i="46"/>
  <c r="G35" i="46"/>
  <c r="G29" i="46"/>
  <c r="G23" i="46"/>
  <c r="G17" i="46"/>
  <c r="G16" i="46"/>
  <c r="G11" i="46"/>
  <c r="T11" i="52"/>
  <c r="R11" i="52"/>
  <c r="O11" i="52"/>
  <c r="K14" i="52"/>
  <c r="K13" i="52"/>
  <c r="K12" i="52"/>
  <c r="K11" i="52"/>
  <c r="I48" i="52"/>
  <c r="I47" i="52"/>
  <c r="I46" i="52"/>
  <c r="I45" i="52"/>
  <c r="I44" i="52"/>
  <c r="I43" i="52"/>
  <c r="I42" i="52"/>
  <c r="I41" i="52"/>
  <c r="I40" i="52"/>
  <c r="I39" i="52"/>
  <c r="I38" i="52"/>
  <c r="I37" i="52"/>
  <c r="I36" i="52"/>
  <c r="I35" i="52"/>
  <c r="I34" i="52"/>
  <c r="I33" i="52"/>
  <c r="I32" i="52"/>
  <c r="I31" i="52"/>
  <c r="D28" i="52"/>
  <c r="G28" i="52" s="1"/>
  <c r="D27" i="52"/>
  <c r="G27" i="52" s="1"/>
  <c r="D26" i="52"/>
  <c r="G26" i="52" s="1"/>
  <c r="D25" i="52"/>
  <c r="G25" i="52" s="1"/>
  <c r="D24" i="52"/>
  <c r="G24" i="52" s="1"/>
  <c r="D23" i="52"/>
  <c r="G23" i="52" s="1"/>
  <c r="D22" i="52"/>
  <c r="I22" i="52" s="1"/>
  <c r="D21" i="52"/>
  <c r="I21" i="52" s="1"/>
  <c r="D20" i="52"/>
  <c r="I20" i="52" s="1"/>
  <c r="D19" i="52"/>
  <c r="G19" i="52" s="1"/>
  <c r="D18" i="52"/>
  <c r="G18" i="52" s="1"/>
  <c r="D17" i="52"/>
  <c r="G17" i="52" s="1"/>
  <c r="D16" i="52"/>
  <c r="G16" i="52" s="1"/>
  <c r="D15" i="52"/>
  <c r="I15" i="52" s="1"/>
  <c r="D14" i="52"/>
  <c r="G14" i="52" s="1"/>
  <c r="D13" i="52"/>
  <c r="I13" i="52" s="1"/>
  <c r="D12" i="52"/>
  <c r="G12" i="52" s="1"/>
  <c r="D11" i="52"/>
  <c r="G11" i="52" s="1"/>
  <c r="F29" i="52"/>
  <c r="J28" i="52"/>
  <c r="H28" i="52"/>
  <c r="J27" i="52"/>
  <c r="H27" i="52"/>
  <c r="J26" i="52"/>
  <c r="H26" i="52"/>
  <c r="J25" i="52"/>
  <c r="H25" i="52"/>
  <c r="J24" i="52"/>
  <c r="H24" i="52"/>
  <c r="J23" i="52"/>
  <c r="H23" i="52"/>
  <c r="J22" i="52"/>
  <c r="H22" i="52"/>
  <c r="J21" i="52"/>
  <c r="H21" i="52"/>
  <c r="J20" i="52"/>
  <c r="H20" i="52"/>
  <c r="J19" i="52"/>
  <c r="H19" i="52"/>
  <c r="AH29" i="46"/>
  <c r="AH11" i="46"/>
  <c r="AR57" i="46"/>
  <c r="AR56" i="46"/>
  <c r="AR55" i="46"/>
  <c r="AR54" i="46"/>
  <c r="AR51" i="46"/>
  <c r="AR50" i="46"/>
  <c r="AR49" i="46"/>
  <c r="AR48" i="46"/>
  <c r="AR45" i="46"/>
  <c r="AR44" i="46"/>
  <c r="AR43" i="46"/>
  <c r="AR42" i="46"/>
  <c r="AR39" i="46"/>
  <c r="AR38" i="46"/>
  <c r="AR37" i="46"/>
  <c r="AR36" i="46"/>
  <c r="AY57" i="46"/>
  <c r="AY56" i="46"/>
  <c r="AY55" i="46"/>
  <c r="AY54" i="46"/>
  <c r="AY51" i="46"/>
  <c r="AY50" i="46"/>
  <c r="AY49" i="46"/>
  <c r="AY48" i="46"/>
  <c r="AY45" i="46"/>
  <c r="AY44" i="46"/>
  <c r="AY43" i="46"/>
  <c r="AY42" i="46"/>
  <c r="AY39" i="46"/>
  <c r="AY38" i="46"/>
  <c r="AY37" i="46"/>
  <c r="AY36" i="46"/>
  <c r="BC53" i="46"/>
  <c r="AV53" i="46" s="1"/>
  <c r="AO53" i="46" s="1"/>
  <c r="AH53" i="46" s="1"/>
  <c r="BC47" i="46"/>
  <c r="AV47" i="46" s="1"/>
  <c r="AO47" i="46" s="1"/>
  <c r="AH47" i="46" s="1"/>
  <c r="BC41" i="46"/>
  <c r="AV41" i="46" s="1"/>
  <c r="AO41" i="46" s="1"/>
  <c r="AH41" i="46" s="1"/>
  <c r="AR33" i="46"/>
  <c r="AR32" i="46"/>
  <c r="AR31" i="46"/>
  <c r="AR30" i="46"/>
  <c r="AR27" i="46"/>
  <c r="AR26" i="46"/>
  <c r="AR25" i="46"/>
  <c r="AR24" i="46"/>
  <c r="AR21" i="46"/>
  <c r="AR20" i="46"/>
  <c r="AR19" i="46"/>
  <c r="AR18" i="46"/>
  <c r="AR15" i="46"/>
  <c r="AR14" i="46"/>
  <c r="AR13" i="46"/>
  <c r="AR12" i="46"/>
  <c r="AY33" i="46"/>
  <c r="AY32" i="46"/>
  <c r="AY31" i="46"/>
  <c r="AY30" i="46"/>
  <c r="AY27" i="46"/>
  <c r="AY26" i="46"/>
  <c r="AY25" i="46"/>
  <c r="AY24" i="46"/>
  <c r="AY21" i="46"/>
  <c r="AY20" i="46"/>
  <c r="AY19" i="46"/>
  <c r="AY18" i="46"/>
  <c r="AY15" i="46"/>
  <c r="AY14" i="46"/>
  <c r="AY13" i="46"/>
  <c r="AY12" i="46"/>
  <c r="AV29" i="46"/>
  <c r="AV23" i="46"/>
  <c r="AV17" i="46"/>
  <c r="AV11" i="46"/>
  <c r="BC35" i="46"/>
  <c r="AV35" i="46" s="1"/>
  <c r="AO35" i="46" s="1"/>
  <c r="AH35" i="46" s="1"/>
  <c r="BC29" i="46"/>
  <c r="BC23" i="46"/>
  <c r="BC17" i="46"/>
  <c r="BC11" i="46"/>
  <c r="BJ54" i="46"/>
  <c r="BJ48" i="46"/>
  <c r="BJ42" i="46"/>
  <c r="BJ36" i="46"/>
  <c r="D20" i="55" l="1"/>
  <c r="E20" i="55" s="1"/>
  <c r="Q49" i="52"/>
  <c r="W52" i="52"/>
  <c r="W51" i="52" s="1"/>
  <c r="G20" i="52"/>
  <c r="I50" i="52"/>
  <c r="I52" i="52" s="1"/>
  <c r="I51" i="52" s="1"/>
  <c r="K30" i="52"/>
  <c r="K29" i="52" s="1"/>
  <c r="N11" i="52"/>
  <c r="N30" i="52" s="1"/>
  <c r="N52" i="52" s="1"/>
  <c r="P30" i="52"/>
  <c r="O30" i="52"/>
  <c r="R30" i="52"/>
  <c r="T30" i="52"/>
  <c r="I17" i="52"/>
  <c r="G15" i="52"/>
  <c r="I18" i="52"/>
  <c r="I19" i="52"/>
  <c r="AA19" i="52" s="1"/>
  <c r="I16" i="52"/>
  <c r="I27" i="52"/>
  <c r="I28" i="52"/>
  <c r="AA28" i="52" s="1"/>
  <c r="G13" i="52"/>
  <c r="I26" i="52"/>
  <c r="I11" i="52"/>
  <c r="I12" i="52"/>
  <c r="P29" i="52"/>
  <c r="G21" i="52"/>
  <c r="G22" i="52"/>
  <c r="I23" i="52"/>
  <c r="I24" i="52"/>
  <c r="I25" i="52"/>
  <c r="I14" i="52"/>
  <c r="H14" i="52"/>
  <c r="AA20" i="52"/>
  <c r="AA21" i="52"/>
  <c r="H13" i="52"/>
  <c r="H12" i="52"/>
  <c r="W12" i="46"/>
  <c r="D19" i="55" l="1"/>
  <c r="E19" i="55" s="1"/>
  <c r="N51" i="52"/>
  <c r="M52" i="52"/>
  <c r="M51" i="52" s="1"/>
  <c r="P52" i="52"/>
  <c r="I30" i="52"/>
  <c r="G29" i="52"/>
  <c r="I29" i="52"/>
  <c r="G29" i="53"/>
  <c r="G23" i="53"/>
  <c r="G17" i="53"/>
  <c r="G11" i="53"/>
  <c r="G14" i="58"/>
  <c r="G13" i="58"/>
  <c r="G12" i="58"/>
  <c r="G11" i="58"/>
  <c r="P51" i="52" l="1"/>
  <c r="F7" i="55"/>
  <c r="T16" i="58"/>
  <c r="T15" i="58" s="1"/>
  <c r="J16" i="58"/>
  <c r="H14" i="58"/>
  <c r="H13" i="58"/>
  <c r="R16" i="58"/>
  <c r="R15" i="58" s="1"/>
  <c r="H12" i="58"/>
  <c r="H11" i="58"/>
  <c r="J15" i="58" l="1"/>
  <c r="J24" i="58"/>
  <c r="G15" i="58"/>
  <c r="G23" i="58" s="1"/>
  <c r="J23" i="58"/>
  <c r="H15" i="58"/>
  <c r="C28" i="58" s="1"/>
  <c r="R24" i="58"/>
  <c r="R23" i="58" s="1"/>
  <c r="T24" i="58"/>
  <c r="T23" i="58" s="1"/>
  <c r="D28" i="58" l="1"/>
  <c r="F28" i="58"/>
  <c r="C33" i="58"/>
  <c r="H23" i="58"/>
  <c r="Q5" i="53"/>
  <c r="R5" i="53" s="1"/>
  <c r="E6" i="53"/>
  <c r="F6" i="53" s="1"/>
  <c r="E5" i="53"/>
  <c r="E4" i="53"/>
  <c r="F4" i="53" s="1"/>
  <c r="E3" i="53"/>
  <c r="F5" i="53"/>
  <c r="BW11" i="53"/>
  <c r="BH61" i="37"/>
  <c r="E34" i="54"/>
  <c r="E33" i="54"/>
  <c r="E32" i="54"/>
  <c r="E31" i="54"/>
  <c r="E30" i="54"/>
  <c r="E29" i="54"/>
  <c r="E28" i="54"/>
  <c r="E27" i="54"/>
  <c r="G28" i="58" l="1"/>
  <c r="G33" i="58" s="1"/>
  <c r="F33" i="58"/>
  <c r="E28" i="58"/>
  <c r="E33" i="58" s="1"/>
  <c r="E34" i="58" s="1"/>
  <c r="D21" i="55"/>
  <c r="D33" i="58"/>
  <c r="E7" i="53"/>
  <c r="F3" i="53"/>
  <c r="F7" i="53" s="1"/>
  <c r="N14" i="54"/>
  <c r="L14" i="54"/>
  <c r="L13" i="54"/>
  <c r="L12" i="54"/>
  <c r="N11" i="54"/>
  <c r="L11" i="54"/>
  <c r="O44" i="57"/>
  <c r="O43" i="57" s="1"/>
  <c r="M44" i="57"/>
  <c r="M43" i="57" s="1"/>
  <c r="J42" i="57"/>
  <c r="I42" i="57"/>
  <c r="I41" i="57" s="1"/>
  <c r="J41" i="57"/>
  <c r="T40" i="57"/>
  <c r="T44" i="57" s="1"/>
  <c r="R40" i="57"/>
  <c r="R44" i="57" s="1"/>
  <c r="P40" i="57"/>
  <c r="P44" i="57" s="1"/>
  <c r="O40" i="57"/>
  <c r="M40" i="57"/>
  <c r="K40" i="57"/>
  <c r="K44" i="57" s="1"/>
  <c r="I40" i="57"/>
  <c r="I44" i="57" s="1"/>
  <c r="R39" i="57"/>
  <c r="O39" i="57"/>
  <c r="M39" i="57"/>
  <c r="I39" i="57"/>
  <c r="P38" i="57"/>
  <c r="K38" i="57"/>
  <c r="H38" i="57"/>
  <c r="F38" i="57"/>
  <c r="D38" i="57"/>
  <c r="P37" i="57"/>
  <c r="K37" i="57"/>
  <c r="H37" i="57"/>
  <c r="F37" i="57"/>
  <c r="D37" i="57"/>
  <c r="P36" i="57"/>
  <c r="K36" i="57"/>
  <c r="H36" i="57"/>
  <c r="F36" i="57"/>
  <c r="D36" i="57"/>
  <c r="P35" i="57"/>
  <c r="K35" i="57"/>
  <c r="H35" i="57"/>
  <c r="H40" i="57" s="1"/>
  <c r="F35" i="57"/>
  <c r="D35" i="57"/>
  <c r="T34" i="57"/>
  <c r="R34" i="57"/>
  <c r="O34" i="57"/>
  <c r="M34" i="57"/>
  <c r="M33" i="57" s="1"/>
  <c r="K34" i="57"/>
  <c r="I34" i="57"/>
  <c r="T33" i="57"/>
  <c r="R33" i="57"/>
  <c r="O33" i="57"/>
  <c r="K33" i="57"/>
  <c r="I33" i="57"/>
  <c r="W32" i="57"/>
  <c r="P32" i="57"/>
  <c r="H32" i="57" s="1"/>
  <c r="K32" i="57"/>
  <c r="V32" i="57" s="1"/>
  <c r="F32" i="57"/>
  <c r="G32" i="57" s="1"/>
  <c r="D32" i="57"/>
  <c r="P31" i="57"/>
  <c r="H31" i="57" s="1"/>
  <c r="K31" i="57"/>
  <c r="F31" i="57"/>
  <c r="W31" i="57" s="1"/>
  <c r="D31" i="57"/>
  <c r="P30" i="57"/>
  <c r="H30" i="57" s="1"/>
  <c r="K30" i="57"/>
  <c r="G30" i="57"/>
  <c r="F30" i="57"/>
  <c r="F33" i="57" s="1"/>
  <c r="D30" i="57"/>
  <c r="W29" i="57"/>
  <c r="P29" i="57"/>
  <c r="H29" i="57" s="1"/>
  <c r="H34" i="57" s="1"/>
  <c r="V34" i="57" s="1"/>
  <c r="K29" i="57"/>
  <c r="G29" i="57"/>
  <c r="F29" i="57"/>
  <c r="D29" i="57"/>
  <c r="T28" i="57"/>
  <c r="R28" i="57"/>
  <c r="O28" i="57"/>
  <c r="M28" i="57"/>
  <c r="I28" i="57"/>
  <c r="I27" i="57" s="1"/>
  <c r="T27" i="57"/>
  <c r="R27" i="57"/>
  <c r="O27" i="57"/>
  <c r="M27" i="57"/>
  <c r="W26" i="57"/>
  <c r="P26" i="57"/>
  <c r="K26" i="57"/>
  <c r="V26" i="57" s="1"/>
  <c r="G26" i="57"/>
  <c r="F26" i="57"/>
  <c r="D26" i="57"/>
  <c r="W25" i="57"/>
  <c r="P25" i="57"/>
  <c r="K25" i="57"/>
  <c r="V25" i="57" s="1"/>
  <c r="F25" i="57"/>
  <c r="G25" i="57" s="1"/>
  <c r="D25" i="57"/>
  <c r="W24" i="57"/>
  <c r="P24" i="57"/>
  <c r="K24" i="57"/>
  <c r="V24" i="57" s="1"/>
  <c r="G24" i="57"/>
  <c r="F24" i="57"/>
  <c r="D24" i="57"/>
  <c r="W23" i="57"/>
  <c r="P23" i="57"/>
  <c r="K23" i="57"/>
  <c r="V23" i="57" s="1"/>
  <c r="F23" i="57"/>
  <c r="G23" i="57" s="1"/>
  <c r="D23" i="57"/>
  <c r="W22" i="57"/>
  <c r="P22" i="57"/>
  <c r="K22" i="57"/>
  <c r="V22" i="57" s="1"/>
  <c r="G22" i="57"/>
  <c r="F22" i="57"/>
  <c r="D22" i="57"/>
  <c r="P21" i="57"/>
  <c r="P28" i="57" s="1"/>
  <c r="P27" i="57" s="1"/>
  <c r="K21" i="57"/>
  <c r="F21" i="57"/>
  <c r="G21" i="57" s="1"/>
  <c r="D21" i="57"/>
  <c r="T20" i="57"/>
  <c r="T19" i="57" s="1"/>
  <c r="R20" i="57"/>
  <c r="R42" i="57" s="1"/>
  <c r="R41" i="57" s="1"/>
  <c r="O20" i="57"/>
  <c r="O19" i="57" s="1"/>
  <c r="M20" i="57"/>
  <c r="M19" i="57" s="1"/>
  <c r="I20" i="57"/>
  <c r="I19" i="57" s="1"/>
  <c r="R19" i="57"/>
  <c r="P18" i="57"/>
  <c r="K18" i="57"/>
  <c r="F18" i="57"/>
  <c r="W18" i="57" s="1"/>
  <c r="D18" i="57"/>
  <c r="W17" i="57"/>
  <c r="V17" i="57"/>
  <c r="P17" i="57"/>
  <c r="K17" i="57"/>
  <c r="H17" i="57"/>
  <c r="F17" i="57"/>
  <c r="G17" i="57" s="1"/>
  <c r="D17" i="57"/>
  <c r="P16" i="57"/>
  <c r="K16" i="57"/>
  <c r="F16" i="57"/>
  <c r="W16" i="57" s="1"/>
  <c r="D16" i="57"/>
  <c r="P15" i="57"/>
  <c r="K15" i="57"/>
  <c r="H15" i="57"/>
  <c r="F15" i="57"/>
  <c r="G15" i="57" s="1"/>
  <c r="D15" i="57"/>
  <c r="P14" i="57"/>
  <c r="K14" i="57"/>
  <c r="F14" i="57"/>
  <c r="W14" i="57" s="1"/>
  <c r="D14" i="57"/>
  <c r="P13" i="57"/>
  <c r="K13" i="57"/>
  <c r="H13" i="57"/>
  <c r="F13" i="57"/>
  <c r="G13" i="57" s="1"/>
  <c r="D13" i="57"/>
  <c r="P12" i="57"/>
  <c r="K12" i="57"/>
  <c r="F12" i="57"/>
  <c r="W12" i="57" s="1"/>
  <c r="D12" i="57"/>
  <c r="P11" i="57"/>
  <c r="P20" i="57" s="1"/>
  <c r="K11" i="57"/>
  <c r="H11" i="57" s="1"/>
  <c r="F11" i="57"/>
  <c r="G11" i="57" s="1"/>
  <c r="D11" i="57"/>
  <c r="AA29" i="48"/>
  <c r="AA23" i="48"/>
  <c r="AA11" i="48"/>
  <c r="AL39" i="53"/>
  <c r="AK39" i="53"/>
  <c r="AL38" i="53"/>
  <c r="AK38" i="53"/>
  <c r="AL37" i="53"/>
  <c r="AK37" i="53"/>
  <c r="AL36" i="53"/>
  <c r="AK36" i="53"/>
  <c r="AL35" i="53"/>
  <c r="AL51" i="47"/>
  <c r="AL50" i="47"/>
  <c r="AL49" i="47"/>
  <c r="AL48" i="47"/>
  <c r="AL47" i="47"/>
  <c r="BE74" i="37"/>
  <c r="BE73" i="37"/>
  <c r="BE72" i="37"/>
  <c r="BE71" i="37"/>
  <c r="BE70" i="37"/>
  <c r="BE69" i="37"/>
  <c r="BE68" i="37"/>
  <c r="BE67" i="37"/>
  <c r="BE66" i="37"/>
  <c r="BE65" i="37"/>
  <c r="N13" i="54"/>
  <c r="N12" i="54"/>
  <c r="AA29" i="46"/>
  <c r="AA23" i="46"/>
  <c r="AA17" i="46"/>
  <c r="BJ30" i="46"/>
  <c r="BJ24" i="46"/>
  <c r="BJ18" i="46"/>
  <c r="BJ12" i="46"/>
  <c r="BE60" i="37"/>
  <c r="BE64" i="37"/>
  <c r="BE63" i="37"/>
  <c r="BE62" i="37"/>
  <c r="BE61" i="37"/>
  <c r="H36" i="48"/>
  <c r="G36" i="48"/>
  <c r="BS39" i="48"/>
  <c r="BS38" i="48"/>
  <c r="BR38" i="48"/>
  <c r="BS37" i="48"/>
  <c r="BR37" i="48"/>
  <c r="BR33" i="48"/>
  <c r="BS33" i="48"/>
  <c r="BR32" i="48"/>
  <c r="BS32" i="48"/>
  <c r="BR31" i="48"/>
  <c r="BS31" i="48"/>
  <c r="BS30" i="48"/>
  <c r="BR27" i="48"/>
  <c r="BS27" i="48"/>
  <c r="BR26" i="48"/>
  <c r="BS26" i="48"/>
  <c r="BR25" i="48"/>
  <c r="BS25" i="48"/>
  <c r="BS24" i="48"/>
  <c r="BR21" i="48"/>
  <c r="BS21" i="48"/>
  <c r="BR20" i="48"/>
  <c r="BS20" i="48"/>
  <c r="BS19" i="48"/>
  <c r="BR19" i="48"/>
  <c r="I18" i="48"/>
  <c r="AE16" i="48"/>
  <c r="AL16" i="48"/>
  <c r="AE28" i="48"/>
  <c r="AL28" i="48"/>
  <c r="AE34" i="48"/>
  <c r="AL34" i="48"/>
  <c r="L12" i="48"/>
  <c r="W30" i="57" l="1"/>
  <c r="G31" i="57"/>
  <c r="V30" i="57"/>
  <c r="G33" i="57"/>
  <c r="V21" i="57"/>
  <c r="W21" i="57"/>
  <c r="K36" i="48"/>
  <c r="BS36" i="48" s="1"/>
  <c r="E21" i="55"/>
  <c r="F39" i="57"/>
  <c r="F43" i="57" s="1"/>
  <c r="V14" i="57"/>
  <c r="V16" i="57"/>
  <c r="V12" i="57"/>
  <c r="V15" i="57"/>
  <c r="W15" i="57"/>
  <c r="V13" i="57"/>
  <c r="V18" i="57"/>
  <c r="W13" i="57"/>
  <c r="G19" i="57"/>
  <c r="P43" i="57"/>
  <c r="R46" i="57"/>
  <c r="R45" i="57" s="1"/>
  <c r="R43" i="57"/>
  <c r="T43" i="57"/>
  <c r="K43" i="57"/>
  <c r="G27" i="57"/>
  <c r="H20" i="57"/>
  <c r="I43" i="57"/>
  <c r="I46" i="57"/>
  <c r="I45" i="57" s="1"/>
  <c r="H44" i="57"/>
  <c r="V40" i="57"/>
  <c r="H39" i="57"/>
  <c r="P19" i="57"/>
  <c r="G16" i="57"/>
  <c r="V31" i="57"/>
  <c r="H12" i="57"/>
  <c r="H14" i="57"/>
  <c r="H16" i="57"/>
  <c r="H18" i="57"/>
  <c r="K20" i="57"/>
  <c r="V29" i="57"/>
  <c r="M42" i="57"/>
  <c r="M41" i="57" s="1"/>
  <c r="H22" i="57"/>
  <c r="H24" i="57"/>
  <c r="H26" i="57"/>
  <c r="K28" i="57"/>
  <c r="K27" i="57" s="1"/>
  <c r="K39" i="57"/>
  <c r="O42" i="57"/>
  <c r="O41" i="57" s="1"/>
  <c r="G12" i="57"/>
  <c r="G14" i="57"/>
  <c r="G18" i="57"/>
  <c r="F19" i="57"/>
  <c r="P39" i="57"/>
  <c r="T42" i="57"/>
  <c r="T41" i="57" s="1"/>
  <c r="F27" i="57"/>
  <c r="P34" i="57"/>
  <c r="P33" i="57" s="1"/>
  <c r="T39" i="57"/>
  <c r="M46" i="57"/>
  <c r="M45" i="57" s="1"/>
  <c r="H21" i="57"/>
  <c r="H28" i="57" s="1"/>
  <c r="V28" i="57" s="1"/>
  <c r="H23" i="57"/>
  <c r="H25" i="57"/>
  <c r="O46" i="57"/>
  <c r="O45" i="57" s="1"/>
  <c r="I36" i="48"/>
  <c r="L36" i="48"/>
  <c r="BR36" i="48"/>
  <c r="BR18" i="48"/>
  <c r="BS18" i="48"/>
  <c r="J36" i="48" l="1"/>
  <c r="G41" i="57"/>
  <c r="H43" i="57"/>
  <c r="K19" i="57"/>
  <c r="K42" i="57"/>
  <c r="F41" i="57"/>
  <c r="F45" i="57" s="1"/>
  <c r="H42" i="57"/>
  <c r="H41" i="57" s="1"/>
  <c r="T46" i="57"/>
  <c r="T45" i="57" s="1"/>
  <c r="P42" i="57"/>
  <c r="BT36" i="48"/>
  <c r="BT18" i="48"/>
  <c r="BT30" i="48"/>
  <c r="BR30" i="48"/>
  <c r="BT24" i="48"/>
  <c r="BR24" i="48"/>
  <c r="H46" i="57" l="1"/>
  <c r="H45" i="57" s="1"/>
  <c r="P41" i="57"/>
  <c r="P46" i="57"/>
  <c r="P45" i="57" s="1"/>
  <c r="K41" i="57"/>
  <c r="K46" i="57"/>
  <c r="K45" i="57" s="1"/>
  <c r="I35" i="58" l="1"/>
  <c r="D12" i="55"/>
  <c r="E12" i="55" s="1"/>
  <c r="E9" i="55"/>
  <c r="E8" i="55"/>
  <c r="E10" i="55" s="1"/>
  <c r="E6" i="55"/>
  <c r="D4" i="55"/>
  <c r="F18" i="54"/>
  <c r="G18" i="54" s="1"/>
  <c r="F17" i="54"/>
  <c r="G17" i="54" s="1"/>
  <c r="F16" i="54"/>
  <c r="G16" i="54" s="1"/>
  <c r="F15" i="54"/>
  <c r="G15" i="54" s="1"/>
  <c r="F14" i="54"/>
  <c r="G14" i="54" s="1"/>
  <c r="F13" i="54"/>
  <c r="G13" i="54" s="1"/>
  <c r="F12" i="54"/>
  <c r="G12" i="54" s="1"/>
  <c r="F11" i="54"/>
  <c r="G11" i="54" s="1"/>
  <c r="D18" i="54" l="1"/>
  <c r="D17" i="54"/>
  <c r="D16" i="54"/>
  <c r="D15" i="54"/>
  <c r="D14" i="54"/>
  <c r="D13" i="54"/>
  <c r="D12" i="54"/>
  <c r="D11" i="54"/>
  <c r="K15" i="54" l="1"/>
  <c r="K16" i="54"/>
  <c r="K18" i="54"/>
  <c r="K17" i="54"/>
  <c r="R20" i="54"/>
  <c r="R22" i="54" s="1"/>
  <c r="R21" i="54" s="1"/>
  <c r="F19" i="54"/>
  <c r="F21" i="54" s="1"/>
  <c r="I20" i="54" l="1"/>
  <c r="G19" i="54"/>
  <c r="G21" i="54" s="1"/>
  <c r="R19" i="54"/>
  <c r="I19" i="54" l="1"/>
  <c r="I22" i="54"/>
  <c r="I21" i="54" s="1"/>
  <c r="G27" i="53" l="1"/>
  <c r="G33" i="53"/>
  <c r="G30" i="53"/>
  <c r="G18" i="53"/>
  <c r="G14" i="53"/>
  <c r="G13" i="53"/>
  <c r="G12" i="53"/>
  <c r="BH57" i="37"/>
  <c r="BI55" i="37" l="1"/>
  <c r="BI53" i="37"/>
  <c r="BJ53" i="37" s="1"/>
  <c r="BI54" i="37"/>
  <c r="BJ54" i="37" s="1"/>
  <c r="BI56" i="37"/>
  <c r="BJ56" i="37" s="1"/>
  <c r="J48" i="52"/>
  <c r="J47" i="52"/>
  <c r="J46" i="52"/>
  <c r="J45" i="52"/>
  <c r="J44" i="52"/>
  <c r="J43" i="52"/>
  <c r="J42" i="52"/>
  <c r="H48" i="52"/>
  <c r="H47" i="52"/>
  <c r="H46" i="52"/>
  <c r="H45" i="52"/>
  <c r="H44" i="52"/>
  <c r="H43" i="52"/>
  <c r="H42" i="52"/>
  <c r="H41" i="52"/>
  <c r="H40" i="52"/>
  <c r="H39" i="52"/>
  <c r="F60" i="52"/>
  <c r="F59" i="52"/>
  <c r="F58" i="52"/>
  <c r="F57" i="52"/>
  <c r="W62" i="52"/>
  <c r="W61" i="52" s="1"/>
  <c r="U62" i="52"/>
  <c r="U61" i="52" s="1"/>
  <c r="P62" i="52"/>
  <c r="P61" i="52" s="1"/>
  <c r="L61" i="52"/>
  <c r="N60" i="52"/>
  <c r="J60" i="52"/>
  <c r="H60" i="52"/>
  <c r="H59" i="52"/>
  <c r="J58" i="52"/>
  <c r="Y62" i="52"/>
  <c r="Y61" i="52" s="1"/>
  <c r="N57" i="52"/>
  <c r="J57" i="52"/>
  <c r="BK56" i="37" l="1"/>
  <c r="E38" i="57" s="1"/>
  <c r="BK53" i="37"/>
  <c r="E35" i="57" s="1"/>
  <c r="BI57" i="37"/>
  <c r="BJ55" i="37"/>
  <c r="BJ57" i="37" s="1"/>
  <c r="BH59" i="37" s="1"/>
  <c r="BK54" i="37"/>
  <c r="E36" i="57" s="1"/>
  <c r="G60" i="52"/>
  <c r="I60" i="52"/>
  <c r="AA60" i="52" s="1"/>
  <c r="I59" i="52"/>
  <c r="G59" i="52"/>
  <c r="G58" i="52"/>
  <c r="I58" i="52"/>
  <c r="AA58" i="52" s="1"/>
  <c r="F61" i="52"/>
  <c r="I57" i="52"/>
  <c r="G57" i="52"/>
  <c r="N59" i="52"/>
  <c r="K62" i="52"/>
  <c r="K61" i="52" s="1"/>
  <c r="J59" i="52"/>
  <c r="H57" i="52"/>
  <c r="N58" i="52"/>
  <c r="S62" i="52"/>
  <c r="S61" i="52" s="1"/>
  <c r="H58" i="52"/>
  <c r="H62" i="52" s="1"/>
  <c r="H61" i="52" s="1"/>
  <c r="G32" i="53"/>
  <c r="G31" i="53"/>
  <c r="G26" i="53"/>
  <c r="G25" i="53"/>
  <c r="G24" i="53"/>
  <c r="G20" i="53"/>
  <c r="G19" i="53"/>
  <c r="G21" i="53"/>
  <c r="H14" i="53"/>
  <c r="H13" i="53"/>
  <c r="G15" i="53"/>
  <c r="H15" i="53" s="1"/>
  <c r="H11" i="53"/>
  <c r="F57" i="37"/>
  <c r="N62" i="52" l="1"/>
  <c r="N61" i="52" s="1"/>
  <c r="BK55" i="37"/>
  <c r="E37" i="57" s="1"/>
  <c r="W35" i="57"/>
  <c r="G35" i="57"/>
  <c r="V35" i="57"/>
  <c r="W38" i="57"/>
  <c r="V38" i="57"/>
  <c r="G38" i="57"/>
  <c r="G36" i="57"/>
  <c r="V36" i="57"/>
  <c r="I11" i="53"/>
  <c r="AD11" i="53" s="1"/>
  <c r="O11" i="58" s="1"/>
  <c r="M11" i="58" s="1"/>
  <c r="AA59" i="52"/>
  <c r="G61" i="52"/>
  <c r="I62" i="52"/>
  <c r="AA57" i="52"/>
  <c r="J62" i="52"/>
  <c r="I15" i="53"/>
  <c r="I14" i="53"/>
  <c r="I13" i="53"/>
  <c r="V37" i="57" l="1"/>
  <c r="G37" i="57"/>
  <c r="G39" i="57" s="1"/>
  <c r="G43" i="57" s="1"/>
  <c r="G45" i="57" s="1"/>
  <c r="AY15" i="53"/>
  <c r="BF15" i="53"/>
  <c r="W15" i="53"/>
  <c r="BM15" i="53"/>
  <c r="AR15" i="53"/>
  <c r="AD15" i="53"/>
  <c r="W13" i="53"/>
  <c r="BM13" i="53"/>
  <c r="BF13" i="53"/>
  <c r="AY13" i="53"/>
  <c r="AR13" i="53"/>
  <c r="AD13" i="53"/>
  <c r="BM14" i="53"/>
  <c r="AY14" i="53"/>
  <c r="BF14" i="53"/>
  <c r="AR14" i="53"/>
  <c r="AD14" i="53"/>
  <c r="W14" i="53"/>
  <c r="BM11" i="53"/>
  <c r="V11" i="58" s="1"/>
  <c r="X11" i="58" s="1"/>
  <c r="BF11" i="53"/>
  <c r="W11" i="53"/>
  <c r="AY11" i="53"/>
  <c r="AR11" i="53"/>
  <c r="P11" i="53"/>
  <c r="AA62" i="52"/>
  <c r="P14" i="53"/>
  <c r="P13" i="53"/>
  <c r="P15" i="53"/>
  <c r="H16" i="53"/>
  <c r="I12" i="53"/>
  <c r="BU11" i="53" l="1"/>
  <c r="BF12" i="53"/>
  <c r="AY12" i="53"/>
  <c r="AR12" i="53"/>
  <c r="AD12" i="53"/>
  <c r="W12" i="53"/>
  <c r="BM12" i="53"/>
  <c r="V17" i="58" s="1"/>
  <c r="P12" i="53"/>
  <c r="BT12" i="53" l="1"/>
  <c r="I11" i="58" l="1"/>
  <c r="BE57" i="37"/>
  <c r="BE56" i="37"/>
  <c r="BE54" i="37"/>
  <c r="BE53" i="37"/>
  <c r="AL40" i="53"/>
  <c r="BN39" i="53"/>
  <c r="BG39" i="53"/>
  <c r="BA39" i="53"/>
  <c r="AZ39" i="53"/>
  <c r="AT39" i="53"/>
  <c r="AS39" i="53"/>
  <c r="AE39" i="53"/>
  <c r="X39" i="53"/>
  <c r="Q39" i="53"/>
  <c r="BN38" i="53"/>
  <c r="BG38" i="53"/>
  <c r="AZ38" i="53"/>
  <c r="AS38" i="53"/>
  <c r="AE38" i="53"/>
  <c r="X38" i="53"/>
  <c r="Q38" i="53"/>
  <c r="BN37" i="53"/>
  <c r="BG37" i="53"/>
  <c r="AZ37" i="53"/>
  <c r="AS37" i="53"/>
  <c r="AE37" i="53"/>
  <c r="X37" i="53"/>
  <c r="Q37" i="53"/>
  <c r="BN36" i="53"/>
  <c r="BG36" i="53"/>
  <c r="AZ36" i="53"/>
  <c r="AS36" i="53"/>
  <c r="AE36" i="53"/>
  <c r="X36" i="53"/>
  <c r="Q36" i="53"/>
  <c r="BN35" i="53"/>
  <c r="BG35" i="53"/>
  <c r="AZ35" i="53"/>
  <c r="AS35" i="53"/>
  <c r="AE35" i="53"/>
  <c r="X35" i="53"/>
  <c r="Q35" i="53"/>
  <c r="D35" i="53"/>
  <c r="BN34" i="53"/>
  <c r="BG34" i="53"/>
  <c r="AZ34" i="53"/>
  <c r="AS34" i="53"/>
  <c r="AL34" i="53"/>
  <c r="AE34" i="53"/>
  <c r="X34" i="53"/>
  <c r="Q34" i="53"/>
  <c r="K33" i="53"/>
  <c r="BS33" i="53" s="1"/>
  <c r="K32" i="53"/>
  <c r="BS32" i="53" s="1"/>
  <c r="K31" i="53"/>
  <c r="BS31" i="53" s="1"/>
  <c r="K30" i="53"/>
  <c r="BC29" i="53"/>
  <c r="AV29" i="53" s="1"/>
  <c r="AO29" i="53" s="1"/>
  <c r="AH29" i="53" s="1"/>
  <c r="K29" i="53"/>
  <c r="BN28" i="53"/>
  <c r="BG28" i="53"/>
  <c r="AZ28" i="53"/>
  <c r="AS28" i="53"/>
  <c r="AL28" i="53"/>
  <c r="AE28" i="53"/>
  <c r="X28" i="53"/>
  <c r="Q28" i="53"/>
  <c r="K27" i="53"/>
  <c r="BS27" i="53" s="1"/>
  <c r="H27" i="53"/>
  <c r="I27" i="53" s="1"/>
  <c r="K26" i="53"/>
  <c r="BS26" i="53" s="1"/>
  <c r="H26" i="53"/>
  <c r="I26" i="53" s="1"/>
  <c r="K25" i="53"/>
  <c r="BS25" i="53" s="1"/>
  <c r="K24" i="53"/>
  <c r="BS24" i="53" s="1"/>
  <c r="BC23" i="53"/>
  <c r="AV23" i="53" s="1"/>
  <c r="AO23" i="53" s="1"/>
  <c r="AH23" i="53" s="1"/>
  <c r="K23" i="53"/>
  <c r="BS23" i="53" s="1"/>
  <c r="BN22" i="53"/>
  <c r="BG22" i="53"/>
  <c r="AZ22" i="53"/>
  <c r="AS22" i="53"/>
  <c r="AL22" i="53"/>
  <c r="AE22" i="53"/>
  <c r="X22" i="53"/>
  <c r="Q22" i="53"/>
  <c r="K21" i="53"/>
  <c r="K20" i="53"/>
  <c r="BS20" i="53" s="1"/>
  <c r="K19" i="53"/>
  <c r="BS19" i="53" s="1"/>
  <c r="K18" i="53"/>
  <c r="BS18" i="53" s="1"/>
  <c r="BC17" i="53"/>
  <c r="AV17" i="53" s="1"/>
  <c r="AO17" i="53" s="1"/>
  <c r="AH17" i="53" s="1"/>
  <c r="K17" i="53"/>
  <c r="BS17" i="53" s="1"/>
  <c r="H17" i="53"/>
  <c r="BN16" i="53"/>
  <c r="BG16" i="53"/>
  <c r="AZ16" i="53"/>
  <c r="AS16" i="53"/>
  <c r="AL16" i="53"/>
  <c r="AE16" i="53"/>
  <c r="X16" i="53"/>
  <c r="Q16" i="53"/>
  <c r="K15" i="53"/>
  <c r="BS15" i="53" s="1"/>
  <c r="K14" i="53"/>
  <c r="R13" i="53"/>
  <c r="K13" i="53"/>
  <c r="R12" i="53"/>
  <c r="O17" i="58" s="1"/>
  <c r="K12" i="53"/>
  <c r="BC11" i="53"/>
  <c r="AV11" i="53" s="1"/>
  <c r="AO11" i="53" s="1"/>
  <c r="AH11" i="53" s="1"/>
  <c r="K11" i="53"/>
  <c r="BS11" i="53" s="1"/>
  <c r="AQ11" i="53"/>
  <c r="F45" i="53" l="1"/>
  <c r="G43" i="53"/>
  <c r="AA29" i="53"/>
  <c r="N19" i="58" s="1"/>
  <c r="AA11" i="53"/>
  <c r="N11" i="58" s="1"/>
  <c r="AA17" i="53"/>
  <c r="N17" i="58" s="1"/>
  <c r="R4" i="53"/>
  <c r="Q4" i="53"/>
  <c r="Q6" i="53" s="1"/>
  <c r="Q7" i="53" s="1"/>
  <c r="AA23" i="53"/>
  <c r="N18" i="58" s="1"/>
  <c r="M17" i="58"/>
  <c r="K38" i="53"/>
  <c r="BS38" i="53" s="1"/>
  <c r="K16" i="53"/>
  <c r="P26" i="53"/>
  <c r="W26" i="53"/>
  <c r="BM26" i="53"/>
  <c r="AY26" i="53"/>
  <c r="BA26" i="53" s="1"/>
  <c r="BF26" i="53"/>
  <c r="AR26" i="53"/>
  <c r="AT26" i="53" s="1"/>
  <c r="AD26" i="53"/>
  <c r="AM39" i="53"/>
  <c r="P27" i="53"/>
  <c r="BF27" i="53"/>
  <c r="BM27" i="53"/>
  <c r="AD27" i="53"/>
  <c r="AF27" i="53" s="1"/>
  <c r="W27" i="53"/>
  <c r="Y27" i="53" s="1"/>
  <c r="AY27" i="53"/>
  <c r="AR27" i="53"/>
  <c r="Q40" i="53"/>
  <c r="H19" i="53"/>
  <c r="I19" i="53" s="1"/>
  <c r="H21" i="53"/>
  <c r="I21" i="53"/>
  <c r="J21" i="53" s="1"/>
  <c r="H33" i="53"/>
  <c r="I33" i="53" s="1"/>
  <c r="L33" i="53" s="1"/>
  <c r="H25" i="53"/>
  <c r="I25" i="53" s="1"/>
  <c r="H20" i="53"/>
  <c r="I24" i="53"/>
  <c r="I30" i="53"/>
  <c r="I17" i="53"/>
  <c r="AD17" i="53" s="1"/>
  <c r="O12" i="58" s="1"/>
  <c r="M12" i="58" s="1"/>
  <c r="H31" i="53"/>
  <c r="I31" i="53" s="1"/>
  <c r="H29" i="53"/>
  <c r="H23" i="53"/>
  <c r="H32" i="53"/>
  <c r="I32" i="53" s="1"/>
  <c r="BG40" i="53"/>
  <c r="K22" i="53"/>
  <c r="AS40" i="53"/>
  <c r="AE40" i="53"/>
  <c r="X40" i="53"/>
  <c r="BN40" i="53"/>
  <c r="G36" i="53"/>
  <c r="G38" i="53"/>
  <c r="BA13" i="53"/>
  <c r="BE13" i="53"/>
  <c r="O13" i="53"/>
  <c r="BL11" i="53"/>
  <c r="G16" i="53"/>
  <c r="J11" i="53"/>
  <c r="BL14" i="53"/>
  <c r="BS29" i="53"/>
  <c r="K34" i="53"/>
  <c r="L26" i="53"/>
  <c r="J26" i="53"/>
  <c r="L27" i="53"/>
  <c r="J27" i="53"/>
  <c r="G22" i="53"/>
  <c r="BS30" i="53"/>
  <c r="AT11" i="53"/>
  <c r="BS21" i="53"/>
  <c r="AK11" i="53"/>
  <c r="AZ40" i="53"/>
  <c r="K35" i="53"/>
  <c r="L11" i="53"/>
  <c r="K28" i="53"/>
  <c r="G37" i="53"/>
  <c r="G28" i="53"/>
  <c r="L14" i="53"/>
  <c r="BS12" i="53"/>
  <c r="K36" i="53"/>
  <c r="J13" i="53"/>
  <c r="BS14" i="53"/>
  <c r="K37" i="53"/>
  <c r="BS13" i="53"/>
  <c r="K39" i="53"/>
  <c r="J15" i="53"/>
  <c r="L13" i="53"/>
  <c r="L15" i="53"/>
  <c r="G34" i="53"/>
  <c r="G39" i="53"/>
  <c r="G35" i="53"/>
  <c r="F46" i="53" l="1"/>
  <c r="F47" i="53"/>
  <c r="H22" i="53"/>
  <c r="S4" i="53"/>
  <c r="T4" i="53" s="1"/>
  <c r="R6" i="53"/>
  <c r="R7" i="53" s="1"/>
  <c r="S7" i="53" s="1"/>
  <c r="F48" i="53"/>
  <c r="X17" i="58"/>
  <c r="I17" i="58"/>
  <c r="N12" i="58"/>
  <c r="N13" i="58"/>
  <c r="N14" i="58"/>
  <c r="AD32" i="53"/>
  <c r="AC32" i="53" s="1"/>
  <c r="P32" i="53"/>
  <c r="R32" i="53" s="1"/>
  <c r="BM32" i="53"/>
  <c r="BL32" i="53" s="1"/>
  <c r="BF32" i="53"/>
  <c r="BH32" i="53" s="1"/>
  <c r="AR32" i="53"/>
  <c r="AT32" i="53" s="1"/>
  <c r="W32" i="53"/>
  <c r="Y32" i="53" s="1"/>
  <c r="AY32" i="53"/>
  <c r="BA32" i="53" s="1"/>
  <c r="P31" i="53"/>
  <c r="R31" i="53" s="1"/>
  <c r="AY31" i="53"/>
  <c r="BA31" i="53" s="1"/>
  <c r="AD31" i="53"/>
  <c r="AF31" i="53" s="1"/>
  <c r="W31" i="53"/>
  <c r="V31" i="53" s="1"/>
  <c r="BM31" i="53"/>
  <c r="BF31" i="53"/>
  <c r="AR31" i="53"/>
  <c r="AT31" i="53" s="1"/>
  <c r="AR25" i="53"/>
  <c r="AT25" i="53" s="1"/>
  <c r="AD25" i="53"/>
  <c r="W25" i="53"/>
  <c r="BF25" i="53"/>
  <c r="BE25" i="53" s="1"/>
  <c r="AY25" i="53"/>
  <c r="BA25" i="53" s="1"/>
  <c r="BM25" i="53"/>
  <c r="BL25" i="53" s="1"/>
  <c r="W21" i="53"/>
  <c r="Y21" i="53" s="1"/>
  <c r="BF21" i="53"/>
  <c r="BH21" i="53" s="1"/>
  <c r="AY21" i="53"/>
  <c r="BM21" i="53"/>
  <c r="BO21" i="53" s="1"/>
  <c r="AR21" i="53"/>
  <c r="AD21" i="53"/>
  <c r="AF21" i="53" s="1"/>
  <c r="AD19" i="53"/>
  <c r="AC19" i="53" s="1"/>
  <c r="AY19" i="53"/>
  <c r="BA19" i="53" s="1"/>
  <c r="W19" i="53"/>
  <c r="Y19" i="53" s="1"/>
  <c r="BM19" i="53"/>
  <c r="BL19" i="53" s="1"/>
  <c r="BF19" i="53"/>
  <c r="BH19" i="53" s="1"/>
  <c r="AR19" i="53"/>
  <c r="AT19" i="53" s="1"/>
  <c r="BM24" i="53"/>
  <c r="V19" i="58" s="1"/>
  <c r="AY24" i="53"/>
  <c r="BA24" i="53" s="1"/>
  <c r="AD24" i="53"/>
  <c r="AC24" i="53" s="1"/>
  <c r="W24" i="53"/>
  <c r="BF24" i="53"/>
  <c r="AR24" i="53"/>
  <c r="AT24" i="53" s="1"/>
  <c r="BM33" i="53"/>
  <c r="BO33" i="53" s="1"/>
  <c r="BF33" i="53"/>
  <c r="BH33" i="53" s="1"/>
  <c r="AY33" i="53"/>
  <c r="AR33" i="53"/>
  <c r="AD33" i="53"/>
  <c r="AF33" i="53" s="1"/>
  <c r="W33" i="53"/>
  <c r="P33" i="53"/>
  <c r="R33" i="53" s="1"/>
  <c r="BM30" i="53"/>
  <c r="V20" i="58" s="1"/>
  <c r="P30" i="53"/>
  <c r="R30" i="53" s="1"/>
  <c r="AD30" i="53"/>
  <c r="AF30" i="53" s="1"/>
  <c r="BF30" i="53"/>
  <c r="BE30" i="53" s="1"/>
  <c r="W30" i="53"/>
  <c r="AY30" i="53"/>
  <c r="BA30" i="53" s="1"/>
  <c r="AR30" i="53"/>
  <c r="AT30" i="53" s="1"/>
  <c r="I29" i="53"/>
  <c r="H34" i="53"/>
  <c r="I23" i="53"/>
  <c r="H28" i="53"/>
  <c r="H35" i="53"/>
  <c r="I35" i="53" s="1"/>
  <c r="J35" i="53" s="1"/>
  <c r="P17" i="53"/>
  <c r="AR17" i="53"/>
  <c r="BF17" i="53"/>
  <c r="BM17" i="53"/>
  <c r="V12" i="58" s="1"/>
  <c r="X12" i="58" s="1"/>
  <c r="W17" i="53"/>
  <c r="AY17" i="53"/>
  <c r="AJ19" i="53"/>
  <c r="J19" i="53"/>
  <c r="L19" i="53"/>
  <c r="J33" i="53"/>
  <c r="AK28" i="53"/>
  <c r="P24" i="53"/>
  <c r="P25" i="53"/>
  <c r="R25" i="53" s="1"/>
  <c r="L21" i="53"/>
  <c r="L39" i="53" s="1"/>
  <c r="P21" i="53"/>
  <c r="O21" i="53" s="1"/>
  <c r="P19" i="53"/>
  <c r="J32" i="53"/>
  <c r="L32" i="53"/>
  <c r="L31" i="53"/>
  <c r="AM31" i="53"/>
  <c r="J31" i="53"/>
  <c r="J30" i="53"/>
  <c r="L30" i="53"/>
  <c r="AJ24" i="53"/>
  <c r="I20" i="53"/>
  <c r="H38" i="53"/>
  <c r="I38" i="53" s="1"/>
  <c r="J38" i="53" s="1"/>
  <c r="H36" i="53"/>
  <c r="I18" i="53"/>
  <c r="H39" i="53"/>
  <c r="I39" i="53" s="1"/>
  <c r="L24" i="53"/>
  <c r="J24" i="53"/>
  <c r="J25" i="53"/>
  <c r="L25" i="53"/>
  <c r="H37" i="53"/>
  <c r="I37" i="53" s="1"/>
  <c r="J14" i="53"/>
  <c r="BO14" i="53"/>
  <c r="BH13" i="53"/>
  <c r="BO11" i="53"/>
  <c r="R11" i="53"/>
  <c r="O11" i="53"/>
  <c r="AT14" i="53"/>
  <c r="BS39" i="53"/>
  <c r="AF15" i="53"/>
  <c r="BR13" i="53"/>
  <c r="Y13" i="53"/>
  <c r="V13" i="53"/>
  <c r="G40" i="53"/>
  <c r="AC13" i="53"/>
  <c r="AF13" i="53"/>
  <c r="BA14" i="53"/>
  <c r="BE11" i="53"/>
  <c r="BH11" i="53"/>
  <c r="AJ26" i="53"/>
  <c r="AM26" i="53"/>
  <c r="BR15" i="53"/>
  <c r="R15" i="53"/>
  <c r="L17" i="53"/>
  <c r="AK17" i="53"/>
  <c r="AK35" i="53" s="1"/>
  <c r="BO13" i="53"/>
  <c r="BL13" i="53"/>
  <c r="BS37" i="53"/>
  <c r="Y11" i="53"/>
  <c r="BR27" i="53"/>
  <c r="R27" i="53"/>
  <c r="BA11" i="53"/>
  <c r="AX11" i="53"/>
  <c r="BR26" i="53"/>
  <c r="R26" i="53"/>
  <c r="O26" i="53"/>
  <c r="Y15" i="53"/>
  <c r="J17" i="53"/>
  <c r="O14" i="53"/>
  <c r="R14" i="53"/>
  <c r="AT13" i="53"/>
  <c r="AJ14" i="53"/>
  <c r="AM14" i="53"/>
  <c r="AM13" i="53"/>
  <c r="AJ13" i="53"/>
  <c r="BS36" i="53"/>
  <c r="AM11" i="53"/>
  <c r="AJ11" i="53"/>
  <c r="BH27" i="53"/>
  <c r="BE27" i="53"/>
  <c r="BH26" i="53"/>
  <c r="BE26" i="53"/>
  <c r="BO27" i="53"/>
  <c r="BL27" i="53"/>
  <c r="V26" i="53"/>
  <c r="Y26" i="53"/>
  <c r="BS35" i="53"/>
  <c r="K40" i="53"/>
  <c r="BO15" i="53"/>
  <c r="BL15" i="53"/>
  <c r="AC11" i="53"/>
  <c r="AF11" i="53"/>
  <c r="BE14" i="53"/>
  <c r="BH14" i="53"/>
  <c r="P16" i="53"/>
  <c r="BL26" i="53"/>
  <c r="BO26" i="53"/>
  <c r="BH15" i="53"/>
  <c r="BE15" i="53"/>
  <c r="O12" i="53"/>
  <c r="L12" i="53"/>
  <c r="AY16" i="53"/>
  <c r="AK16" i="53"/>
  <c r="I16" i="53"/>
  <c r="J16" i="53" s="1"/>
  <c r="J12" i="53"/>
  <c r="AC26" i="53"/>
  <c r="AF26" i="53"/>
  <c r="AF14" i="53"/>
  <c r="AC14" i="53"/>
  <c r="BR11" i="53"/>
  <c r="AR39" i="53" l="1"/>
  <c r="O32" i="53"/>
  <c r="V24" i="53"/>
  <c r="Y30" i="53"/>
  <c r="O20" i="58"/>
  <c r="M20" i="58" s="1"/>
  <c r="T5" i="53"/>
  <c r="T6" i="53"/>
  <c r="AJ29" i="53"/>
  <c r="AD29" i="53"/>
  <c r="O14" i="58" s="1"/>
  <c r="M14" i="58" s="1"/>
  <c r="X14" i="58" s="1"/>
  <c r="I28" i="53"/>
  <c r="J28" i="53" s="1"/>
  <c r="AD23" i="53"/>
  <c r="O13" i="58" s="1"/>
  <c r="M13" i="58" s="1"/>
  <c r="BL33" i="53"/>
  <c r="BH25" i="53"/>
  <c r="BO25" i="53"/>
  <c r="I34" i="53"/>
  <c r="J34" i="53" s="1"/>
  <c r="L23" i="53"/>
  <c r="L28" i="53" s="1"/>
  <c r="L29" i="53"/>
  <c r="L34" i="53" s="1"/>
  <c r="R21" i="53"/>
  <c r="AD39" i="53"/>
  <c r="AC39" i="53" s="1"/>
  <c r="AY39" i="53"/>
  <c r="AX39" i="53" s="1"/>
  <c r="V19" i="53"/>
  <c r="AF19" i="53"/>
  <c r="J23" i="53"/>
  <c r="BR19" i="53"/>
  <c r="O31" i="53"/>
  <c r="BE33" i="53"/>
  <c r="BF39" i="53"/>
  <c r="BE39" i="53" s="1"/>
  <c r="BF37" i="53"/>
  <c r="BE37" i="53" s="1"/>
  <c r="P23" i="53"/>
  <c r="P28" i="53" s="1"/>
  <c r="BE19" i="53"/>
  <c r="P39" i="53"/>
  <c r="O39" i="53" s="1"/>
  <c r="BE21" i="53"/>
  <c r="BO19" i="53"/>
  <c r="AF24" i="53"/>
  <c r="P20" i="53"/>
  <c r="BM20" i="53"/>
  <c r="AR20" i="53"/>
  <c r="AT20" i="53" s="1"/>
  <c r="AT38" i="53" s="1"/>
  <c r="BF20" i="53"/>
  <c r="AD20" i="53"/>
  <c r="W20" i="53"/>
  <c r="AY20" i="53"/>
  <c r="BM37" i="53"/>
  <c r="BL37" i="53" s="1"/>
  <c r="J29" i="53"/>
  <c r="O30" i="53"/>
  <c r="BR33" i="53"/>
  <c r="Y33" i="53"/>
  <c r="Y39" i="53" s="1"/>
  <c r="AF39" i="53"/>
  <c r="BT30" i="53"/>
  <c r="AR29" i="53"/>
  <c r="AR34" i="53" s="1"/>
  <c r="BM29" i="53"/>
  <c r="V14" i="58" s="1"/>
  <c r="P29" i="53"/>
  <c r="R29" i="53" s="1"/>
  <c r="W29" i="53"/>
  <c r="Y29" i="53" s="1"/>
  <c r="BF29" i="53"/>
  <c r="BF34" i="53" s="1"/>
  <c r="AY29" i="53"/>
  <c r="AX29" i="53" s="1"/>
  <c r="W23" i="53"/>
  <c r="W28" i="53" s="1"/>
  <c r="Y28" i="53" s="1"/>
  <c r="AR23" i="53"/>
  <c r="AT23" i="53" s="1"/>
  <c r="BF23" i="53"/>
  <c r="BF28" i="53" s="1"/>
  <c r="AY23" i="53"/>
  <c r="AY28" i="53" s="1"/>
  <c r="BM23" i="53"/>
  <c r="V13" i="58" s="1"/>
  <c r="P18" i="53"/>
  <c r="P36" i="53" s="1"/>
  <c r="AR18" i="53"/>
  <c r="AT18" i="53" s="1"/>
  <c r="BF18" i="53"/>
  <c r="BF36" i="53" s="1"/>
  <c r="W18" i="53"/>
  <c r="AD18" i="53"/>
  <c r="AY18" i="53"/>
  <c r="BA18" i="53" s="1"/>
  <c r="BM18" i="53"/>
  <c r="V18" i="58" s="1"/>
  <c r="V22" i="58" s="1"/>
  <c r="V21" i="58" s="1"/>
  <c r="I36" i="53"/>
  <c r="J36" i="53" s="1"/>
  <c r="H40" i="53"/>
  <c r="R24" i="53"/>
  <c r="O19" i="58" s="1"/>
  <c r="M19" i="58" s="1"/>
  <c r="BT24" i="53"/>
  <c r="V32" i="53"/>
  <c r="BE32" i="53"/>
  <c r="AM29" i="53"/>
  <c r="AK34" i="53"/>
  <c r="AM34" i="53" s="1"/>
  <c r="AC30" i="53"/>
  <c r="AJ31" i="53"/>
  <c r="W37" i="53"/>
  <c r="V37" i="53" s="1"/>
  <c r="AJ37" i="53"/>
  <c r="O25" i="53"/>
  <c r="AM24" i="53"/>
  <c r="BE24" i="53"/>
  <c r="V25" i="53"/>
  <c r="BH24" i="53"/>
  <c r="Y25" i="53"/>
  <c r="AJ23" i="53"/>
  <c r="AM25" i="53"/>
  <c r="AJ25" i="53"/>
  <c r="AM23" i="53"/>
  <c r="AJ35" i="53"/>
  <c r="O24" i="53"/>
  <c r="AM19" i="53"/>
  <c r="L37" i="53"/>
  <c r="AC31" i="53"/>
  <c r="BH31" i="53"/>
  <c r="BR32" i="53"/>
  <c r="BE31" i="53"/>
  <c r="AJ30" i="53"/>
  <c r="AM30" i="53"/>
  <c r="Y31" i="53"/>
  <c r="AF32" i="53"/>
  <c r="BO32" i="53"/>
  <c r="BA37" i="53"/>
  <c r="AD37" i="53"/>
  <c r="AC37" i="53" s="1"/>
  <c r="AR37" i="53"/>
  <c r="AQ37" i="53" s="1"/>
  <c r="Y24" i="53"/>
  <c r="AY37" i="53"/>
  <c r="AX37" i="53" s="1"/>
  <c r="P37" i="53"/>
  <c r="O37" i="53" s="1"/>
  <c r="R19" i="53"/>
  <c r="R37" i="53" s="1"/>
  <c r="O19" i="53"/>
  <c r="BR21" i="53"/>
  <c r="BM39" i="53"/>
  <c r="BL39" i="53" s="1"/>
  <c r="W39" i="53"/>
  <c r="V39" i="53" s="1"/>
  <c r="AT37" i="53"/>
  <c r="AJ39" i="53"/>
  <c r="J39" i="53"/>
  <c r="AC25" i="53"/>
  <c r="AF25" i="53"/>
  <c r="BL31" i="53"/>
  <c r="BO31" i="53"/>
  <c r="BR30" i="53"/>
  <c r="J18" i="53"/>
  <c r="AK22" i="53"/>
  <c r="L18" i="53"/>
  <c r="L36" i="53" s="1"/>
  <c r="L20" i="53"/>
  <c r="L38" i="53" s="1"/>
  <c r="J20" i="53"/>
  <c r="AJ32" i="53"/>
  <c r="AM32" i="53"/>
  <c r="BL24" i="53"/>
  <c r="BO24" i="53"/>
  <c r="BL21" i="53"/>
  <c r="V30" i="53"/>
  <c r="I22" i="53"/>
  <c r="J22" i="53" s="1"/>
  <c r="BH30" i="53"/>
  <c r="AQ39" i="53"/>
  <c r="BR31" i="53"/>
  <c r="J37" i="53"/>
  <c r="BR25" i="53"/>
  <c r="BR24" i="53"/>
  <c r="BL30" i="53"/>
  <c r="BO30" i="53"/>
  <c r="W16" i="53"/>
  <c r="V16" i="53" s="1"/>
  <c r="V14" i="53"/>
  <c r="Y14" i="53"/>
  <c r="BR14" i="53"/>
  <c r="BH39" i="53"/>
  <c r="AM28" i="53"/>
  <c r="BH12" i="53"/>
  <c r="BE12" i="53"/>
  <c r="BF16" i="53"/>
  <c r="L16" i="53"/>
  <c r="R16" i="53"/>
  <c r="O16" i="53"/>
  <c r="V12" i="53"/>
  <c r="Y12" i="53"/>
  <c r="BL12" i="53"/>
  <c r="BO12" i="53"/>
  <c r="BR12" i="53"/>
  <c r="BM16" i="53"/>
  <c r="R39" i="53"/>
  <c r="BO39" i="53"/>
  <c r="AF12" i="53"/>
  <c r="AC12" i="53"/>
  <c r="AM17" i="53"/>
  <c r="AJ17" i="53"/>
  <c r="AM16" i="53"/>
  <c r="AJ16" i="53"/>
  <c r="BO17" i="53"/>
  <c r="BL17" i="53"/>
  <c r="AF17" i="53"/>
  <c r="AC17" i="53"/>
  <c r="BA16" i="53"/>
  <c r="AX16" i="53"/>
  <c r="AJ12" i="53"/>
  <c r="AM12" i="53"/>
  <c r="O17" i="53"/>
  <c r="R17" i="53"/>
  <c r="BR17" i="53"/>
  <c r="BH17" i="53"/>
  <c r="BE17" i="53"/>
  <c r="AT17" i="53"/>
  <c r="AQ17" i="53"/>
  <c r="AT12" i="53"/>
  <c r="AR16" i="53"/>
  <c r="Y17" i="53"/>
  <c r="BA12" i="53"/>
  <c r="AD16" i="53"/>
  <c r="AX17" i="53"/>
  <c r="BA17" i="53"/>
  <c r="AD28" i="53" l="1"/>
  <c r="AX28" i="53"/>
  <c r="T7" i="53"/>
  <c r="O28" i="53"/>
  <c r="BE28" i="53"/>
  <c r="W34" i="53"/>
  <c r="V34" i="53" s="1"/>
  <c r="AJ28" i="53"/>
  <c r="R18" i="53"/>
  <c r="R36" i="53" s="1"/>
  <c r="AF29" i="53"/>
  <c r="X13" i="58"/>
  <c r="X20" i="58"/>
  <c r="I20" i="58"/>
  <c r="X19" i="58"/>
  <c r="I19" i="58"/>
  <c r="BH37" i="53"/>
  <c r="O18" i="58"/>
  <c r="L35" i="53"/>
  <c r="L40" i="53" s="1"/>
  <c r="I12" i="58"/>
  <c r="AQ34" i="53"/>
  <c r="BO29" i="53"/>
  <c r="I14" i="58"/>
  <c r="BE34" i="53"/>
  <c r="BL23" i="53"/>
  <c r="O16" i="58"/>
  <c r="AF37" i="53"/>
  <c r="AC23" i="53"/>
  <c r="AF23" i="53"/>
  <c r="AF35" i="53" s="1"/>
  <c r="BO37" i="53"/>
  <c r="BF22" i="53"/>
  <c r="BH22" i="53" s="1"/>
  <c r="R28" i="53"/>
  <c r="O23" i="53"/>
  <c r="O29" i="53"/>
  <c r="P35" i="53"/>
  <c r="O35" i="53" s="1"/>
  <c r="BM28" i="53"/>
  <c r="BO28" i="53" s="1"/>
  <c r="R23" i="53"/>
  <c r="R35" i="53" s="1"/>
  <c r="BE23" i="53"/>
  <c r="Y23" i="53"/>
  <c r="Y35" i="53" s="1"/>
  <c r="W35" i="53"/>
  <c r="V35" i="53" s="1"/>
  <c r="O18" i="53"/>
  <c r="P34" i="53"/>
  <c r="O34" i="53" s="1"/>
  <c r="BM35" i="53"/>
  <c r="BO23" i="53"/>
  <c r="AR28" i="53"/>
  <c r="AQ28" i="53" s="1"/>
  <c r="AQ23" i="53"/>
  <c r="BL29" i="53"/>
  <c r="AR35" i="53"/>
  <c r="AQ35" i="53" s="1"/>
  <c r="BH23" i="53"/>
  <c r="BA29" i="53"/>
  <c r="BR23" i="53"/>
  <c r="AD35" i="53"/>
  <c r="AC35" i="53" s="1"/>
  <c r="AC29" i="53"/>
  <c r="BH28" i="53"/>
  <c r="BE36" i="53"/>
  <c r="BR29" i="53"/>
  <c r="BM34" i="53"/>
  <c r="BO34" i="53" s="1"/>
  <c r="BE29" i="53"/>
  <c r="BH29" i="53"/>
  <c r="AJ34" i="53"/>
  <c r="AD34" i="53"/>
  <c r="AF34" i="53" s="1"/>
  <c r="AY34" i="53"/>
  <c r="BA34" i="53" s="1"/>
  <c r="AY35" i="53"/>
  <c r="AX35" i="53" s="1"/>
  <c r="AQ29" i="53"/>
  <c r="AT29" i="53"/>
  <c r="AT35" i="53" s="1"/>
  <c r="BF35" i="53"/>
  <c r="BE35" i="53" s="1"/>
  <c r="AX23" i="53"/>
  <c r="BA23" i="53"/>
  <c r="I40" i="53"/>
  <c r="J40" i="53" s="1"/>
  <c r="O36" i="53"/>
  <c r="BT18" i="53"/>
  <c r="Y37" i="53"/>
  <c r="AM37" i="53"/>
  <c r="BA28" i="53"/>
  <c r="V28" i="53"/>
  <c r="AM35" i="53"/>
  <c r="AK40" i="53"/>
  <c r="AD22" i="53"/>
  <c r="AF22" i="53" s="1"/>
  <c r="BM22" i="53"/>
  <c r="BO22" i="53" s="1"/>
  <c r="BR37" i="53"/>
  <c r="Y34" i="53"/>
  <c r="AT34" i="53"/>
  <c r="BR39" i="53"/>
  <c r="AD36" i="53"/>
  <c r="AC36" i="53" s="1"/>
  <c r="AR22" i="53"/>
  <c r="AT22" i="53" s="1"/>
  <c r="Y16" i="53"/>
  <c r="AY22" i="53"/>
  <c r="AX22" i="53" s="1"/>
  <c r="AM36" i="53"/>
  <c r="BO20" i="53"/>
  <c r="BO38" i="53" s="1"/>
  <c r="BL20" i="53"/>
  <c r="BM38" i="53"/>
  <c r="BL38" i="53" s="1"/>
  <c r="Y18" i="53"/>
  <c r="Y36" i="53" s="1"/>
  <c r="V18" i="53"/>
  <c r="Y20" i="53"/>
  <c r="Y38" i="53" s="1"/>
  <c r="V20" i="53"/>
  <c r="BR18" i="53"/>
  <c r="BL18" i="53"/>
  <c r="BO18" i="53"/>
  <c r="BO36" i="53" s="1"/>
  <c r="AC20" i="53"/>
  <c r="AD38" i="53"/>
  <c r="AC38" i="53" s="1"/>
  <c r="AF20" i="53"/>
  <c r="AF38" i="53" s="1"/>
  <c r="AY36" i="53"/>
  <c r="AX36" i="53" s="1"/>
  <c r="BH20" i="53"/>
  <c r="BH38" i="53" s="1"/>
  <c r="BF38" i="53"/>
  <c r="BE38" i="53" s="1"/>
  <c r="BE20" i="53"/>
  <c r="W38" i="53"/>
  <c r="V38" i="53" s="1"/>
  <c r="AR38" i="53"/>
  <c r="AQ38" i="53" s="1"/>
  <c r="AF28" i="53"/>
  <c r="AC28" i="53"/>
  <c r="AJ20" i="53"/>
  <c r="AM20" i="53"/>
  <c r="L22" i="53"/>
  <c r="BM36" i="53"/>
  <c r="BL36" i="53" s="1"/>
  <c r="BH34" i="53"/>
  <c r="W22" i="53"/>
  <c r="Y22" i="53" s="1"/>
  <c r="BR20" i="53"/>
  <c r="R20" i="53"/>
  <c r="R38" i="53" s="1"/>
  <c r="O20" i="53"/>
  <c r="P38" i="53"/>
  <c r="O38" i="53" s="1"/>
  <c r="AM18" i="53"/>
  <c r="AJ18" i="53"/>
  <c r="AT36" i="53"/>
  <c r="P22" i="53"/>
  <c r="O22" i="53" s="1"/>
  <c r="BE18" i="53"/>
  <c r="BH18" i="53"/>
  <c r="BH36" i="53" s="1"/>
  <c r="BA36" i="53"/>
  <c r="AR36" i="53"/>
  <c r="AQ36" i="53" s="1"/>
  <c r="W36" i="53"/>
  <c r="V36" i="53" s="1"/>
  <c r="BA20" i="53"/>
  <c r="BA38" i="53" s="1"/>
  <c r="AY38" i="53"/>
  <c r="AX38" i="53" s="1"/>
  <c r="AF18" i="53"/>
  <c r="AF36" i="53" s="1"/>
  <c r="AC18" i="53"/>
  <c r="AQ16" i="53"/>
  <c r="AT16" i="53"/>
  <c r="AJ22" i="53"/>
  <c r="AM22" i="53"/>
  <c r="BO16" i="53"/>
  <c r="BL16" i="53"/>
  <c r="BH16" i="53"/>
  <c r="BE16" i="53"/>
  <c r="AF16" i="53"/>
  <c r="AC16" i="53"/>
  <c r="BA35" i="53" l="1"/>
  <c r="M18" i="58"/>
  <c r="O22" i="58"/>
  <c r="BO35" i="53"/>
  <c r="O24" i="58"/>
  <c r="O23" i="58" s="1"/>
  <c r="O15" i="58"/>
  <c r="M16" i="58"/>
  <c r="P16" i="58"/>
  <c r="V16" i="58"/>
  <c r="V24" i="58" s="1"/>
  <c r="BE22" i="53"/>
  <c r="BL28" i="53"/>
  <c r="AT28" i="53"/>
  <c r="BH35" i="53"/>
  <c r="R34" i="53"/>
  <c r="BR35" i="53"/>
  <c r="BL35" i="53"/>
  <c r="AX34" i="53"/>
  <c r="BL34" i="53"/>
  <c r="AC34" i="53"/>
  <c r="AJ40" i="53"/>
  <c r="AQ22" i="53"/>
  <c r="R22" i="53"/>
  <c r="AM40" i="53"/>
  <c r="BL22" i="53"/>
  <c r="AC22" i="53"/>
  <c r="V22" i="53"/>
  <c r="BA22" i="53"/>
  <c r="AY40" i="53"/>
  <c r="BA40" i="53" s="1"/>
  <c r="AJ36" i="53"/>
  <c r="P40" i="53"/>
  <c r="R40" i="53" s="1"/>
  <c r="BM40" i="53"/>
  <c r="BO40" i="53" s="1"/>
  <c r="BR38" i="53"/>
  <c r="AR40" i="53"/>
  <c r="AT40" i="53" s="1"/>
  <c r="BF40" i="53"/>
  <c r="BH40" i="53" s="1"/>
  <c r="BR36" i="53"/>
  <c r="AJ38" i="53"/>
  <c r="AM38" i="53"/>
  <c r="W40" i="53"/>
  <c r="AD40" i="53"/>
  <c r="AF40" i="53" s="1"/>
  <c r="O21" i="58" l="1"/>
  <c r="D22" i="55"/>
  <c r="X18" i="58"/>
  <c r="I18" i="58"/>
  <c r="I22" i="58" s="1"/>
  <c r="I21" i="58" s="1"/>
  <c r="M22" i="58"/>
  <c r="M21" i="58" s="1"/>
  <c r="V15" i="58"/>
  <c r="P24" i="58"/>
  <c r="P23" i="58" s="1"/>
  <c r="P15" i="58"/>
  <c r="M15" i="58"/>
  <c r="I13" i="58"/>
  <c r="I16" i="58" s="1"/>
  <c r="O40" i="53"/>
  <c r="AX40" i="53"/>
  <c r="BL40" i="53"/>
  <c r="AC40" i="53"/>
  <c r="AQ40" i="53"/>
  <c r="BE40" i="53"/>
  <c r="Y40" i="53"/>
  <c r="V40" i="53"/>
  <c r="E22" i="55" l="1"/>
  <c r="F10" i="55"/>
  <c r="G10" i="55" s="1"/>
  <c r="H10" i="55" s="1"/>
  <c r="I24" i="58"/>
  <c r="M24" i="58"/>
  <c r="M23" i="58" s="1"/>
  <c r="V23" i="58"/>
  <c r="I23" i="58"/>
  <c r="I15" i="58"/>
  <c r="BC29" i="48"/>
  <c r="AV29" i="48" s="1"/>
  <c r="AO29" i="48" s="1"/>
  <c r="AH29" i="48" s="1"/>
  <c r="BC23" i="48"/>
  <c r="AV23" i="48" s="1"/>
  <c r="AO23" i="48" s="1"/>
  <c r="AH23" i="48" s="1"/>
  <c r="BC11" i="48"/>
  <c r="AV11" i="48" s="1"/>
  <c r="AO11" i="48" s="1"/>
  <c r="AH11" i="48" s="1"/>
  <c r="AV29" i="47"/>
  <c r="AO29" i="47" s="1"/>
  <c r="BC41" i="47"/>
  <c r="AV41" i="47" s="1"/>
  <c r="AO41" i="47" s="1"/>
  <c r="BC35" i="47"/>
  <c r="AV35" i="47" s="1"/>
  <c r="AO35" i="47" s="1"/>
  <c r="BC29" i="47"/>
  <c r="BC23" i="47"/>
  <c r="AV23" i="47" s="1"/>
  <c r="AO23" i="47" s="1"/>
  <c r="BC17" i="47"/>
  <c r="AV17" i="47" s="1"/>
  <c r="AO17" i="47" s="1"/>
  <c r="BC11" i="47"/>
  <c r="AV11" i="47" s="1"/>
  <c r="AO11" i="47" s="1"/>
  <c r="AL63" i="46" l="1"/>
  <c r="AL62" i="46"/>
  <c r="AL61" i="46"/>
  <c r="AL60" i="46"/>
  <c r="AL59" i="46"/>
  <c r="G48" i="52" l="1"/>
  <c r="G47" i="52"/>
  <c r="G46" i="52"/>
  <c r="G45" i="52"/>
  <c r="G44" i="52"/>
  <c r="G43" i="52"/>
  <c r="G42" i="52"/>
  <c r="L49" i="52"/>
  <c r="G41" i="52"/>
  <c r="G40" i="52"/>
  <c r="G39" i="52"/>
  <c r="G38" i="52"/>
  <c r="G37" i="52"/>
  <c r="G36" i="52"/>
  <c r="G35" i="52"/>
  <c r="G32" i="52"/>
  <c r="G31" i="52"/>
  <c r="AA48" i="52" l="1"/>
  <c r="J41" i="52"/>
  <c r="P49" i="52"/>
  <c r="J39" i="52"/>
  <c r="G33" i="52"/>
  <c r="U49" i="52"/>
  <c r="J40" i="52"/>
  <c r="F49" i="52"/>
  <c r="F51" i="52" s="1"/>
  <c r="G34" i="52"/>
  <c r="AA40" i="52" l="1"/>
  <c r="AA39" i="52"/>
  <c r="AA41" i="52"/>
  <c r="G49" i="52"/>
  <c r="G51" i="52" s="1"/>
  <c r="W49" i="52"/>
  <c r="I58" i="51" l="1"/>
  <c r="H58" i="51"/>
  <c r="G58" i="51"/>
  <c r="D23" i="50"/>
  <c r="F23" i="50" s="1"/>
  <c r="G23" i="50" s="1"/>
  <c r="I23" i="50" s="1"/>
  <c r="P23" i="50" s="1"/>
  <c r="C23" i="50"/>
  <c r="D22" i="50"/>
  <c r="C22" i="50"/>
  <c r="D21" i="50"/>
  <c r="F21" i="50" s="1"/>
  <c r="G21" i="50" s="1"/>
  <c r="I21" i="50" s="1"/>
  <c r="P21" i="50" s="1"/>
  <c r="C21" i="50"/>
  <c r="D20" i="50"/>
  <c r="F20" i="50" s="1"/>
  <c r="G20" i="50" s="1"/>
  <c r="C20" i="50"/>
  <c r="P19" i="50"/>
  <c r="I57" i="51"/>
  <c r="H57" i="51"/>
  <c r="G57" i="51"/>
  <c r="J57" i="51" s="1"/>
  <c r="I56" i="51"/>
  <c r="H56" i="51"/>
  <c r="G56" i="51"/>
  <c r="I55" i="51"/>
  <c r="H55" i="51"/>
  <c r="G55" i="51"/>
  <c r="J55" i="51" s="1"/>
  <c r="I54" i="51"/>
  <c r="H54" i="51"/>
  <c r="G54" i="51"/>
  <c r="I53" i="51"/>
  <c r="H53" i="51"/>
  <c r="G53" i="51"/>
  <c r="J53" i="51" s="1"/>
  <c r="I52" i="51"/>
  <c r="H52" i="51"/>
  <c r="J52" i="51" s="1"/>
  <c r="G52" i="51"/>
  <c r="I51" i="51"/>
  <c r="H51" i="51"/>
  <c r="G51" i="51"/>
  <c r="J51" i="51" s="1"/>
  <c r="I50" i="51"/>
  <c r="H50" i="51"/>
  <c r="G50" i="51"/>
  <c r="I49" i="51"/>
  <c r="H49" i="51"/>
  <c r="G49" i="51"/>
  <c r="J49" i="51" s="1"/>
  <c r="I48" i="51"/>
  <c r="H48" i="51"/>
  <c r="G48" i="51"/>
  <c r="J47" i="51"/>
  <c r="I47" i="51"/>
  <c r="H47" i="51"/>
  <c r="G47" i="51"/>
  <c r="N34" i="51"/>
  <c r="M34" i="51"/>
  <c r="J3" i="51"/>
  <c r="I3" i="51" s="1"/>
  <c r="D24" i="50" l="1"/>
  <c r="J50" i="51"/>
  <c r="J56" i="51"/>
  <c r="J48" i="51"/>
  <c r="J58" i="51" s="1"/>
  <c r="J54" i="51"/>
  <c r="I20" i="50"/>
  <c r="F22" i="50"/>
  <c r="G22" i="50" s="1"/>
  <c r="I22" i="50" s="1"/>
  <c r="P22" i="50" s="1"/>
  <c r="F24" i="50" l="1"/>
  <c r="G24" i="50"/>
  <c r="P20" i="50"/>
  <c r="P24" i="50" s="1"/>
  <c r="I24" i="50"/>
  <c r="P10" i="50"/>
  <c r="F16" i="50"/>
  <c r="F15" i="50"/>
  <c r="F14" i="50"/>
  <c r="F13" i="50"/>
  <c r="F12" i="50"/>
  <c r="F11" i="50"/>
  <c r="F17" i="50" l="1"/>
  <c r="F25" i="50" s="1"/>
  <c r="D17" i="50" l="1"/>
  <c r="D25" i="50" s="1"/>
  <c r="G16" i="50"/>
  <c r="G13" i="50"/>
  <c r="O13" i="50" l="1"/>
  <c r="I13" i="50"/>
  <c r="K13" i="50"/>
  <c r="M13" i="50"/>
  <c r="K16" i="50"/>
  <c r="O16" i="50"/>
  <c r="I16" i="50"/>
  <c r="M16" i="50"/>
  <c r="G12" i="50"/>
  <c r="G14" i="50"/>
  <c r="G29" i="48"/>
  <c r="G23" i="48"/>
  <c r="G17" i="48"/>
  <c r="D35" i="48"/>
  <c r="BN34" i="48"/>
  <c r="BG34" i="48"/>
  <c r="AZ34" i="48"/>
  <c r="AS34" i="48"/>
  <c r="X34" i="48"/>
  <c r="Q34" i="48"/>
  <c r="BS29" i="48"/>
  <c r="BN28" i="48"/>
  <c r="BG28" i="48"/>
  <c r="AZ28" i="48"/>
  <c r="AS28" i="48"/>
  <c r="X28" i="48"/>
  <c r="BS23" i="48"/>
  <c r="Q22" i="48"/>
  <c r="BS17" i="48"/>
  <c r="BN16" i="48"/>
  <c r="BG16" i="48"/>
  <c r="AZ16" i="48"/>
  <c r="AS16" i="48"/>
  <c r="X16" i="48"/>
  <c r="Q16" i="48"/>
  <c r="BS14" i="48"/>
  <c r="BS13" i="48"/>
  <c r="K11" i="48"/>
  <c r="BS11" i="48" s="1"/>
  <c r="G45" i="47"/>
  <c r="I45" i="47" s="1"/>
  <c r="G44" i="47"/>
  <c r="G43" i="47"/>
  <c r="I43" i="47" s="1"/>
  <c r="G42" i="47"/>
  <c r="G41" i="47"/>
  <c r="H41" i="47" s="1"/>
  <c r="G39" i="47"/>
  <c r="G38" i="47"/>
  <c r="I38" i="47" s="1"/>
  <c r="G37" i="47"/>
  <c r="I37" i="47" s="1"/>
  <c r="G36" i="47"/>
  <c r="I36" i="47" s="1"/>
  <c r="G35" i="47"/>
  <c r="H35" i="47" s="1"/>
  <c r="G33" i="47"/>
  <c r="I33" i="47" s="1"/>
  <c r="G32" i="47"/>
  <c r="I32" i="47" s="1"/>
  <c r="G31" i="47"/>
  <c r="I31" i="47" s="1"/>
  <c r="G30" i="47"/>
  <c r="I30" i="47" s="1"/>
  <c r="G29" i="47"/>
  <c r="G27" i="47"/>
  <c r="I27" i="47" s="1"/>
  <c r="G26" i="47"/>
  <c r="I26" i="47" s="1"/>
  <c r="G25" i="47"/>
  <c r="I25" i="47" s="1"/>
  <c r="G24" i="47"/>
  <c r="G23" i="47"/>
  <c r="G21" i="47"/>
  <c r="I21" i="47" s="1"/>
  <c r="G20" i="47"/>
  <c r="I20" i="47" s="1"/>
  <c r="G19" i="47"/>
  <c r="I19" i="47" s="1"/>
  <c r="G18" i="47"/>
  <c r="I18" i="47" s="1"/>
  <c r="G17" i="47"/>
  <c r="G15" i="47"/>
  <c r="I15" i="47" s="1"/>
  <c r="G14" i="47"/>
  <c r="G13" i="47"/>
  <c r="I13" i="47" s="1"/>
  <c r="G12" i="47"/>
  <c r="I12" i="47" s="1"/>
  <c r="G11" i="47"/>
  <c r="BE19" i="37"/>
  <c r="BE18" i="37"/>
  <c r="BE17" i="37"/>
  <c r="BE16" i="37"/>
  <c r="BE15" i="37"/>
  <c r="BE14" i="37"/>
  <c r="BE13" i="37"/>
  <c r="BE12" i="37"/>
  <c r="BE11" i="37"/>
  <c r="BE10" i="37"/>
  <c r="BN51" i="47"/>
  <c r="BN50" i="47"/>
  <c r="BN49" i="47"/>
  <c r="BN48" i="47"/>
  <c r="BN47" i="47"/>
  <c r="BG51" i="47"/>
  <c r="BG50" i="47"/>
  <c r="BG49" i="47"/>
  <c r="BG48" i="47"/>
  <c r="BG47" i="47"/>
  <c r="BA51" i="47"/>
  <c r="AZ51" i="47"/>
  <c r="AZ50" i="47"/>
  <c r="AZ49" i="47"/>
  <c r="AZ48" i="47"/>
  <c r="AZ47" i="47"/>
  <c r="AT51" i="47"/>
  <c r="AS51" i="47"/>
  <c r="AS50" i="47"/>
  <c r="AS49" i="47"/>
  <c r="AS48" i="47"/>
  <c r="AS47" i="47"/>
  <c r="AE51" i="47"/>
  <c r="AE50" i="47"/>
  <c r="AE49" i="47"/>
  <c r="AE48" i="47"/>
  <c r="AE47" i="47"/>
  <c r="X51" i="47"/>
  <c r="X50" i="47"/>
  <c r="X49" i="47"/>
  <c r="X48" i="47"/>
  <c r="X47" i="47"/>
  <c r="Q51" i="47"/>
  <c r="Q50" i="47"/>
  <c r="Q49" i="47"/>
  <c r="Q48" i="47"/>
  <c r="Q47" i="47"/>
  <c r="AL52" i="47"/>
  <c r="D47" i="47"/>
  <c r="BN46" i="47"/>
  <c r="BG46" i="47"/>
  <c r="AZ46" i="47"/>
  <c r="AS46" i="47"/>
  <c r="AL46" i="47"/>
  <c r="AE46" i="47"/>
  <c r="X46" i="47"/>
  <c r="Q46" i="47"/>
  <c r="K45" i="47"/>
  <c r="BS45" i="47" s="1"/>
  <c r="K44" i="47"/>
  <c r="BS44" i="47" s="1"/>
  <c r="K43" i="47"/>
  <c r="BS43" i="47" s="1"/>
  <c r="K42" i="47"/>
  <c r="BS42" i="47" s="1"/>
  <c r="K41" i="47"/>
  <c r="BS41" i="47" s="1"/>
  <c r="BN40" i="47"/>
  <c r="BG40" i="47"/>
  <c r="AZ40" i="47"/>
  <c r="AS40" i="47"/>
  <c r="AL40" i="47"/>
  <c r="AE40" i="47"/>
  <c r="X40" i="47"/>
  <c r="K39" i="47"/>
  <c r="K38" i="47"/>
  <c r="BS38" i="47" s="1"/>
  <c r="K37" i="47"/>
  <c r="BS37" i="47" s="1"/>
  <c r="K36" i="47"/>
  <c r="K35" i="47"/>
  <c r="BS35" i="47" s="1"/>
  <c r="BN34" i="47"/>
  <c r="BG34" i="47"/>
  <c r="AZ34" i="47"/>
  <c r="AS34" i="47"/>
  <c r="AL34" i="47"/>
  <c r="AE34" i="47"/>
  <c r="X34" i="47"/>
  <c r="K33" i="47"/>
  <c r="BS33" i="47" s="1"/>
  <c r="K32" i="47"/>
  <c r="K31" i="47"/>
  <c r="BS31" i="47" s="1"/>
  <c r="K30" i="47"/>
  <c r="K29" i="47"/>
  <c r="BS29" i="47" s="1"/>
  <c r="BN28" i="47"/>
  <c r="BG28" i="47"/>
  <c r="AZ28" i="47"/>
  <c r="AS28" i="47"/>
  <c r="AL28" i="47"/>
  <c r="AE28" i="47"/>
  <c r="X28" i="47"/>
  <c r="K27" i="47"/>
  <c r="BS27" i="47" s="1"/>
  <c r="K26" i="47"/>
  <c r="BS26" i="47" s="1"/>
  <c r="K25" i="47"/>
  <c r="BS25" i="47" s="1"/>
  <c r="K24" i="47"/>
  <c r="BS24" i="47" s="1"/>
  <c r="K23" i="47"/>
  <c r="BS23" i="47" s="1"/>
  <c r="BN22" i="47"/>
  <c r="BG22" i="47"/>
  <c r="AZ22" i="47"/>
  <c r="AS22" i="47"/>
  <c r="AL22" i="47"/>
  <c r="AE22" i="47"/>
  <c r="X22" i="47"/>
  <c r="K21" i="47"/>
  <c r="BS21" i="47" s="1"/>
  <c r="K20" i="47"/>
  <c r="BS20" i="47" s="1"/>
  <c r="K19" i="47"/>
  <c r="BS19" i="47" s="1"/>
  <c r="K18" i="47"/>
  <c r="BS18" i="47" s="1"/>
  <c r="K17" i="47"/>
  <c r="BN16" i="47"/>
  <c r="BG16" i="47"/>
  <c r="AZ16" i="47"/>
  <c r="AS16" i="47"/>
  <c r="AL16" i="47"/>
  <c r="AE16" i="47"/>
  <c r="X16" i="47"/>
  <c r="K15" i="47"/>
  <c r="K14" i="47"/>
  <c r="BS14" i="47" s="1"/>
  <c r="K13" i="47"/>
  <c r="K12" i="47"/>
  <c r="BS12" i="47" s="1"/>
  <c r="K11" i="47"/>
  <c r="BS11" i="47" s="1"/>
  <c r="BN63" i="46"/>
  <c r="BN62" i="46"/>
  <c r="BN61" i="46"/>
  <c r="BN60" i="46"/>
  <c r="BN59" i="46"/>
  <c r="BG63" i="46"/>
  <c r="BG62" i="46"/>
  <c r="BG61" i="46"/>
  <c r="BG60" i="46"/>
  <c r="BG59" i="46"/>
  <c r="AZ63" i="46"/>
  <c r="AZ62" i="46"/>
  <c r="AZ61" i="46"/>
  <c r="AZ60" i="46"/>
  <c r="AZ59" i="46"/>
  <c r="AS63" i="46"/>
  <c r="AS62" i="46"/>
  <c r="AS61" i="46"/>
  <c r="AS60" i="46"/>
  <c r="AS59" i="46"/>
  <c r="AE63" i="46"/>
  <c r="AE62" i="46"/>
  <c r="AE61" i="46"/>
  <c r="AE60" i="46"/>
  <c r="AE59" i="46"/>
  <c r="X63" i="46"/>
  <c r="X62" i="46"/>
  <c r="X61" i="46"/>
  <c r="X60" i="46"/>
  <c r="X59" i="46"/>
  <c r="Q63" i="46"/>
  <c r="Q62" i="46"/>
  <c r="Q61" i="46"/>
  <c r="Q60" i="46"/>
  <c r="Q59" i="46"/>
  <c r="H60" i="46"/>
  <c r="G57" i="46"/>
  <c r="G56" i="46"/>
  <c r="G55" i="46"/>
  <c r="G54" i="46"/>
  <c r="G51" i="46"/>
  <c r="G50" i="46"/>
  <c r="G49" i="46"/>
  <c r="G48" i="46"/>
  <c r="G45" i="46"/>
  <c r="G44" i="46"/>
  <c r="G43" i="46"/>
  <c r="G42" i="46"/>
  <c r="G21" i="46"/>
  <c r="G20" i="46"/>
  <c r="G19" i="46"/>
  <c r="G18" i="46"/>
  <c r="G39" i="46"/>
  <c r="G38" i="46"/>
  <c r="G37" i="46"/>
  <c r="G36" i="46"/>
  <c r="G33" i="46"/>
  <c r="G32" i="46"/>
  <c r="G31" i="46"/>
  <c r="G30" i="46"/>
  <c r="G27" i="46"/>
  <c r="G26" i="46"/>
  <c r="G25" i="46"/>
  <c r="G24" i="46"/>
  <c r="G15" i="46"/>
  <c r="G14" i="46"/>
  <c r="G13" i="46"/>
  <c r="G12" i="46"/>
  <c r="F2" i="37"/>
  <c r="I14" i="47" l="1"/>
  <c r="G50" i="47"/>
  <c r="G43" i="48" s="1"/>
  <c r="AD33" i="47"/>
  <c r="AK33" i="47"/>
  <c r="AD15" i="47"/>
  <c r="AK15" i="47"/>
  <c r="I35" i="47"/>
  <c r="H40" i="47"/>
  <c r="H17" i="47"/>
  <c r="H22" i="47" s="1"/>
  <c r="AD36" i="47"/>
  <c r="AK36" i="47"/>
  <c r="AK18" i="47"/>
  <c r="AD18" i="47"/>
  <c r="AK37" i="47"/>
  <c r="AD37" i="47"/>
  <c r="AF37" i="47" s="1"/>
  <c r="AD14" i="47"/>
  <c r="AK14" i="47"/>
  <c r="AK19" i="47"/>
  <c r="AD19" i="47"/>
  <c r="BM38" i="47"/>
  <c r="BL38" i="47" s="1"/>
  <c r="AK38" i="47"/>
  <c r="AM38" i="47" s="1"/>
  <c r="AD38" i="47"/>
  <c r="AF38" i="47" s="1"/>
  <c r="AK20" i="47"/>
  <c r="AD20" i="47"/>
  <c r="AK21" i="47"/>
  <c r="AD21" i="47"/>
  <c r="I41" i="47"/>
  <c r="H46" i="47"/>
  <c r="H23" i="47"/>
  <c r="H28" i="47" s="1"/>
  <c r="I23" i="47"/>
  <c r="I24" i="47"/>
  <c r="AY24" i="47" s="1"/>
  <c r="BA24" i="47" s="1"/>
  <c r="AK43" i="47"/>
  <c r="AD43" i="47"/>
  <c r="AK25" i="47"/>
  <c r="AD25" i="47"/>
  <c r="AK26" i="47"/>
  <c r="AD26" i="47"/>
  <c r="AF26" i="47" s="1"/>
  <c r="AK45" i="47"/>
  <c r="AD45" i="47"/>
  <c r="AF45" i="47" s="1"/>
  <c r="AD27" i="47"/>
  <c r="AK27" i="47"/>
  <c r="H29" i="47"/>
  <c r="H34" i="47" s="1"/>
  <c r="H11" i="47"/>
  <c r="H16" i="47" s="1"/>
  <c r="AD30" i="47"/>
  <c r="AK30" i="47"/>
  <c r="AD12" i="47"/>
  <c r="AK12" i="47"/>
  <c r="AD31" i="47"/>
  <c r="AK31" i="47"/>
  <c r="AD13" i="47"/>
  <c r="AK13" i="47"/>
  <c r="AD32" i="47"/>
  <c r="AK32" i="47"/>
  <c r="H11" i="48"/>
  <c r="I11" i="48" s="1"/>
  <c r="H28" i="48"/>
  <c r="H17" i="48"/>
  <c r="H22" i="48" s="1"/>
  <c r="H29" i="48"/>
  <c r="H34" i="48" s="1"/>
  <c r="AY12" i="47"/>
  <c r="P16" i="50"/>
  <c r="P13" i="50"/>
  <c r="K14" i="50"/>
  <c r="O14" i="50"/>
  <c r="I14" i="50"/>
  <c r="M14" i="50"/>
  <c r="K12" i="50"/>
  <c r="M12" i="50"/>
  <c r="O12" i="50"/>
  <c r="I12" i="50"/>
  <c r="G15" i="50"/>
  <c r="G11" i="50"/>
  <c r="BM25" i="47"/>
  <c r="BL25" i="47" s="1"/>
  <c r="W25" i="47"/>
  <c r="Y25" i="47" s="1"/>
  <c r="P25" i="47"/>
  <c r="R25" i="47" s="1"/>
  <c r="G62" i="46"/>
  <c r="G63" i="46"/>
  <c r="G61" i="46"/>
  <c r="G59" i="46"/>
  <c r="P38" i="47"/>
  <c r="R38" i="47" s="1"/>
  <c r="BM37" i="47"/>
  <c r="BO37" i="47" s="1"/>
  <c r="BF37" i="47"/>
  <c r="BH37" i="47" s="1"/>
  <c r="AY37" i="47"/>
  <c r="BA37" i="47" s="1"/>
  <c r="AR37" i="47"/>
  <c r="AT37" i="47" s="1"/>
  <c r="W37" i="47"/>
  <c r="Y37" i="47" s="1"/>
  <c r="P37" i="47"/>
  <c r="R37" i="47" s="1"/>
  <c r="AY31" i="47"/>
  <c r="BA31" i="47" s="1"/>
  <c r="AR31" i="47"/>
  <c r="AT31" i="47" s="1"/>
  <c r="W31" i="47"/>
  <c r="Y31" i="47" s="1"/>
  <c r="P31" i="47"/>
  <c r="R31" i="47" s="1"/>
  <c r="BM31" i="47"/>
  <c r="BO31" i="47" s="1"/>
  <c r="BF31" i="47"/>
  <c r="BH31" i="47" s="1"/>
  <c r="BM26" i="47"/>
  <c r="BL26" i="47" s="1"/>
  <c r="BF26" i="47"/>
  <c r="BH26" i="47" s="1"/>
  <c r="AY26" i="47"/>
  <c r="BA26" i="47" s="1"/>
  <c r="AR26" i="47"/>
  <c r="AT26" i="47" s="1"/>
  <c r="W26" i="47"/>
  <c r="V26" i="47" s="1"/>
  <c r="P26" i="47"/>
  <c r="R26" i="47" s="1"/>
  <c r="G60" i="46"/>
  <c r="W36" i="47"/>
  <c r="Y36" i="47" s="1"/>
  <c r="P36" i="47"/>
  <c r="R36" i="47" s="1"/>
  <c r="BM36" i="47"/>
  <c r="BO36" i="47" s="1"/>
  <c r="BF36" i="47"/>
  <c r="BE36" i="47" s="1"/>
  <c r="AY36" i="47"/>
  <c r="BA36" i="47" s="1"/>
  <c r="AR36" i="47"/>
  <c r="AT36" i="47" s="1"/>
  <c r="W43" i="47"/>
  <c r="P43" i="47"/>
  <c r="R43" i="47" s="1"/>
  <c r="BM43" i="47"/>
  <c r="BF43" i="47"/>
  <c r="AY43" i="47"/>
  <c r="BA43" i="47" s="1"/>
  <c r="AR43" i="47"/>
  <c r="AT43" i="47" s="1"/>
  <c r="BM45" i="47"/>
  <c r="BO45" i="47" s="1"/>
  <c r="BF45" i="47"/>
  <c r="BH45" i="47" s="1"/>
  <c r="AY45" i="47"/>
  <c r="AR45" i="47"/>
  <c r="AR12" i="47"/>
  <c r="BM12" i="47"/>
  <c r="BL12" i="47" s="1"/>
  <c r="BF12" i="47"/>
  <c r="W12" i="47"/>
  <c r="P12" i="47"/>
  <c r="P24" i="47"/>
  <c r="R24" i="47" s="1"/>
  <c r="W38" i="47"/>
  <c r="V38" i="47" s="1"/>
  <c r="AR38" i="47"/>
  <c r="AT38" i="47" s="1"/>
  <c r="AY38" i="47"/>
  <c r="BA38" i="47" s="1"/>
  <c r="AR25" i="47"/>
  <c r="AT25" i="47" s="1"/>
  <c r="BF38" i="47"/>
  <c r="AY25" i="47"/>
  <c r="BA25" i="47" s="1"/>
  <c r="AR24" i="47"/>
  <c r="AT24" i="47" s="1"/>
  <c r="BF25" i="47"/>
  <c r="G47" i="47"/>
  <c r="P45" i="47"/>
  <c r="R45" i="47" s="1"/>
  <c r="W45" i="47"/>
  <c r="Y45" i="47" s="1"/>
  <c r="K35" i="48"/>
  <c r="G35" i="48"/>
  <c r="G28" i="48"/>
  <c r="K28" i="48"/>
  <c r="G22" i="48"/>
  <c r="K16" i="48"/>
  <c r="K22" i="48"/>
  <c r="Q40" i="48"/>
  <c r="BS12" i="48"/>
  <c r="BS15" i="48"/>
  <c r="K34" i="48"/>
  <c r="G34" i="48"/>
  <c r="G16" i="48"/>
  <c r="BO38" i="47"/>
  <c r="AS52" i="47"/>
  <c r="BN52" i="47"/>
  <c r="AE52" i="47"/>
  <c r="BG52" i="47"/>
  <c r="K51" i="47"/>
  <c r="K49" i="47"/>
  <c r="K50" i="47"/>
  <c r="K47" i="47"/>
  <c r="K48" i="47"/>
  <c r="Q52" i="47"/>
  <c r="G49" i="47"/>
  <c r="G51" i="47"/>
  <c r="G48" i="47"/>
  <c r="K28" i="47"/>
  <c r="K40" i="47"/>
  <c r="K22" i="47"/>
  <c r="BS36" i="47"/>
  <c r="BS17" i="47"/>
  <c r="L45" i="47"/>
  <c r="J45" i="47"/>
  <c r="L26" i="47"/>
  <c r="J26" i="47"/>
  <c r="L31" i="47"/>
  <c r="J31" i="47"/>
  <c r="G34" i="47"/>
  <c r="L37" i="47"/>
  <c r="J37" i="47"/>
  <c r="BS39" i="47"/>
  <c r="BS30" i="47"/>
  <c r="L12" i="47"/>
  <c r="J12" i="47"/>
  <c r="G22" i="47"/>
  <c r="BS32" i="47"/>
  <c r="G28" i="47"/>
  <c r="BS15" i="47"/>
  <c r="L24" i="47"/>
  <c r="K34" i="47"/>
  <c r="L38" i="47"/>
  <c r="G46" i="47"/>
  <c r="I42" i="47"/>
  <c r="J38" i="47"/>
  <c r="G16" i="47"/>
  <c r="L25" i="47"/>
  <c r="K46" i="47"/>
  <c r="J25" i="47"/>
  <c r="J43" i="47"/>
  <c r="AZ52" i="47"/>
  <c r="K16" i="47"/>
  <c r="L43" i="47"/>
  <c r="I39" i="47"/>
  <c r="G40" i="47"/>
  <c r="X52" i="47"/>
  <c r="BS13" i="47"/>
  <c r="L36" i="47"/>
  <c r="J36" i="47"/>
  <c r="I44" i="47"/>
  <c r="BM24" i="47" l="1"/>
  <c r="BL24" i="47" s="1"/>
  <c r="J24" i="47"/>
  <c r="BF24" i="47"/>
  <c r="BE24" i="47" s="1"/>
  <c r="BM11" i="48"/>
  <c r="AD11" i="48"/>
  <c r="AR11" i="48"/>
  <c r="AY11" i="48"/>
  <c r="AK11" i="48"/>
  <c r="BF11" i="48"/>
  <c r="AK24" i="47"/>
  <c r="AJ24" i="47" s="1"/>
  <c r="AD24" i="47"/>
  <c r="AF24" i="47" s="1"/>
  <c r="AK29" i="48"/>
  <c r="BM29" i="48"/>
  <c r="AD29" i="48"/>
  <c r="AK23" i="47"/>
  <c r="AD23" i="47"/>
  <c r="I11" i="47"/>
  <c r="AK44" i="47"/>
  <c r="AK50" i="47" s="1"/>
  <c r="AD44" i="47"/>
  <c r="AK42" i="47"/>
  <c r="AD42" i="47"/>
  <c r="H47" i="47"/>
  <c r="BO24" i="47"/>
  <c r="I29" i="47"/>
  <c r="BM29" i="47" s="1"/>
  <c r="AK41" i="47"/>
  <c r="AD41" i="47"/>
  <c r="H35" i="48"/>
  <c r="H40" i="48" s="1"/>
  <c r="I17" i="47"/>
  <c r="L17" i="47" s="1"/>
  <c r="AK39" i="47"/>
  <c r="AK51" i="47" s="1"/>
  <c r="AM51" i="47" s="1"/>
  <c r="AD39" i="47"/>
  <c r="AF39" i="47" s="1"/>
  <c r="AK49" i="47"/>
  <c r="AD35" i="47"/>
  <c r="AK35" i="47"/>
  <c r="W24" i="47"/>
  <c r="I17" i="48"/>
  <c r="V36" i="47"/>
  <c r="BL37" i="47"/>
  <c r="BS50" i="47"/>
  <c r="P12" i="50"/>
  <c r="P14" i="50"/>
  <c r="G17" i="50"/>
  <c r="G25" i="50" s="1"/>
  <c r="K11" i="50"/>
  <c r="M11" i="50"/>
  <c r="O11" i="50"/>
  <c r="I11" i="50"/>
  <c r="K15" i="50"/>
  <c r="O15" i="50"/>
  <c r="I15" i="50"/>
  <c r="M15" i="50"/>
  <c r="BS35" i="48"/>
  <c r="AC38" i="47"/>
  <c r="BS47" i="47"/>
  <c r="BS49" i="47"/>
  <c r="BO12" i="47"/>
  <c r="BO26" i="47"/>
  <c r="AC26" i="47"/>
  <c r="Y26" i="47"/>
  <c r="BL31" i="47"/>
  <c r="AJ38" i="47"/>
  <c r="V37" i="47"/>
  <c r="BO25" i="47"/>
  <c r="BE37" i="47"/>
  <c r="BE26" i="47"/>
  <c r="O36" i="47"/>
  <c r="BL36" i="47"/>
  <c r="V31" i="47"/>
  <c r="BE31" i="47"/>
  <c r="AC37" i="47"/>
  <c r="V25" i="47"/>
  <c r="BE45" i="47"/>
  <c r="BL45" i="47"/>
  <c r="J29" i="47"/>
  <c r="BM14" i="47"/>
  <c r="BF14" i="47"/>
  <c r="W14" i="47"/>
  <c r="AY14" i="47"/>
  <c r="P14" i="47"/>
  <c r="AR14" i="47"/>
  <c r="Y43" i="47"/>
  <c r="V43" i="47"/>
  <c r="AF43" i="47"/>
  <c r="AC43" i="47"/>
  <c r="AF31" i="47"/>
  <c r="AC31" i="47"/>
  <c r="W42" i="47"/>
  <c r="P42" i="47"/>
  <c r="R42" i="47" s="1"/>
  <c r="BM42" i="47"/>
  <c r="BF42" i="47"/>
  <c r="AY42" i="47"/>
  <c r="BA42" i="47" s="1"/>
  <c r="AR42" i="47"/>
  <c r="AT42" i="47" s="1"/>
  <c r="W44" i="47"/>
  <c r="P44" i="47"/>
  <c r="R44" i="47" s="1"/>
  <c r="BM44" i="47"/>
  <c r="BF44" i="47"/>
  <c r="AY44" i="47"/>
  <c r="BA44" i="47" s="1"/>
  <c r="AR44" i="47"/>
  <c r="AT44" i="47" s="1"/>
  <c r="AF36" i="47"/>
  <c r="AC36" i="47"/>
  <c r="AM31" i="47"/>
  <c r="AJ31" i="47"/>
  <c r="P18" i="47"/>
  <c r="R18" i="47" s="1"/>
  <c r="BM18" i="47"/>
  <c r="BF18" i="47"/>
  <c r="AY18" i="47"/>
  <c r="BA18" i="47" s="1"/>
  <c r="AR18" i="47"/>
  <c r="AT18" i="47" s="1"/>
  <c r="W18" i="47"/>
  <c r="AF25" i="47"/>
  <c r="AC25" i="47"/>
  <c r="W19" i="47"/>
  <c r="P19" i="47"/>
  <c r="R19" i="47" s="1"/>
  <c r="BM19" i="47"/>
  <c r="BF19" i="47"/>
  <c r="AY19" i="47"/>
  <c r="BA19" i="47" s="1"/>
  <c r="AR19" i="47"/>
  <c r="AT19" i="47" s="1"/>
  <c r="BH38" i="47"/>
  <c r="BE38" i="47"/>
  <c r="AM26" i="47"/>
  <c r="AJ26" i="47"/>
  <c r="AM37" i="47"/>
  <c r="AJ37" i="47"/>
  <c r="AY20" i="47"/>
  <c r="BA20" i="47" s="1"/>
  <c r="AR20" i="47"/>
  <c r="AT20" i="47" s="1"/>
  <c r="W20" i="47"/>
  <c r="P20" i="47"/>
  <c r="R20" i="47" s="1"/>
  <c r="BM20" i="47"/>
  <c r="BF20" i="47"/>
  <c r="W35" i="47"/>
  <c r="Y35" i="47" s="1"/>
  <c r="P35" i="47"/>
  <c r="BM35" i="47"/>
  <c r="BF35" i="47"/>
  <c r="AY35" i="47"/>
  <c r="AR35" i="47"/>
  <c r="P29" i="47"/>
  <c r="BF29" i="47"/>
  <c r="W11" i="48"/>
  <c r="P11" i="48"/>
  <c r="AJ43" i="47"/>
  <c r="AM43" i="47"/>
  <c r="Y38" i="47"/>
  <c r="Y24" i="47"/>
  <c r="V24" i="47"/>
  <c r="AM36" i="47"/>
  <c r="AJ36" i="47"/>
  <c r="AM25" i="47"/>
  <c r="AJ25" i="47"/>
  <c r="BH43" i="47"/>
  <c r="BE43" i="47"/>
  <c r="AY11" i="47"/>
  <c r="P11" i="47"/>
  <c r="BO43" i="47"/>
  <c r="BL43" i="47"/>
  <c r="BH36" i="47"/>
  <c r="BT36" i="47"/>
  <c r="W30" i="47"/>
  <c r="P30" i="47"/>
  <c r="R30" i="47" s="1"/>
  <c r="BM30" i="47"/>
  <c r="BF30" i="47"/>
  <c r="AY30" i="47"/>
  <c r="BA30" i="47" s="1"/>
  <c r="AR30" i="47"/>
  <c r="AT30" i="47" s="1"/>
  <c r="BM17" i="47"/>
  <c r="AR17" i="47"/>
  <c r="W17" i="47"/>
  <c r="Y17" i="47" s="1"/>
  <c r="W41" i="47"/>
  <c r="Y41" i="47" s="1"/>
  <c r="P41" i="47"/>
  <c r="BM41" i="47"/>
  <c r="BF41" i="47"/>
  <c r="AY41" i="47"/>
  <c r="AR41" i="47"/>
  <c r="BH25" i="47"/>
  <c r="BE25" i="47"/>
  <c r="BM21" i="47"/>
  <c r="BF21" i="47"/>
  <c r="AY21" i="47"/>
  <c r="AR21" i="47"/>
  <c r="AF21" i="47"/>
  <c r="P21" i="47"/>
  <c r="R21" i="47" s="1"/>
  <c r="W21" i="47"/>
  <c r="Y21" i="47" s="1"/>
  <c r="BF27" i="47"/>
  <c r="AY27" i="47"/>
  <c r="AR27" i="47"/>
  <c r="AF27" i="47"/>
  <c r="W27" i="47"/>
  <c r="Y27" i="47" s="1"/>
  <c r="BM27" i="47"/>
  <c r="P27" i="47"/>
  <c r="R27" i="47" s="1"/>
  <c r="AF33" i="47"/>
  <c r="W33" i="47"/>
  <c r="Y33" i="47" s="1"/>
  <c r="P33" i="47"/>
  <c r="R33" i="47" s="1"/>
  <c r="AR33" i="47"/>
  <c r="BM33" i="47"/>
  <c r="BF33" i="47"/>
  <c r="AY33" i="47"/>
  <c r="AR39" i="47"/>
  <c r="W39" i="47"/>
  <c r="Y39" i="47" s="1"/>
  <c r="P39" i="47"/>
  <c r="R39" i="47" s="1"/>
  <c r="BM39" i="47"/>
  <c r="BF39" i="47"/>
  <c r="AY39" i="47"/>
  <c r="BS51" i="47"/>
  <c r="G40" i="48"/>
  <c r="I22" i="48"/>
  <c r="J22" i="48" s="1"/>
  <c r="J11" i="48"/>
  <c r="L11" i="48"/>
  <c r="BR13" i="48"/>
  <c r="K40" i="48"/>
  <c r="BR45" i="47"/>
  <c r="BR36" i="47"/>
  <c r="I48" i="47"/>
  <c r="J48" i="47" s="1"/>
  <c r="L19" i="47"/>
  <c r="J19" i="47"/>
  <c r="J21" i="47"/>
  <c r="BR12" i="47"/>
  <c r="J15" i="47"/>
  <c r="BE12" i="47"/>
  <c r="V12" i="47"/>
  <c r="AC12" i="47"/>
  <c r="AF12" i="47"/>
  <c r="Y12" i="47"/>
  <c r="J41" i="47"/>
  <c r="L41" i="47"/>
  <c r="O43" i="47"/>
  <c r="L33" i="47"/>
  <c r="J33" i="47"/>
  <c r="J27" i="47"/>
  <c r="L27" i="47"/>
  <c r="L20" i="47"/>
  <c r="J20" i="47"/>
  <c r="L21" i="47"/>
  <c r="BH12" i="47"/>
  <c r="O12" i="47"/>
  <c r="R12" i="47"/>
  <c r="L39" i="47"/>
  <c r="J39" i="47"/>
  <c r="L30" i="47"/>
  <c r="BA12" i="47"/>
  <c r="L18" i="47"/>
  <c r="O24" i="47"/>
  <c r="G52" i="47"/>
  <c r="J18" i="47"/>
  <c r="BR31" i="47"/>
  <c r="O31" i="47"/>
  <c r="J42" i="47"/>
  <c r="O37" i="47"/>
  <c r="BR37" i="47"/>
  <c r="I46" i="47"/>
  <c r="J46" i="47" s="1"/>
  <c r="L44" i="47"/>
  <c r="J44" i="47"/>
  <c r="BS48" i="47"/>
  <c r="J14" i="47"/>
  <c r="L14" i="47"/>
  <c r="L35" i="47"/>
  <c r="I40" i="47"/>
  <c r="J40" i="47" s="1"/>
  <c r="J35" i="47"/>
  <c r="J30" i="47"/>
  <c r="BR43" i="47"/>
  <c r="O38" i="47"/>
  <c r="BR38" i="47"/>
  <c r="K52" i="47"/>
  <c r="AT12" i="47"/>
  <c r="J23" i="47"/>
  <c r="BR25" i="47"/>
  <c r="O25" i="47"/>
  <c r="AM12" i="47"/>
  <c r="AJ12" i="47"/>
  <c r="L11" i="47"/>
  <c r="J11" i="47"/>
  <c r="O26" i="47"/>
  <c r="BR26" i="47"/>
  <c r="BR24" i="47" l="1"/>
  <c r="BH24" i="47"/>
  <c r="AY17" i="47"/>
  <c r="AR29" i="47"/>
  <c r="BF17" i="47"/>
  <c r="AY29" i="47"/>
  <c r="W29" i="47"/>
  <c r="Y29" i="47" s="1"/>
  <c r="J17" i="47"/>
  <c r="I22" i="47"/>
  <c r="J22" i="47" s="1"/>
  <c r="AD11" i="47"/>
  <c r="AK11" i="47"/>
  <c r="AD17" i="47"/>
  <c r="AK17" i="47"/>
  <c r="AJ17" i="47" s="1"/>
  <c r="R29" i="47"/>
  <c r="R41" i="47"/>
  <c r="BR41" i="47"/>
  <c r="AD29" i="47"/>
  <c r="AD34" i="47" s="1"/>
  <c r="AK29" i="47"/>
  <c r="AJ29" i="47" s="1"/>
  <c r="L29" i="47"/>
  <c r="AK23" i="48"/>
  <c r="BM23" i="48"/>
  <c r="AD23" i="48"/>
  <c r="I47" i="47"/>
  <c r="H52" i="47"/>
  <c r="W11" i="47"/>
  <c r="R35" i="47"/>
  <c r="BR35" i="47"/>
  <c r="AK48" i="47"/>
  <c r="AM48" i="47" s="1"/>
  <c r="P17" i="47"/>
  <c r="BF11" i="47"/>
  <c r="BE11" i="47" s="1"/>
  <c r="O11" i="48"/>
  <c r="BR11" i="48"/>
  <c r="BT24" i="47"/>
  <c r="BM11" i="47"/>
  <c r="AM24" i="47"/>
  <c r="AC24" i="47"/>
  <c r="AR11" i="47"/>
  <c r="L22" i="48"/>
  <c r="AJ11" i="48"/>
  <c r="AM11" i="48"/>
  <c r="AK16" i="48"/>
  <c r="AC11" i="48"/>
  <c r="AF11" i="48"/>
  <c r="AD16" i="48"/>
  <c r="AD34" i="48"/>
  <c r="AC29" i="48"/>
  <c r="AF29" i="48"/>
  <c r="AM29" i="48"/>
  <c r="AJ29" i="48"/>
  <c r="AK34" i="48"/>
  <c r="O19" i="47"/>
  <c r="L23" i="47"/>
  <c r="L28" i="47" s="1"/>
  <c r="P15" i="50"/>
  <c r="O17" i="50"/>
  <c r="O25" i="50" s="1"/>
  <c r="K17" i="50"/>
  <c r="K25" i="50" s="1"/>
  <c r="M17" i="50"/>
  <c r="M25" i="50" s="1"/>
  <c r="P11" i="50"/>
  <c r="I17" i="50"/>
  <c r="I25" i="50" s="1"/>
  <c r="BT12" i="47"/>
  <c r="I28" i="47"/>
  <c r="J28" i="47" s="1"/>
  <c r="L15" i="47"/>
  <c r="L51" i="47" s="1"/>
  <c r="BH30" i="47"/>
  <c r="BE30" i="47"/>
  <c r="BH41" i="47"/>
  <c r="BE41" i="47"/>
  <c r="AJ19" i="47"/>
  <c r="AM19" i="47"/>
  <c r="BL44" i="47"/>
  <c r="BO44" i="47"/>
  <c r="AF35" i="47"/>
  <c r="AC35" i="47"/>
  <c r="V44" i="47"/>
  <c r="Y44" i="47"/>
  <c r="BL41" i="47"/>
  <c r="BO41" i="47"/>
  <c r="BH20" i="47"/>
  <c r="BE20" i="47"/>
  <c r="AF44" i="47"/>
  <c r="AC44" i="47"/>
  <c r="BF23" i="47"/>
  <c r="AY23" i="47"/>
  <c r="AY47" i="47" s="1"/>
  <c r="AR23" i="47"/>
  <c r="AR47" i="47" s="1"/>
  <c r="AK28" i="47"/>
  <c r="AD28" i="47"/>
  <c r="P23" i="47"/>
  <c r="BM23" i="47"/>
  <c r="BM28" i="47" s="1"/>
  <c r="W23" i="47"/>
  <c r="Y23" i="47" s="1"/>
  <c r="AQ29" i="47"/>
  <c r="AT29" i="47"/>
  <c r="BL20" i="47"/>
  <c r="BO20" i="47"/>
  <c r="AJ44" i="47"/>
  <c r="AM44" i="47"/>
  <c r="AF17" i="47"/>
  <c r="AC17" i="47"/>
  <c r="BA29" i="47"/>
  <c r="AX29" i="47"/>
  <c r="AM42" i="47"/>
  <c r="AJ42" i="47"/>
  <c r="I34" i="47"/>
  <c r="J34" i="47" s="1"/>
  <c r="BM32" i="47"/>
  <c r="BM50" i="47" s="1"/>
  <c r="BF32" i="47"/>
  <c r="BF34" i="47" s="1"/>
  <c r="AY32" i="47"/>
  <c r="BA32" i="47" s="1"/>
  <c r="AR32" i="47"/>
  <c r="AT32" i="47" s="1"/>
  <c r="W32" i="47"/>
  <c r="W50" i="47" s="1"/>
  <c r="P32" i="47"/>
  <c r="R32" i="47" s="1"/>
  <c r="AF30" i="47"/>
  <c r="AC30" i="47"/>
  <c r="BH29" i="47"/>
  <c r="BE29" i="47"/>
  <c r="V20" i="47"/>
  <c r="Y20" i="47"/>
  <c r="AF20" i="47"/>
  <c r="AC20" i="47"/>
  <c r="AM18" i="47"/>
  <c r="AJ18" i="47"/>
  <c r="AM17" i="47"/>
  <c r="AM30" i="47"/>
  <c r="AJ30" i="47"/>
  <c r="AT17" i="47"/>
  <c r="AQ17" i="47"/>
  <c r="AM20" i="47"/>
  <c r="AJ20" i="47"/>
  <c r="Y18" i="47"/>
  <c r="V18" i="47"/>
  <c r="BH42" i="47"/>
  <c r="BE42" i="47"/>
  <c r="BT42" i="47"/>
  <c r="BA17" i="47"/>
  <c r="AX17" i="47"/>
  <c r="BO29" i="47"/>
  <c r="BL29" i="47"/>
  <c r="AC18" i="47"/>
  <c r="AF18" i="47"/>
  <c r="BL42" i="47"/>
  <c r="BO42" i="47"/>
  <c r="BO17" i="47"/>
  <c r="BL17" i="47"/>
  <c r="BL30" i="47"/>
  <c r="BO30" i="47"/>
  <c r="AM35" i="47"/>
  <c r="AJ35" i="47"/>
  <c r="BE19" i="47"/>
  <c r="BH19" i="47"/>
  <c r="V42" i="47"/>
  <c r="Y42" i="47"/>
  <c r="BH18" i="47"/>
  <c r="BE18" i="47"/>
  <c r="BT18" i="47"/>
  <c r="AC42" i="47"/>
  <c r="AF42" i="47"/>
  <c r="BF23" i="48"/>
  <c r="AY23" i="48"/>
  <c r="AY28" i="48" s="1"/>
  <c r="AR23" i="48"/>
  <c r="W23" i="48"/>
  <c r="Y23" i="48" s="1"/>
  <c r="AF41" i="47"/>
  <c r="AC41" i="47"/>
  <c r="BO19" i="47"/>
  <c r="BL19" i="47"/>
  <c r="AM41" i="47"/>
  <c r="AJ41" i="47"/>
  <c r="AX35" i="47"/>
  <c r="BA35" i="47"/>
  <c r="BO18" i="47"/>
  <c r="BL18" i="47"/>
  <c r="BH17" i="47"/>
  <c r="BE17" i="47"/>
  <c r="V30" i="47"/>
  <c r="Y30" i="47"/>
  <c r="AQ41" i="47"/>
  <c r="AT41" i="47"/>
  <c r="BH35" i="47"/>
  <c r="BE35" i="47"/>
  <c r="Y19" i="47"/>
  <c r="V19" i="47"/>
  <c r="AT35" i="47"/>
  <c r="AQ35" i="47"/>
  <c r="I49" i="47"/>
  <c r="J49" i="47" s="1"/>
  <c r="BM13" i="47"/>
  <c r="BF13" i="47"/>
  <c r="W13" i="47"/>
  <c r="AY13" i="47"/>
  <c r="P13" i="47"/>
  <c r="AR13" i="47"/>
  <c r="AR49" i="47" s="1"/>
  <c r="O20" i="47"/>
  <c r="AR29" i="48"/>
  <c r="W29" i="48"/>
  <c r="Y29" i="48" s="1"/>
  <c r="P29" i="48"/>
  <c r="R29" i="48" s="1"/>
  <c r="BF29" i="48"/>
  <c r="AY29" i="48"/>
  <c r="BA41" i="47"/>
  <c r="AX41" i="47"/>
  <c r="BO35" i="47"/>
  <c r="BL35" i="47"/>
  <c r="AF19" i="47"/>
  <c r="AC19" i="47"/>
  <c r="BH44" i="47"/>
  <c r="BE44" i="47"/>
  <c r="I51" i="47"/>
  <c r="AJ51" i="47" s="1"/>
  <c r="W15" i="47"/>
  <c r="W51" i="47" s="1"/>
  <c r="AY15" i="47"/>
  <c r="AY51" i="47" s="1"/>
  <c r="P15" i="47"/>
  <c r="R15" i="47" s="1"/>
  <c r="AR15" i="47"/>
  <c r="AR51" i="47" s="1"/>
  <c r="BM15" i="47"/>
  <c r="BM51" i="47" s="1"/>
  <c r="AD51" i="47"/>
  <c r="BF15" i="47"/>
  <c r="BF51" i="47" s="1"/>
  <c r="BH21" i="47"/>
  <c r="BE21" i="47"/>
  <c r="BO21" i="47"/>
  <c r="BL21" i="47"/>
  <c r="BO27" i="47"/>
  <c r="BL27" i="47"/>
  <c r="BE27" i="47"/>
  <c r="BH27" i="47"/>
  <c r="BH33" i="47"/>
  <c r="BE33" i="47"/>
  <c r="BO33" i="47"/>
  <c r="BL33" i="47"/>
  <c r="BH39" i="47"/>
  <c r="BE39" i="47"/>
  <c r="BO39" i="47"/>
  <c r="BL39" i="47"/>
  <c r="P22" i="48"/>
  <c r="O22" i="48" s="1"/>
  <c r="I28" i="48"/>
  <c r="J28" i="48" s="1"/>
  <c r="I35" i="48"/>
  <c r="J35" i="48" s="1"/>
  <c r="BR14" i="48"/>
  <c r="L28" i="48"/>
  <c r="J12" i="48"/>
  <c r="BA11" i="48"/>
  <c r="AX11" i="48"/>
  <c r="R11" i="48"/>
  <c r="I16" i="48"/>
  <c r="J16" i="48" s="1"/>
  <c r="AQ11" i="48"/>
  <c r="AT11" i="48"/>
  <c r="BO11" i="48"/>
  <c r="BL11" i="48"/>
  <c r="I34" i="48"/>
  <c r="J34" i="48" s="1"/>
  <c r="Y11" i="48"/>
  <c r="BH11" i="48"/>
  <c r="BE11" i="48"/>
  <c r="L48" i="47"/>
  <c r="AD48" i="47"/>
  <c r="AR46" i="47"/>
  <c r="AT46" i="47" s="1"/>
  <c r="P48" i="47"/>
  <c r="AR48" i="47"/>
  <c r="I50" i="47"/>
  <c r="J50" i="47" s="1"/>
  <c r="W48" i="47"/>
  <c r="BM48" i="47"/>
  <c r="BF48" i="47"/>
  <c r="BA48" i="47"/>
  <c r="P47" i="47"/>
  <c r="AY48" i="47"/>
  <c r="BR27" i="47"/>
  <c r="AK46" i="47"/>
  <c r="AJ46" i="47" s="1"/>
  <c r="BM46" i="47"/>
  <c r="BO46" i="47" s="1"/>
  <c r="AD46" i="47"/>
  <c r="AC46" i="47" s="1"/>
  <c r="W46" i="47"/>
  <c r="Y46" i="47" s="1"/>
  <c r="L46" i="47"/>
  <c r="BR33" i="47"/>
  <c r="BR21" i="47"/>
  <c r="BR19" i="47"/>
  <c r="BR20" i="47"/>
  <c r="BF22" i="47"/>
  <c r="BR44" i="47"/>
  <c r="O44" i="47"/>
  <c r="AF11" i="47"/>
  <c r="AC11" i="47"/>
  <c r="L22" i="47"/>
  <c r="BR42" i="47"/>
  <c r="O42" i="47"/>
  <c r="AX11" i="47"/>
  <c r="BA11" i="47"/>
  <c r="BM40" i="47"/>
  <c r="L13" i="47"/>
  <c r="L49" i="47" s="1"/>
  <c r="J13" i="47"/>
  <c r="AK16" i="47"/>
  <c r="AJ11" i="47"/>
  <c r="AM11" i="47"/>
  <c r="AK40" i="47"/>
  <c r="R14" i="47"/>
  <c r="O14" i="47"/>
  <c r="BR14" i="47"/>
  <c r="AY22" i="47"/>
  <c r="AC14" i="47"/>
  <c r="AF14" i="47"/>
  <c r="AD22" i="47"/>
  <c r="P46" i="47"/>
  <c r="L32" i="47"/>
  <c r="L34" i="47" s="1"/>
  <c r="J32" i="47"/>
  <c r="AT11" i="47"/>
  <c r="AQ11" i="47"/>
  <c r="BF40" i="47"/>
  <c r="AD40" i="47"/>
  <c r="Y11" i="47"/>
  <c r="W40" i="47"/>
  <c r="Y14" i="47"/>
  <c r="V14" i="47"/>
  <c r="BA14" i="47"/>
  <c r="BR18" i="47"/>
  <c r="O18" i="47"/>
  <c r="BH14" i="47"/>
  <c r="BE14" i="47"/>
  <c r="I16" i="47"/>
  <c r="J16" i="47" s="1"/>
  <c r="W22" i="47"/>
  <c r="AR40" i="47"/>
  <c r="AY46" i="47"/>
  <c r="R11" i="47"/>
  <c r="AK22" i="47"/>
  <c r="L40" i="47"/>
  <c r="J47" i="47"/>
  <c r="AR22" i="47"/>
  <c r="BF46" i="47"/>
  <c r="P40" i="47"/>
  <c r="BR39" i="47"/>
  <c r="BM22" i="47"/>
  <c r="AY40" i="47"/>
  <c r="AJ14" i="47"/>
  <c r="AM14" i="47"/>
  <c r="BR30" i="47"/>
  <c r="O30" i="47"/>
  <c r="AT14" i="47"/>
  <c r="BL11" i="47"/>
  <c r="BO11" i="47"/>
  <c r="P22" i="47"/>
  <c r="BO14" i="47"/>
  <c r="BL14" i="47"/>
  <c r="AT48" i="47"/>
  <c r="BH11" i="47" l="1"/>
  <c r="BF47" i="47"/>
  <c r="L47" i="47"/>
  <c r="BR11" i="47"/>
  <c r="BR29" i="47"/>
  <c r="AC29" i="47"/>
  <c r="AF29" i="47"/>
  <c r="BR23" i="48"/>
  <c r="R17" i="47"/>
  <c r="BR17" i="47"/>
  <c r="BR29" i="48"/>
  <c r="AM29" i="47"/>
  <c r="AK47" i="47"/>
  <c r="AK52" i="47" s="1"/>
  <c r="R23" i="47"/>
  <c r="BR23" i="47"/>
  <c r="BR17" i="48"/>
  <c r="AK28" i="48"/>
  <c r="AM23" i="48"/>
  <c r="AJ23" i="48"/>
  <c r="AD28" i="48"/>
  <c r="AC23" i="48"/>
  <c r="AF23" i="48"/>
  <c r="AJ34" i="48"/>
  <c r="AM34" i="48"/>
  <c r="AC34" i="48"/>
  <c r="AF34" i="48"/>
  <c r="AF16" i="48"/>
  <c r="AC16" i="48"/>
  <c r="AM16" i="48"/>
  <c r="AJ16" i="48"/>
  <c r="W47" i="47"/>
  <c r="BA50" i="47"/>
  <c r="BM47" i="47"/>
  <c r="AD50" i="47"/>
  <c r="W16" i="48"/>
  <c r="Y16" i="48" s="1"/>
  <c r="P17" i="50"/>
  <c r="P25" i="50" s="1"/>
  <c r="BL15" i="47"/>
  <c r="AR28" i="47"/>
  <c r="AQ28" i="47" s="1"/>
  <c r="W28" i="47"/>
  <c r="V28" i="47" s="1"/>
  <c r="AF48" i="47"/>
  <c r="AT50" i="47"/>
  <c r="P28" i="47"/>
  <c r="O28" i="47" s="1"/>
  <c r="P50" i="47"/>
  <c r="P34" i="47"/>
  <c r="O34" i="47" s="1"/>
  <c r="BE15" i="47"/>
  <c r="BH15" i="47"/>
  <c r="BH51" i="47" s="1"/>
  <c r="Y15" i="47"/>
  <c r="Y51" i="47" s="1"/>
  <c r="J51" i="47"/>
  <c r="BT12" i="48"/>
  <c r="BO15" i="47"/>
  <c r="BO51" i="47" s="1"/>
  <c r="BH32" i="47"/>
  <c r="BH50" i="47" s="1"/>
  <c r="BE32" i="47"/>
  <c r="BL32" i="47"/>
  <c r="BO32" i="47"/>
  <c r="BO50" i="47" s="1"/>
  <c r="BO23" i="47"/>
  <c r="BO47" i="47" s="1"/>
  <c r="BL23" i="47"/>
  <c r="AF23" i="47"/>
  <c r="AC23" i="47"/>
  <c r="BA29" i="48"/>
  <c r="AX29" i="48"/>
  <c r="AM23" i="47"/>
  <c r="AJ23" i="47"/>
  <c r="P51" i="47"/>
  <c r="BH29" i="48"/>
  <c r="BE29" i="48"/>
  <c r="AT23" i="47"/>
  <c r="AT47" i="47" s="1"/>
  <c r="AQ23" i="47"/>
  <c r="BA23" i="47"/>
  <c r="BA47" i="47" s="1"/>
  <c r="AX23" i="47"/>
  <c r="O29" i="48"/>
  <c r="BO29" i="48"/>
  <c r="BL29" i="48"/>
  <c r="BH23" i="47"/>
  <c r="BH47" i="47" s="1"/>
  <c r="BE23" i="47"/>
  <c r="BO23" i="48"/>
  <c r="BL23" i="48"/>
  <c r="V32" i="47"/>
  <c r="Y32" i="47"/>
  <c r="Y50" i="47" s="1"/>
  <c r="AT29" i="48"/>
  <c r="AQ29" i="48"/>
  <c r="AF32" i="47"/>
  <c r="AF50" i="47" s="1"/>
  <c r="AC32" i="47"/>
  <c r="AQ48" i="47"/>
  <c r="AT23" i="48"/>
  <c r="AQ23" i="48"/>
  <c r="AJ32" i="47"/>
  <c r="AM32" i="47"/>
  <c r="AX23" i="48"/>
  <c r="BA23" i="48"/>
  <c r="BT30" i="47"/>
  <c r="AD47" i="47"/>
  <c r="BF28" i="47"/>
  <c r="BH28" i="47" s="1"/>
  <c r="AY28" i="47"/>
  <c r="BA28" i="47" s="1"/>
  <c r="AR16" i="47"/>
  <c r="AQ16" i="47" s="1"/>
  <c r="BH23" i="48"/>
  <c r="BE23" i="48"/>
  <c r="R22" i="48"/>
  <c r="BR15" i="47"/>
  <c r="AF15" i="47"/>
  <c r="AF51" i="47" s="1"/>
  <c r="AQ46" i="47"/>
  <c r="BF28" i="48"/>
  <c r="BH28" i="48" s="1"/>
  <c r="BM28" i="48"/>
  <c r="BL28" i="48" s="1"/>
  <c r="L35" i="48"/>
  <c r="L40" i="48" s="1"/>
  <c r="W28" i="48"/>
  <c r="Y28" i="48" s="1"/>
  <c r="AR28" i="48"/>
  <c r="AT28" i="48" s="1"/>
  <c r="BF16" i="48"/>
  <c r="BH16" i="48" s="1"/>
  <c r="AR16" i="48"/>
  <c r="AT16" i="48" s="1"/>
  <c r="P16" i="48"/>
  <c r="R16" i="48" s="1"/>
  <c r="P34" i="48"/>
  <c r="BR12" i="48"/>
  <c r="AX28" i="48"/>
  <c r="BA28" i="48"/>
  <c r="AR34" i="48"/>
  <c r="AY16" i="48"/>
  <c r="W34" i="48"/>
  <c r="L16" i="48"/>
  <c r="BM34" i="48"/>
  <c r="AY34" i="48"/>
  <c r="BF34" i="48"/>
  <c r="L34" i="48"/>
  <c r="BM16" i="48"/>
  <c r="L50" i="47"/>
  <c r="L52" i="47" s="1"/>
  <c r="BO48" i="47"/>
  <c r="V46" i="47"/>
  <c r="AM46" i="47"/>
  <c r="Y48" i="47"/>
  <c r="AF46" i="47"/>
  <c r="BF50" i="47"/>
  <c r="R48" i="47"/>
  <c r="BH48" i="47"/>
  <c r="AY50" i="47"/>
  <c r="AR50" i="47"/>
  <c r="R51" i="47"/>
  <c r="AJ48" i="47"/>
  <c r="Y47" i="47"/>
  <c r="AD16" i="47"/>
  <c r="AF16" i="47" s="1"/>
  <c r="AD49" i="47"/>
  <c r="BM16" i="47"/>
  <c r="BL16" i="47" s="1"/>
  <c r="BM49" i="47"/>
  <c r="W16" i="47"/>
  <c r="Y16" i="47" s="1"/>
  <c r="W49" i="47"/>
  <c r="BF16" i="47"/>
  <c r="BH16" i="47" s="1"/>
  <c r="BF49" i="47"/>
  <c r="P16" i="47"/>
  <c r="R16" i="47" s="1"/>
  <c r="P49" i="47"/>
  <c r="AY16" i="47"/>
  <c r="BA16" i="47" s="1"/>
  <c r="AY49" i="47"/>
  <c r="BL46" i="47"/>
  <c r="AY34" i="47"/>
  <c r="AX34" i="47" s="1"/>
  <c r="L16" i="47"/>
  <c r="I52" i="47"/>
  <c r="J52" i="47" s="1"/>
  <c r="BE34" i="47"/>
  <c r="BH34" i="47"/>
  <c r="BA22" i="47"/>
  <c r="AX22" i="47"/>
  <c r="AQ51" i="47"/>
  <c r="AM40" i="47"/>
  <c r="AJ40" i="47"/>
  <c r="AJ13" i="47"/>
  <c r="AM13" i="47"/>
  <c r="R46" i="47"/>
  <c r="O46" i="47"/>
  <c r="AC51" i="47"/>
  <c r="BO13" i="47"/>
  <c r="BO49" i="47" s="1"/>
  <c r="BL13" i="47"/>
  <c r="AQ47" i="47"/>
  <c r="O47" i="47"/>
  <c r="AX47" i="47"/>
  <c r="R50" i="47"/>
  <c r="BR32" i="47"/>
  <c r="O32" i="47"/>
  <c r="BL48" i="47"/>
  <c r="BE46" i="47"/>
  <c r="BH46" i="47"/>
  <c r="BA46" i="47"/>
  <c r="AX46" i="47"/>
  <c r="BM34" i="47"/>
  <c r="AT13" i="47"/>
  <c r="AT49" i="47" s="1"/>
  <c r="BE51" i="47"/>
  <c r="BE47" i="47"/>
  <c r="AM50" i="47"/>
  <c r="AJ50" i="47"/>
  <c r="AJ16" i="47"/>
  <c r="AM16" i="47"/>
  <c r="AM22" i="47"/>
  <c r="AJ22" i="47"/>
  <c r="AQ40" i="47"/>
  <c r="AT40" i="47"/>
  <c r="V50" i="47"/>
  <c r="BE22" i="47"/>
  <c r="BH22" i="47"/>
  <c r="AR34" i="47"/>
  <c r="AC22" i="47"/>
  <c r="AF22" i="47"/>
  <c r="R22" i="47"/>
  <c r="O22" i="47"/>
  <c r="AX40" i="47"/>
  <c r="BA40" i="47"/>
  <c r="AF28" i="47"/>
  <c r="AC28" i="47"/>
  <c r="AT22" i="47"/>
  <c r="AQ22" i="47"/>
  <c r="BR48" i="47"/>
  <c r="O48" i="47"/>
  <c r="W34" i="47"/>
  <c r="BA13" i="47"/>
  <c r="BA49" i="47" s="1"/>
  <c r="V22" i="47"/>
  <c r="Y22" i="47"/>
  <c r="AC48" i="47"/>
  <c r="O40" i="47"/>
  <c r="R40" i="47"/>
  <c r="BE48" i="47"/>
  <c r="AC40" i="47"/>
  <c r="AF40" i="47"/>
  <c r="Y40" i="47"/>
  <c r="V40" i="47"/>
  <c r="AM28" i="47"/>
  <c r="AJ28" i="47"/>
  <c r="BH40" i="47"/>
  <c r="BE40" i="47"/>
  <c r="V51" i="47"/>
  <c r="O13" i="47"/>
  <c r="R13" i="47"/>
  <c r="R49" i="47" s="1"/>
  <c r="BR13" i="47"/>
  <c r="Y13" i="47"/>
  <c r="Y49" i="47" s="1"/>
  <c r="V13" i="47"/>
  <c r="AK34" i="47"/>
  <c r="V48" i="47"/>
  <c r="AF13" i="47"/>
  <c r="AF49" i="47" s="1"/>
  <c r="AC13" i="47"/>
  <c r="BO22" i="47"/>
  <c r="BL22" i="47"/>
  <c r="AC34" i="47"/>
  <c r="AF34" i="47"/>
  <c r="AX51" i="47"/>
  <c r="BL51" i="47"/>
  <c r="BL50" i="47"/>
  <c r="AX48" i="47"/>
  <c r="BO40" i="47"/>
  <c r="BL40" i="47"/>
  <c r="BO28" i="47"/>
  <c r="BL28" i="47"/>
  <c r="BE13" i="47"/>
  <c r="BH13" i="47"/>
  <c r="BH49" i="47" s="1"/>
  <c r="R47" i="47" l="1"/>
  <c r="AF47" i="47"/>
  <c r="V47" i="47"/>
  <c r="R34" i="47"/>
  <c r="BR35" i="48"/>
  <c r="BR47" i="47"/>
  <c r="AC50" i="47"/>
  <c r="AJ28" i="48"/>
  <c r="AM28" i="48"/>
  <c r="AC28" i="48"/>
  <c r="AF28" i="48"/>
  <c r="V16" i="48"/>
  <c r="BL47" i="47"/>
  <c r="R28" i="47"/>
  <c r="AM47" i="47"/>
  <c r="AJ47" i="47"/>
  <c r="AT28" i="47"/>
  <c r="Y28" i="47"/>
  <c r="O51" i="47"/>
  <c r="O50" i="47"/>
  <c r="V16" i="47"/>
  <c r="BE28" i="47"/>
  <c r="BE28" i="48"/>
  <c r="BR51" i="47"/>
  <c r="AT16" i="47"/>
  <c r="BE50" i="47"/>
  <c r="AD52" i="47"/>
  <c r="AC52" i="47" s="1"/>
  <c r="AX28" i="47"/>
  <c r="AX50" i="47"/>
  <c r="AC47" i="47"/>
  <c r="AQ16" i="48"/>
  <c r="BO28" i="48"/>
  <c r="V28" i="48"/>
  <c r="AQ28" i="48"/>
  <c r="BE16" i="48"/>
  <c r="O16" i="48"/>
  <c r="Y34" i="48"/>
  <c r="V34" i="48"/>
  <c r="O34" i="48"/>
  <c r="R34" i="48"/>
  <c r="BL16" i="48"/>
  <c r="BO16" i="48"/>
  <c r="P40" i="48"/>
  <c r="BA16" i="48"/>
  <c r="AX16" i="48"/>
  <c r="AQ34" i="48"/>
  <c r="AT34" i="48"/>
  <c r="BE34" i="48"/>
  <c r="BH34" i="48"/>
  <c r="BA34" i="48"/>
  <c r="AX34" i="48"/>
  <c r="BL34" i="48"/>
  <c r="BO34" i="48"/>
  <c r="AC16" i="47"/>
  <c r="BE16" i="47"/>
  <c r="BO16" i="47"/>
  <c r="AX16" i="47"/>
  <c r="O16" i="47"/>
  <c r="BA34" i="47"/>
  <c r="BR50" i="47"/>
  <c r="AY52" i="47"/>
  <c r="AX52" i="47" s="1"/>
  <c r="AQ49" i="47"/>
  <c r="V49" i="47"/>
  <c r="AR52" i="47"/>
  <c r="BL49" i="47"/>
  <c r="W52" i="47"/>
  <c r="AC49" i="47"/>
  <c r="AT34" i="47"/>
  <c r="AQ34" i="47"/>
  <c r="BE49" i="47"/>
  <c r="BF52" i="47"/>
  <c r="AM52" i="47"/>
  <c r="AJ52" i="47"/>
  <c r="BO34" i="47"/>
  <c r="BL34" i="47"/>
  <c r="BM52" i="47"/>
  <c r="AM49" i="47"/>
  <c r="AJ49" i="47"/>
  <c r="BR49" i="47"/>
  <c r="O49" i="47"/>
  <c r="AM34" i="47"/>
  <c r="AJ34" i="47"/>
  <c r="AX49" i="47"/>
  <c r="AQ50" i="47"/>
  <c r="Y34" i="47"/>
  <c r="V34" i="47"/>
  <c r="P52" i="47"/>
  <c r="AF52" i="47" l="1"/>
  <c r="R40" i="48"/>
  <c r="BA52" i="47"/>
  <c r="AQ52" i="47"/>
  <c r="AT52" i="47"/>
  <c r="Y52" i="47"/>
  <c r="V52" i="47"/>
  <c r="BO52" i="47"/>
  <c r="BL52" i="47"/>
  <c r="O52" i="47"/>
  <c r="R52" i="47"/>
  <c r="BE52" i="47"/>
  <c r="BH52" i="47"/>
  <c r="BE9" i="37" l="1"/>
  <c r="BE8" i="37"/>
  <c r="BE7" i="37"/>
  <c r="BE6" i="37"/>
  <c r="BE5" i="37"/>
  <c r="BN58" i="46"/>
  <c r="BG58" i="46"/>
  <c r="AZ58" i="46"/>
  <c r="AS58" i="46"/>
  <c r="AL58" i="46"/>
  <c r="AE58" i="46"/>
  <c r="X58" i="46"/>
  <c r="Q58" i="46"/>
  <c r="K57" i="46"/>
  <c r="BS57" i="46" s="1"/>
  <c r="K56" i="46"/>
  <c r="BS56" i="46" s="1"/>
  <c r="K55" i="46"/>
  <c r="BS55" i="46" s="1"/>
  <c r="K54" i="46"/>
  <c r="K53" i="46"/>
  <c r="BN52" i="46"/>
  <c r="BG52" i="46"/>
  <c r="AZ52" i="46"/>
  <c r="AS52" i="46"/>
  <c r="AL52" i="46"/>
  <c r="AE52" i="46"/>
  <c r="X52" i="46"/>
  <c r="Q52" i="46"/>
  <c r="K51" i="46"/>
  <c r="BS51" i="46" s="1"/>
  <c r="K50" i="46"/>
  <c r="BS50" i="46" s="1"/>
  <c r="K49" i="46"/>
  <c r="BS49" i="46" s="1"/>
  <c r="K48" i="46"/>
  <c r="K47" i="46"/>
  <c r="BS47" i="46" s="1"/>
  <c r="BN46" i="46"/>
  <c r="BG46" i="46"/>
  <c r="AZ46" i="46"/>
  <c r="AS46" i="46"/>
  <c r="AL46" i="46"/>
  <c r="AE46" i="46"/>
  <c r="X46" i="46"/>
  <c r="Q46" i="46"/>
  <c r="K45" i="46"/>
  <c r="BS45" i="46" s="1"/>
  <c r="K44" i="46"/>
  <c r="BS44" i="46" s="1"/>
  <c r="K43" i="46"/>
  <c r="BS43" i="46" s="1"/>
  <c r="K42" i="46"/>
  <c r="K36" i="52" s="1"/>
  <c r="K41" i="46"/>
  <c r="BS41" i="46" s="1"/>
  <c r="I43" i="46"/>
  <c r="BN40" i="46"/>
  <c r="BG40" i="46"/>
  <c r="AZ40" i="46"/>
  <c r="AS40" i="46"/>
  <c r="AL40" i="46"/>
  <c r="AE40" i="46"/>
  <c r="X40" i="46"/>
  <c r="Q40" i="46"/>
  <c r="K39" i="46"/>
  <c r="K38" i="46"/>
  <c r="BS38" i="46" s="1"/>
  <c r="K37" i="46"/>
  <c r="BS37" i="46" s="1"/>
  <c r="K36" i="46"/>
  <c r="K35" i="52" s="1"/>
  <c r="K35" i="46"/>
  <c r="BS35" i="46" s="1"/>
  <c r="BN34" i="46"/>
  <c r="BG34" i="46"/>
  <c r="AZ34" i="46"/>
  <c r="AS34" i="46"/>
  <c r="AL34" i="46"/>
  <c r="AE34" i="46"/>
  <c r="X34" i="46"/>
  <c r="Q34" i="46"/>
  <c r="K33" i="46"/>
  <c r="BS33" i="46" s="1"/>
  <c r="K32" i="46"/>
  <c r="K31" i="46"/>
  <c r="BS31" i="46" s="1"/>
  <c r="K30" i="46"/>
  <c r="K34" i="52" s="1"/>
  <c r="K29" i="46"/>
  <c r="BS29" i="46" s="1"/>
  <c r="I31" i="46"/>
  <c r="BN28" i="46"/>
  <c r="BG28" i="46"/>
  <c r="AZ28" i="46"/>
  <c r="AS28" i="46"/>
  <c r="AL28" i="46"/>
  <c r="AE28" i="46"/>
  <c r="X28" i="46"/>
  <c r="Q28" i="46"/>
  <c r="K27" i="46"/>
  <c r="BS27" i="46" s="1"/>
  <c r="K26" i="46"/>
  <c r="BS26" i="46" s="1"/>
  <c r="K25" i="46"/>
  <c r="BS25" i="46" s="1"/>
  <c r="K24" i="46"/>
  <c r="K23" i="46"/>
  <c r="BN22" i="46"/>
  <c r="BG22" i="46"/>
  <c r="AZ22" i="46"/>
  <c r="AS22" i="46"/>
  <c r="AL22" i="46"/>
  <c r="AE22" i="46"/>
  <c r="X22" i="46"/>
  <c r="Q22" i="46"/>
  <c r="K21" i="46"/>
  <c r="BS21" i="46" s="1"/>
  <c r="K20" i="46"/>
  <c r="BS20" i="46" s="1"/>
  <c r="K19" i="46"/>
  <c r="BS19" i="46" s="1"/>
  <c r="K18" i="46"/>
  <c r="K17" i="46"/>
  <c r="BN16" i="46"/>
  <c r="BG16" i="46"/>
  <c r="AZ16" i="46"/>
  <c r="AS16" i="46"/>
  <c r="AL16" i="46"/>
  <c r="AE16" i="46"/>
  <c r="X16" i="46"/>
  <c r="Q16" i="46"/>
  <c r="K15" i="46"/>
  <c r="K14" i="46"/>
  <c r="K13" i="46"/>
  <c r="K12" i="46"/>
  <c r="K31" i="52" s="1"/>
  <c r="K11" i="46"/>
  <c r="BF43" i="46" l="1"/>
  <c r="AK43" i="46"/>
  <c r="BS48" i="46"/>
  <c r="K37" i="52"/>
  <c r="BS54" i="46"/>
  <c r="K38" i="52"/>
  <c r="BS24" i="46"/>
  <c r="K33" i="52"/>
  <c r="BS18" i="46"/>
  <c r="K32" i="52"/>
  <c r="K50" i="52" s="1"/>
  <c r="BS11" i="46"/>
  <c r="K59" i="46"/>
  <c r="K60" i="46"/>
  <c r="K63" i="46"/>
  <c r="BS14" i="46"/>
  <c r="K62" i="46"/>
  <c r="BS13" i="46"/>
  <c r="K61" i="46"/>
  <c r="P31" i="46"/>
  <c r="W31" i="46"/>
  <c r="BM31" i="46"/>
  <c r="BF31" i="46"/>
  <c r="BA31" i="46"/>
  <c r="AT31" i="46"/>
  <c r="AD31" i="46"/>
  <c r="AK31" i="46"/>
  <c r="BM43" i="46"/>
  <c r="BA43" i="46"/>
  <c r="P43" i="46"/>
  <c r="AT43" i="46"/>
  <c r="W43" i="46"/>
  <c r="AD43" i="46"/>
  <c r="AE64" i="46"/>
  <c r="J43" i="46"/>
  <c r="H17" i="46"/>
  <c r="I17" i="46" s="1"/>
  <c r="H29" i="46"/>
  <c r="H47" i="46"/>
  <c r="H32" i="46"/>
  <c r="H56" i="46"/>
  <c r="I56" i="46" s="1"/>
  <c r="H50" i="46"/>
  <c r="AZ64" i="46"/>
  <c r="K46" i="46"/>
  <c r="I30" i="46"/>
  <c r="AL64" i="46"/>
  <c r="AS64" i="46"/>
  <c r="I49" i="46"/>
  <c r="X64" i="46"/>
  <c r="BN64" i="46"/>
  <c r="I48" i="46"/>
  <c r="L31" i="46"/>
  <c r="H26" i="46"/>
  <c r="I26" i="46" s="1"/>
  <c r="D59" i="46"/>
  <c r="BS12" i="46"/>
  <c r="K16" i="46"/>
  <c r="BS36" i="46"/>
  <c r="K40" i="46"/>
  <c r="BS32" i="46"/>
  <c r="BS30" i="46"/>
  <c r="K22" i="46"/>
  <c r="BS17" i="46"/>
  <c r="K34" i="46"/>
  <c r="I54" i="46"/>
  <c r="I25" i="46"/>
  <c r="L43" i="46"/>
  <c r="K28" i="46"/>
  <c r="BS23" i="46"/>
  <c r="I37" i="46"/>
  <c r="H19" i="46"/>
  <c r="I19" i="46" s="1"/>
  <c r="K52" i="46"/>
  <c r="BS53" i="46"/>
  <c r="K58" i="46"/>
  <c r="BG64" i="46"/>
  <c r="J31" i="46"/>
  <c r="BS42" i="46"/>
  <c r="BS39" i="46"/>
  <c r="BS15" i="46"/>
  <c r="I55" i="46"/>
  <c r="K52" i="52" l="1"/>
  <c r="K51" i="52" s="1"/>
  <c r="K49" i="52"/>
  <c r="M12" i="54"/>
  <c r="AR22" i="46"/>
  <c r="AY17" i="46"/>
  <c r="AY22" i="46" s="1"/>
  <c r="BF54" i="46"/>
  <c r="AK54" i="46"/>
  <c r="AT48" i="46"/>
  <c r="BA48" i="46"/>
  <c r="BF48" i="46"/>
  <c r="AK48" i="46"/>
  <c r="AT55" i="46"/>
  <c r="AK55" i="46"/>
  <c r="BA55" i="46"/>
  <c r="BF55" i="46"/>
  <c r="AK56" i="46"/>
  <c r="BA56" i="46"/>
  <c r="BF56" i="46"/>
  <c r="AT56" i="46"/>
  <c r="AK49" i="46"/>
  <c r="BF49" i="46"/>
  <c r="AT49" i="46"/>
  <c r="AK37" i="46"/>
  <c r="BA37" i="46"/>
  <c r="BF37" i="46"/>
  <c r="BS59" i="46"/>
  <c r="AK17" i="46"/>
  <c r="O12" i="54" s="1"/>
  <c r="K12" i="54" s="1"/>
  <c r="T12" i="54"/>
  <c r="P12" i="54" s="1"/>
  <c r="W48" i="46"/>
  <c r="AD48" i="46"/>
  <c r="W30" i="46"/>
  <c r="AD30" i="46"/>
  <c r="W54" i="46"/>
  <c r="AD54" i="46"/>
  <c r="H38" i="52" s="1"/>
  <c r="AF43" i="46"/>
  <c r="AC43" i="46"/>
  <c r="Y43" i="46"/>
  <c r="V43" i="46"/>
  <c r="J30" i="46"/>
  <c r="P30" i="46"/>
  <c r="BM30" i="46"/>
  <c r="BA30" i="46"/>
  <c r="BF30" i="46"/>
  <c r="AK30" i="46"/>
  <c r="AT30" i="46"/>
  <c r="AM43" i="46"/>
  <c r="AJ43" i="46"/>
  <c r="R43" i="46"/>
  <c r="O43" i="46"/>
  <c r="L56" i="46"/>
  <c r="AD56" i="46"/>
  <c r="W56" i="46"/>
  <c r="BM56" i="46"/>
  <c r="P56" i="46"/>
  <c r="BH43" i="46"/>
  <c r="BE43" i="46"/>
  <c r="BO43" i="46"/>
  <c r="BL43" i="46"/>
  <c r="AJ31" i="46"/>
  <c r="AM31" i="46"/>
  <c r="BM19" i="46"/>
  <c r="BF19" i="46"/>
  <c r="BA19" i="46"/>
  <c r="AD19" i="46"/>
  <c r="P19" i="46"/>
  <c r="W19" i="46"/>
  <c r="AT19" i="46"/>
  <c r="AK19" i="46"/>
  <c r="AF31" i="46"/>
  <c r="AC31" i="46"/>
  <c r="J37" i="46"/>
  <c r="BM37" i="46"/>
  <c r="AT37" i="46"/>
  <c r="P37" i="46"/>
  <c r="W37" i="46"/>
  <c r="AD37" i="46"/>
  <c r="W26" i="46"/>
  <c r="P26" i="46"/>
  <c r="BF26" i="46"/>
  <c r="BA26" i="46"/>
  <c r="AT26" i="46"/>
  <c r="AK26" i="46"/>
  <c r="AD26" i="46"/>
  <c r="BM26" i="46"/>
  <c r="W17" i="46"/>
  <c r="Y17" i="46" s="1"/>
  <c r="P17" i="46"/>
  <c r="P48" i="46"/>
  <c r="BM48" i="46"/>
  <c r="BH31" i="46"/>
  <c r="BE31" i="46"/>
  <c r="BL31" i="46"/>
  <c r="BO31" i="46"/>
  <c r="BM25" i="46"/>
  <c r="BF25" i="46"/>
  <c r="P25" i="46"/>
  <c r="BA25" i="46"/>
  <c r="AD25" i="46"/>
  <c r="W25" i="46"/>
  <c r="AT25" i="46"/>
  <c r="AK25" i="46"/>
  <c r="V31" i="46"/>
  <c r="Y31" i="46"/>
  <c r="BM55" i="46"/>
  <c r="W55" i="46"/>
  <c r="AD55" i="46"/>
  <c r="P55" i="46"/>
  <c r="BM54" i="46"/>
  <c r="BA54" i="46"/>
  <c r="P54" i="46"/>
  <c r="AT54" i="46"/>
  <c r="L49" i="46"/>
  <c r="P49" i="46"/>
  <c r="BM49" i="46"/>
  <c r="AD49" i="46"/>
  <c r="W49" i="46"/>
  <c r="BA49" i="46"/>
  <c r="R31" i="46"/>
  <c r="O31" i="46"/>
  <c r="J48" i="46"/>
  <c r="J49" i="46"/>
  <c r="I29" i="46"/>
  <c r="I50" i="46"/>
  <c r="L30" i="46"/>
  <c r="J17" i="46"/>
  <c r="J56" i="46"/>
  <c r="I32" i="46"/>
  <c r="BR31" i="46"/>
  <c r="L48" i="46"/>
  <c r="L19" i="46"/>
  <c r="J19" i="46"/>
  <c r="I36" i="46"/>
  <c r="BR43" i="46"/>
  <c r="H11" i="46"/>
  <c r="H53" i="46"/>
  <c r="I53" i="46" s="1"/>
  <c r="I12" i="46"/>
  <c r="H44" i="46"/>
  <c r="I44" i="46" s="1"/>
  <c r="I18" i="46"/>
  <c r="H14" i="46"/>
  <c r="H41" i="46"/>
  <c r="I41" i="46" s="1"/>
  <c r="L54" i="46"/>
  <c r="J54" i="46"/>
  <c r="L55" i="46"/>
  <c r="J55" i="46"/>
  <c r="H35" i="46"/>
  <c r="H13" i="46"/>
  <c r="I42" i="46"/>
  <c r="BS63" i="46"/>
  <c r="H20" i="46"/>
  <c r="I20" i="46" s="1"/>
  <c r="L17" i="46"/>
  <c r="BS61" i="46"/>
  <c r="L25" i="46"/>
  <c r="J25" i="46"/>
  <c r="I47" i="46"/>
  <c r="L37" i="46"/>
  <c r="H23" i="46"/>
  <c r="I23" i="46" s="1"/>
  <c r="H38" i="46"/>
  <c r="I38" i="46" s="1"/>
  <c r="I24" i="46"/>
  <c r="L26" i="46"/>
  <c r="J26" i="46"/>
  <c r="AR58" i="46" l="1"/>
  <c r="AY53" i="46"/>
  <c r="AY58" i="46" s="1"/>
  <c r="AR52" i="46"/>
  <c r="AY47" i="46"/>
  <c r="AY52" i="46" s="1"/>
  <c r="AY41" i="46"/>
  <c r="AY46" i="46" s="1"/>
  <c r="AR46" i="46"/>
  <c r="AY29" i="46"/>
  <c r="AY34" i="46" s="1"/>
  <c r="AR34" i="46"/>
  <c r="AY23" i="46"/>
  <c r="AY28" i="46" s="1"/>
  <c r="H12" i="54"/>
  <c r="V12" i="54"/>
  <c r="M13" i="54"/>
  <c r="AK41" i="46"/>
  <c r="AK47" i="46"/>
  <c r="M14" i="54"/>
  <c r="AK53" i="46"/>
  <c r="R17" i="46"/>
  <c r="AK36" i="46"/>
  <c r="BA36" i="46"/>
  <c r="BF36" i="46"/>
  <c r="BF42" i="46"/>
  <c r="AK42" i="46"/>
  <c r="AK50" i="46"/>
  <c r="BF50" i="46"/>
  <c r="AT50" i="46"/>
  <c r="BF44" i="46"/>
  <c r="BA44" i="46"/>
  <c r="AT44" i="46"/>
  <c r="AK44" i="46"/>
  <c r="AK38" i="46"/>
  <c r="BF38" i="46"/>
  <c r="L29" i="46"/>
  <c r="AK29" i="46"/>
  <c r="O14" i="54" s="1"/>
  <c r="T14" i="54"/>
  <c r="P14" i="54" s="1"/>
  <c r="AK23" i="46"/>
  <c r="O13" i="54" s="1"/>
  <c r="T13" i="54"/>
  <c r="P13" i="54" s="1"/>
  <c r="J38" i="52"/>
  <c r="AA38" i="52" s="1"/>
  <c r="J34" i="52"/>
  <c r="AA34" i="52" s="1"/>
  <c r="H34" i="52"/>
  <c r="AD18" i="46"/>
  <c r="W18" i="46"/>
  <c r="AK18" i="46"/>
  <c r="H37" i="52"/>
  <c r="J37" i="52"/>
  <c r="AA37" i="52" s="1"/>
  <c r="AD12" i="46"/>
  <c r="W36" i="46"/>
  <c r="AD36" i="46"/>
  <c r="W42" i="46"/>
  <c r="AD42" i="46"/>
  <c r="W24" i="46"/>
  <c r="AD24" i="46"/>
  <c r="AD38" i="46"/>
  <c r="W38" i="46"/>
  <c r="P38" i="46"/>
  <c r="BM38" i="46"/>
  <c r="BA38" i="46"/>
  <c r="AT38" i="46"/>
  <c r="AF49" i="46"/>
  <c r="AC49" i="46"/>
  <c r="AC55" i="46"/>
  <c r="AF55" i="46"/>
  <c r="BO25" i="46"/>
  <c r="BL25" i="46"/>
  <c r="AT17" i="46"/>
  <c r="AQ17" i="46"/>
  <c r="R37" i="46"/>
  <c r="O37" i="46"/>
  <c r="AJ55" i="46"/>
  <c r="AM55" i="46"/>
  <c r="BO49" i="46"/>
  <c r="BL49" i="46"/>
  <c r="AM17" i="46"/>
  <c r="AJ17" i="46"/>
  <c r="BO37" i="46"/>
  <c r="BL37" i="46"/>
  <c r="W41" i="46"/>
  <c r="Y41" i="46" s="1"/>
  <c r="P41" i="46"/>
  <c r="R41" i="46" s="1"/>
  <c r="R49" i="46"/>
  <c r="O49" i="46"/>
  <c r="AF17" i="46"/>
  <c r="U12" i="52" s="1"/>
  <c r="J12" i="52" s="1"/>
  <c r="AA12" i="52" s="1"/>
  <c r="AC17" i="46"/>
  <c r="BH37" i="46"/>
  <c r="BE37" i="46"/>
  <c r="Y30" i="46"/>
  <c r="V30" i="46"/>
  <c r="AJ49" i="46"/>
  <c r="AM49" i="46"/>
  <c r="P47" i="46"/>
  <c r="W47" i="46"/>
  <c r="Y47" i="46" s="1"/>
  <c r="I14" i="46"/>
  <c r="BM14" i="46" s="1"/>
  <c r="H62" i="46"/>
  <c r="BA18" i="46"/>
  <c r="AT18" i="46"/>
  <c r="P18" i="46"/>
  <c r="BM18" i="46"/>
  <c r="BF18" i="46"/>
  <c r="BH49" i="46"/>
  <c r="BE49" i="46"/>
  <c r="BH55" i="46"/>
  <c r="BE55" i="46"/>
  <c r="Y48" i="46"/>
  <c r="V48" i="46"/>
  <c r="BL26" i="46"/>
  <c r="BO26" i="46"/>
  <c r="AF30" i="46"/>
  <c r="AC30" i="46"/>
  <c r="AM56" i="46"/>
  <c r="AJ56" i="46"/>
  <c r="AJ30" i="46"/>
  <c r="AM30" i="46"/>
  <c r="BH30" i="46"/>
  <c r="BE30" i="46"/>
  <c r="W23" i="46"/>
  <c r="Y23" i="46" s="1"/>
  <c r="P23" i="46"/>
  <c r="R23" i="46" s="1"/>
  <c r="AF48" i="46"/>
  <c r="AC48" i="46"/>
  <c r="AJ19" i="46"/>
  <c r="AM19" i="46"/>
  <c r="BO30" i="46"/>
  <c r="BL30" i="46"/>
  <c r="R56" i="46"/>
  <c r="O56" i="46"/>
  <c r="O30" i="46"/>
  <c r="R30" i="46"/>
  <c r="J50" i="46"/>
  <c r="P50" i="46"/>
  <c r="AD50" i="46"/>
  <c r="W50" i="46"/>
  <c r="BM50" i="46"/>
  <c r="BA50" i="46"/>
  <c r="J29" i="46"/>
  <c r="P29" i="46"/>
  <c r="R29" i="46" s="1"/>
  <c r="W29" i="46"/>
  <c r="Y29" i="46" s="1"/>
  <c r="Y54" i="46"/>
  <c r="V54" i="46"/>
  <c r="BE56" i="46"/>
  <c r="BH56" i="46"/>
  <c r="W20" i="46"/>
  <c r="BM20" i="46"/>
  <c r="BA20" i="46"/>
  <c r="P20" i="46"/>
  <c r="AT20" i="46"/>
  <c r="AK20" i="46"/>
  <c r="AD20" i="46"/>
  <c r="BF20" i="46"/>
  <c r="R54" i="46"/>
  <c r="O54" i="46"/>
  <c r="BM36" i="46"/>
  <c r="AT36" i="46"/>
  <c r="P36" i="46"/>
  <c r="AM54" i="46"/>
  <c r="AJ54" i="46"/>
  <c r="Y25" i="46"/>
  <c r="V25" i="46"/>
  <c r="R48" i="46"/>
  <c r="O48" i="46"/>
  <c r="R26" i="46"/>
  <c r="O26" i="46"/>
  <c r="O19" i="46"/>
  <c r="R19" i="46"/>
  <c r="BL56" i="46"/>
  <c r="BO56" i="46"/>
  <c r="BM44" i="46"/>
  <c r="P44" i="46"/>
  <c r="AD44" i="46"/>
  <c r="W44" i="46"/>
  <c r="AF25" i="46"/>
  <c r="AC25" i="46"/>
  <c r="BE48" i="46"/>
  <c r="BH48" i="46"/>
  <c r="V26" i="46"/>
  <c r="Y26" i="46"/>
  <c r="AF19" i="46"/>
  <c r="AC19" i="46"/>
  <c r="V56" i="46"/>
  <c r="Y56" i="46"/>
  <c r="AF26" i="46"/>
  <c r="AC26" i="46"/>
  <c r="AJ26" i="46"/>
  <c r="AM26" i="46"/>
  <c r="AF54" i="46"/>
  <c r="AC54" i="46"/>
  <c r="BH26" i="46"/>
  <c r="BE26" i="46"/>
  <c r="I13" i="46"/>
  <c r="H61" i="46"/>
  <c r="AD32" i="46"/>
  <c r="W32" i="46"/>
  <c r="BM32" i="46"/>
  <c r="BF32" i="46"/>
  <c r="BA32" i="46"/>
  <c r="AT32" i="46"/>
  <c r="P32" i="46"/>
  <c r="BT54" i="46"/>
  <c r="BH54" i="46"/>
  <c r="BE54" i="46"/>
  <c r="BO17" i="46"/>
  <c r="BL17" i="46"/>
  <c r="AF37" i="46"/>
  <c r="AC37" i="46"/>
  <c r="AF56" i="46"/>
  <c r="AC56" i="46"/>
  <c r="BH17" i="46"/>
  <c r="BE17" i="46"/>
  <c r="BO48" i="46"/>
  <c r="BL48" i="46"/>
  <c r="L12" i="46"/>
  <c r="P12" i="46"/>
  <c r="I60" i="46"/>
  <c r="AJ25" i="46"/>
  <c r="AM25" i="46"/>
  <c r="BO54" i="46"/>
  <c r="BL54" i="46"/>
  <c r="O25" i="46"/>
  <c r="R25" i="46"/>
  <c r="AX17" i="46"/>
  <c r="BA17" i="46"/>
  <c r="Y37" i="46"/>
  <c r="V37" i="46"/>
  <c r="BH19" i="46"/>
  <c r="BE19" i="46"/>
  <c r="Y55" i="46"/>
  <c r="V55" i="46"/>
  <c r="BO55" i="46"/>
  <c r="BL55" i="46"/>
  <c r="AM48" i="46"/>
  <c r="AJ48" i="46"/>
  <c r="W53" i="46"/>
  <c r="Y53" i="46" s="1"/>
  <c r="P53" i="46"/>
  <c r="I11" i="46"/>
  <c r="H59" i="46"/>
  <c r="Y19" i="46"/>
  <c r="V19" i="46"/>
  <c r="BM42" i="46"/>
  <c r="BA42" i="46"/>
  <c r="AT42" i="46"/>
  <c r="P42" i="46"/>
  <c r="BA24" i="46"/>
  <c r="AK24" i="46"/>
  <c r="AT24" i="46"/>
  <c r="P24" i="46"/>
  <c r="BM24" i="46"/>
  <c r="BF24" i="46"/>
  <c r="Y49" i="46"/>
  <c r="V49" i="46"/>
  <c r="R55" i="46"/>
  <c r="O55" i="46"/>
  <c r="BE25" i="46"/>
  <c r="BH25" i="46"/>
  <c r="AJ37" i="46"/>
  <c r="AM37" i="46"/>
  <c r="BO19" i="46"/>
  <c r="BL19" i="46"/>
  <c r="L50" i="46"/>
  <c r="BR56" i="46"/>
  <c r="BR30" i="46"/>
  <c r="L32" i="46"/>
  <c r="BM12" i="46"/>
  <c r="BF12" i="46"/>
  <c r="BR49" i="46"/>
  <c r="J32" i="46"/>
  <c r="BR48" i="46"/>
  <c r="AK12" i="46"/>
  <c r="J12" i="46"/>
  <c r="L24" i="46"/>
  <c r="J24" i="46"/>
  <c r="BR55" i="46"/>
  <c r="L53" i="46"/>
  <c r="J53" i="46"/>
  <c r="BS62" i="46"/>
  <c r="J41" i="46"/>
  <c r="L41" i="46"/>
  <c r="L47" i="46"/>
  <c r="J47" i="46"/>
  <c r="L20" i="46"/>
  <c r="J20" i="46"/>
  <c r="BR19" i="46"/>
  <c r="L42" i="46"/>
  <c r="J42" i="46"/>
  <c r="L44" i="46"/>
  <c r="J44" i="46"/>
  <c r="BR37" i="46"/>
  <c r="L36" i="46"/>
  <c r="J36" i="46"/>
  <c r="BR26" i="46"/>
  <c r="Q64" i="46"/>
  <c r="L38" i="46"/>
  <c r="J38" i="46"/>
  <c r="L23" i="46"/>
  <c r="J23" i="46"/>
  <c r="BR25" i="46"/>
  <c r="I35" i="46"/>
  <c r="BS60" i="46"/>
  <c r="BR54" i="46"/>
  <c r="L18" i="46"/>
  <c r="J18" i="46"/>
  <c r="AY35" i="46" l="1"/>
  <c r="AY40" i="46" s="1"/>
  <c r="AR40" i="46"/>
  <c r="M11" i="54"/>
  <c r="M20" i="54" s="1"/>
  <c r="AY11" i="46"/>
  <c r="AY16" i="46" s="1"/>
  <c r="S11" i="52"/>
  <c r="K14" i="54"/>
  <c r="H14" i="54" s="1"/>
  <c r="T16" i="54"/>
  <c r="P16" i="54" s="1"/>
  <c r="V16" i="54" s="1"/>
  <c r="T18" i="54"/>
  <c r="P18" i="54" s="1"/>
  <c r="V14" i="54"/>
  <c r="BR29" i="46"/>
  <c r="T17" i="54"/>
  <c r="P17" i="54" s="1"/>
  <c r="H16" i="54"/>
  <c r="BR41" i="46"/>
  <c r="AK35" i="46"/>
  <c r="AK59" i="46" s="1"/>
  <c r="K13" i="54"/>
  <c r="BR23" i="46"/>
  <c r="R53" i="46"/>
  <c r="BR53" i="46"/>
  <c r="R47" i="46"/>
  <c r="BR47" i="46"/>
  <c r="AK11" i="46"/>
  <c r="O11" i="54" s="1"/>
  <c r="O20" i="54" s="1"/>
  <c r="H35" i="52"/>
  <c r="J35" i="52"/>
  <c r="AA35" i="52" s="1"/>
  <c r="H31" i="52"/>
  <c r="S49" i="52"/>
  <c r="J31" i="52"/>
  <c r="J32" i="52"/>
  <c r="AA32" i="52" s="1"/>
  <c r="H32" i="52"/>
  <c r="AK60" i="46"/>
  <c r="J33" i="52"/>
  <c r="AA33" i="52" s="1"/>
  <c r="H33" i="52"/>
  <c r="Y49" i="52"/>
  <c r="AT14" i="46"/>
  <c r="AY62" i="46"/>
  <c r="BA62" i="46" s="1"/>
  <c r="H36" i="52"/>
  <c r="J36" i="52"/>
  <c r="AA36" i="52" s="1"/>
  <c r="BF14" i="46"/>
  <c r="BF62" i="46" s="1"/>
  <c r="AD13" i="46"/>
  <c r="AD61" i="46" s="1"/>
  <c r="AK13" i="46"/>
  <c r="AK61" i="46" s="1"/>
  <c r="AD14" i="46"/>
  <c r="AC14" i="46" s="1"/>
  <c r="AK34" i="46"/>
  <c r="AM34" i="46" s="1"/>
  <c r="L14" i="46"/>
  <c r="L62" i="46" s="1"/>
  <c r="AK14" i="46"/>
  <c r="J14" i="46"/>
  <c r="W14" i="46"/>
  <c r="W62" i="46" s="1"/>
  <c r="BR50" i="46"/>
  <c r="BT30" i="46"/>
  <c r="L13" i="46"/>
  <c r="L61" i="46" s="1"/>
  <c r="BM62" i="46"/>
  <c r="J13" i="46"/>
  <c r="BM13" i="46"/>
  <c r="BM61" i="46" s="1"/>
  <c r="BO61" i="46" s="1"/>
  <c r="W13" i="46"/>
  <c r="W61" i="46" s="1"/>
  <c r="P60" i="46"/>
  <c r="AR61" i="46"/>
  <c r="AT61" i="46" s="1"/>
  <c r="L60" i="46"/>
  <c r="AY61" i="46"/>
  <c r="BA61" i="46" s="1"/>
  <c r="BF13" i="46"/>
  <c r="BF61" i="46" s="1"/>
  <c r="W60" i="46"/>
  <c r="AY60" i="46"/>
  <c r="BA60" i="46" s="1"/>
  <c r="BF60" i="46"/>
  <c r="BH42" i="46"/>
  <c r="BT42" i="46"/>
  <c r="BE42" i="46"/>
  <c r="BH20" i="46"/>
  <c r="BE20" i="46"/>
  <c r="AT29" i="46"/>
  <c r="AQ29" i="46"/>
  <c r="AM47" i="46"/>
  <c r="AJ47" i="46"/>
  <c r="BA41" i="46"/>
  <c r="AX41" i="46"/>
  <c r="AM20" i="46"/>
  <c r="AJ20" i="46"/>
  <c r="BH18" i="46"/>
  <c r="BT18" i="46"/>
  <c r="BE18" i="46"/>
  <c r="AT47" i="46"/>
  <c r="AQ47" i="46"/>
  <c r="BH41" i="46"/>
  <c r="BE41" i="46"/>
  <c r="BO53" i="46"/>
  <c r="BL53" i="46"/>
  <c r="V18" i="46"/>
  <c r="Y18" i="46"/>
  <c r="BM60" i="46"/>
  <c r="Y42" i="46"/>
  <c r="V42" i="46"/>
  <c r="Y44" i="46"/>
  <c r="V44" i="46"/>
  <c r="BH29" i="46"/>
  <c r="BE29" i="46"/>
  <c r="BL18" i="46"/>
  <c r="BO18" i="46"/>
  <c r="BO41" i="46"/>
  <c r="BL41" i="46"/>
  <c r="P35" i="46"/>
  <c r="R35" i="46" s="1"/>
  <c r="W35" i="46"/>
  <c r="Y35" i="46" s="1"/>
  <c r="BO42" i="46"/>
  <c r="BL42" i="46"/>
  <c r="AF42" i="46"/>
  <c r="AC42" i="46"/>
  <c r="AC44" i="46"/>
  <c r="AF44" i="46"/>
  <c r="R20" i="46"/>
  <c r="O20" i="46"/>
  <c r="R18" i="46"/>
  <c r="O18" i="46"/>
  <c r="AM42" i="46"/>
  <c r="AJ42" i="46"/>
  <c r="R32" i="46"/>
  <c r="O32" i="46"/>
  <c r="AJ44" i="46"/>
  <c r="AM44" i="46"/>
  <c r="BH50" i="46"/>
  <c r="BE50" i="46"/>
  <c r="AC18" i="46"/>
  <c r="AF18" i="46"/>
  <c r="BL20" i="46"/>
  <c r="BO20" i="46"/>
  <c r="AM18" i="46"/>
  <c r="AJ18" i="46"/>
  <c r="BH24" i="46"/>
  <c r="BE24" i="46"/>
  <c r="BT24" i="46"/>
  <c r="BH44" i="46"/>
  <c r="BE44" i="46"/>
  <c r="R36" i="46"/>
  <c r="O36" i="46"/>
  <c r="V20" i="46"/>
  <c r="Y20" i="46"/>
  <c r="BH32" i="46"/>
  <c r="BE32" i="46"/>
  <c r="R44" i="46"/>
  <c r="O44" i="46"/>
  <c r="Y36" i="46"/>
  <c r="V36" i="46"/>
  <c r="BL50" i="46"/>
  <c r="BO50" i="46"/>
  <c r="BH23" i="46"/>
  <c r="BE23" i="46"/>
  <c r="AC24" i="46"/>
  <c r="AF24" i="46"/>
  <c r="L11" i="46"/>
  <c r="P11" i="46"/>
  <c r="I59" i="46"/>
  <c r="V50" i="46"/>
  <c r="Y50" i="46"/>
  <c r="BH38" i="46"/>
  <c r="BE38" i="46"/>
  <c r="BO24" i="46"/>
  <c r="BL24" i="46"/>
  <c r="R24" i="46"/>
  <c r="O24" i="46"/>
  <c r="AF23" i="46"/>
  <c r="U13" i="52" s="1"/>
  <c r="J13" i="52" s="1"/>
  <c r="AA13" i="52" s="1"/>
  <c r="AC23" i="46"/>
  <c r="P14" i="46"/>
  <c r="P62" i="46" s="1"/>
  <c r="I62" i="46"/>
  <c r="J62" i="46" s="1"/>
  <c r="BA29" i="46"/>
  <c r="AX29" i="46"/>
  <c r="AF53" i="46"/>
  <c r="AC53" i="46"/>
  <c r="AF32" i="46"/>
  <c r="AC32" i="46"/>
  <c r="AJ50" i="46"/>
  <c r="AM50" i="46"/>
  <c r="BO23" i="46"/>
  <c r="BL23" i="46"/>
  <c r="AF47" i="46"/>
  <c r="AC47" i="46"/>
  <c r="BL38" i="46"/>
  <c r="BO38" i="46"/>
  <c r="Y24" i="46"/>
  <c r="V24" i="46"/>
  <c r="AF50" i="46"/>
  <c r="AC50" i="46"/>
  <c r="BT36" i="46"/>
  <c r="BH36" i="46"/>
  <c r="BE36" i="46"/>
  <c r="BA47" i="46"/>
  <c r="AX47" i="46"/>
  <c r="R38" i="46"/>
  <c r="O38" i="46"/>
  <c r="AF20" i="46"/>
  <c r="AC20" i="46"/>
  <c r="AF36" i="46"/>
  <c r="AC36" i="46"/>
  <c r="W11" i="46"/>
  <c r="Y11" i="46" s="1"/>
  <c r="V32" i="46"/>
  <c r="Y32" i="46"/>
  <c r="AM24" i="46"/>
  <c r="AJ24" i="46"/>
  <c r="AJ32" i="46"/>
  <c r="AM32" i="46"/>
  <c r="AT53" i="46"/>
  <c r="AQ53" i="46"/>
  <c r="BO36" i="46"/>
  <c r="BL36" i="46"/>
  <c r="BO29" i="46"/>
  <c r="BL29" i="46"/>
  <c r="AM23" i="46"/>
  <c r="AJ23" i="46"/>
  <c r="BH47" i="46"/>
  <c r="BE47" i="46"/>
  <c r="AM41" i="46"/>
  <c r="AJ41" i="46"/>
  <c r="V38" i="46"/>
  <c r="Y38" i="46"/>
  <c r="BO44" i="46"/>
  <c r="BL44" i="46"/>
  <c r="AM36" i="46"/>
  <c r="AJ36" i="46"/>
  <c r="J11" i="46"/>
  <c r="AF12" i="46"/>
  <c r="AD60" i="46"/>
  <c r="O42" i="46"/>
  <c r="R42" i="46"/>
  <c r="BA53" i="46"/>
  <c r="AX53" i="46"/>
  <c r="I61" i="46"/>
  <c r="J61" i="46" s="1"/>
  <c r="P13" i="46"/>
  <c r="P61" i="46" s="1"/>
  <c r="BT48" i="46"/>
  <c r="AF29" i="46"/>
  <c r="U14" i="52" s="1"/>
  <c r="J14" i="52" s="1"/>
  <c r="AA14" i="52" s="1"/>
  <c r="AC29" i="46"/>
  <c r="AT23" i="46"/>
  <c r="AQ23" i="46"/>
  <c r="AF41" i="46"/>
  <c r="AC41" i="46"/>
  <c r="AF38" i="46"/>
  <c r="AC38" i="46"/>
  <c r="BL32" i="46"/>
  <c r="BO32" i="46"/>
  <c r="AM53" i="46"/>
  <c r="AJ53" i="46"/>
  <c r="R50" i="46"/>
  <c r="O50" i="46"/>
  <c r="AR60" i="46"/>
  <c r="BH53" i="46"/>
  <c r="BE53" i="46"/>
  <c r="AJ29" i="46"/>
  <c r="AM29" i="46"/>
  <c r="AX23" i="46"/>
  <c r="BA23" i="46"/>
  <c r="BO47" i="46"/>
  <c r="BL47" i="46"/>
  <c r="AT41" i="46"/>
  <c r="AQ41" i="46"/>
  <c r="AM38" i="46"/>
  <c r="AJ38" i="46"/>
  <c r="BR32" i="46"/>
  <c r="AT12" i="46"/>
  <c r="BH12" i="46"/>
  <c r="BE12" i="46"/>
  <c r="BA12" i="46"/>
  <c r="BR12" i="46"/>
  <c r="BR42" i="46"/>
  <c r="L35" i="46"/>
  <c r="J35" i="46"/>
  <c r="BR20" i="46"/>
  <c r="AK28" i="46"/>
  <c r="BR18" i="46"/>
  <c r="BR36" i="46"/>
  <c r="BO14" i="46"/>
  <c r="BL14" i="46"/>
  <c r="BR38" i="46"/>
  <c r="AK22" i="46"/>
  <c r="BR24" i="46"/>
  <c r="R12" i="46"/>
  <c r="O12" i="46"/>
  <c r="J60" i="46"/>
  <c r="K64" i="46"/>
  <c r="Y12" i="46"/>
  <c r="V12" i="46"/>
  <c r="BR44" i="46"/>
  <c r="AC12" i="46"/>
  <c r="AM12" i="46"/>
  <c r="AJ12" i="46"/>
  <c r="BL12" i="46"/>
  <c r="BO12" i="46"/>
  <c r="BE45" i="37"/>
  <c r="BE44" i="37"/>
  <c r="BE43" i="37"/>
  <c r="BE42" i="37"/>
  <c r="BE41" i="37"/>
  <c r="BE40" i="37"/>
  <c r="BE39" i="37"/>
  <c r="BE38" i="37"/>
  <c r="BE37" i="37"/>
  <c r="BE36" i="37"/>
  <c r="BE35" i="37"/>
  <c r="BE34" i="37"/>
  <c r="BE27" i="37"/>
  <c r="BE26" i="37"/>
  <c r="BE25" i="37"/>
  <c r="BE24" i="37"/>
  <c r="BE23" i="37"/>
  <c r="BE22" i="37"/>
  <c r="BE21" i="37"/>
  <c r="BE20" i="37"/>
  <c r="S30" i="52" l="1"/>
  <c r="Q11" i="52"/>
  <c r="J50" i="52"/>
  <c r="H50" i="52"/>
  <c r="H49" i="52" s="1"/>
  <c r="H51" i="52" s="1"/>
  <c r="T11" i="54"/>
  <c r="P11" i="54" s="1"/>
  <c r="AR16" i="46"/>
  <c r="K11" i="54"/>
  <c r="K20" i="54" s="1"/>
  <c r="M19" i="54"/>
  <c r="M22" i="54"/>
  <c r="M21" i="54" s="1"/>
  <c r="H13" i="54"/>
  <c r="V13" i="54"/>
  <c r="T15" i="54"/>
  <c r="P15" i="54" s="1"/>
  <c r="BR35" i="46"/>
  <c r="R11" i="46"/>
  <c r="BA14" i="46"/>
  <c r="H17" i="54"/>
  <c r="V17" i="54"/>
  <c r="O22" i="54"/>
  <c r="O21" i="54" s="1"/>
  <c r="O19" i="54"/>
  <c r="H18" i="54"/>
  <c r="V18" i="54"/>
  <c r="BE14" i="46"/>
  <c r="BH14" i="46"/>
  <c r="AT13" i="46"/>
  <c r="AF14" i="46"/>
  <c r="AF13" i="46"/>
  <c r="AD62" i="46"/>
  <c r="AC13" i="46"/>
  <c r="AR62" i="46"/>
  <c r="AQ62" i="46" s="1"/>
  <c r="N49" i="52"/>
  <c r="AA31" i="52"/>
  <c r="AM14" i="46"/>
  <c r="AK62" i="46"/>
  <c r="AM62" i="46" s="1"/>
  <c r="V14" i="46"/>
  <c r="AJ14" i="46"/>
  <c r="BH62" i="46"/>
  <c r="Y14" i="46"/>
  <c r="BM59" i="46"/>
  <c r="BO59" i="46" s="1"/>
  <c r="V13" i="46"/>
  <c r="AY59" i="46"/>
  <c r="BA59" i="46" s="1"/>
  <c r="Y60" i="46"/>
  <c r="O14" i="46"/>
  <c r="AJ13" i="46"/>
  <c r="AM13" i="46"/>
  <c r="O13" i="46"/>
  <c r="BL13" i="46"/>
  <c r="Y13" i="46"/>
  <c r="BA13" i="46"/>
  <c r="BH61" i="46"/>
  <c r="BE13" i="46"/>
  <c r="BH13" i="46"/>
  <c r="BO62" i="46"/>
  <c r="BR13" i="46"/>
  <c r="R13" i="46"/>
  <c r="AR59" i="46"/>
  <c r="P59" i="46"/>
  <c r="L59" i="46"/>
  <c r="BR14" i="46"/>
  <c r="R14" i="46"/>
  <c r="BO13" i="46"/>
  <c r="AD59" i="46"/>
  <c r="AF59" i="46" s="1"/>
  <c r="BO11" i="46"/>
  <c r="BF59" i="46"/>
  <c r="BH59" i="46" s="1"/>
  <c r="AF62" i="46"/>
  <c r="AF60" i="46"/>
  <c r="AX11" i="46"/>
  <c r="AF35" i="46"/>
  <c r="AC35" i="46"/>
  <c r="AT35" i="46"/>
  <c r="AQ35" i="46"/>
  <c r="BO60" i="46"/>
  <c r="AM35" i="46"/>
  <c r="AJ35" i="46"/>
  <c r="BA35" i="46"/>
  <c r="AX35" i="46"/>
  <c r="AM11" i="46"/>
  <c r="AF61" i="46"/>
  <c r="BH35" i="46"/>
  <c r="BE35" i="46"/>
  <c r="AF11" i="46"/>
  <c r="U11" i="52" s="1"/>
  <c r="U30" i="52" s="1"/>
  <c r="AK16" i="46"/>
  <c r="AM16" i="46" s="1"/>
  <c r="BL11" i="46"/>
  <c r="BO35" i="46"/>
  <c r="BL35" i="46"/>
  <c r="AT60" i="46"/>
  <c r="AC11" i="46"/>
  <c r="BH11" i="46"/>
  <c r="W59" i="46"/>
  <c r="V59" i="46" s="1"/>
  <c r="BA11" i="46"/>
  <c r="AQ11" i="46"/>
  <c r="BT12" i="46"/>
  <c r="BE11" i="46"/>
  <c r="AT11" i="46"/>
  <c r="BH60" i="46"/>
  <c r="AM59" i="46"/>
  <c r="AX62" i="46"/>
  <c r="BE62" i="46"/>
  <c r="AX61" i="46"/>
  <c r="BE61" i="46"/>
  <c r="AQ60" i="46"/>
  <c r="AX60" i="46"/>
  <c r="AQ61" i="46"/>
  <c r="BE60" i="46"/>
  <c r="V60" i="46"/>
  <c r="AJ60" i="46"/>
  <c r="AM60" i="46"/>
  <c r="R62" i="46"/>
  <c r="O62" i="46"/>
  <c r="AM28" i="46"/>
  <c r="BR61" i="46"/>
  <c r="O61" i="46"/>
  <c r="R61" i="46"/>
  <c r="BL61" i="46"/>
  <c r="BL62" i="46"/>
  <c r="AC60" i="46"/>
  <c r="AC61" i="46"/>
  <c r="AC62" i="46"/>
  <c r="AM22" i="46"/>
  <c r="J59" i="46"/>
  <c r="AM61" i="46"/>
  <c r="AJ61" i="46"/>
  <c r="Y62" i="46"/>
  <c r="V62" i="46"/>
  <c r="Y61" i="46"/>
  <c r="V61" i="46"/>
  <c r="BL60" i="46"/>
  <c r="U29" i="52" l="1"/>
  <c r="U52" i="52"/>
  <c r="U51" i="52" s="1"/>
  <c r="J49" i="52"/>
  <c r="S29" i="52"/>
  <c r="S52" i="52"/>
  <c r="S51" i="52" s="1"/>
  <c r="Q30" i="52"/>
  <c r="AX59" i="46"/>
  <c r="J11" i="52"/>
  <c r="H11" i="52"/>
  <c r="T20" i="54"/>
  <c r="V11" i="54"/>
  <c r="P20" i="54"/>
  <c r="O59" i="46"/>
  <c r="BR59" i="46"/>
  <c r="H15" i="54"/>
  <c r="V15" i="54"/>
  <c r="K19" i="54"/>
  <c r="K22" i="54"/>
  <c r="K21" i="54" s="1"/>
  <c r="H11" i="54"/>
  <c r="H20" i="54" s="1"/>
  <c r="BR62" i="46"/>
  <c r="BL59" i="46"/>
  <c r="AJ62" i="46"/>
  <c r="AT62" i="46"/>
  <c r="AT59" i="46"/>
  <c r="R59" i="46"/>
  <c r="Y59" i="46"/>
  <c r="AJ59" i="46"/>
  <c r="AQ59" i="46"/>
  <c r="R60" i="46"/>
  <c r="BR60" i="46"/>
  <c r="O60" i="46"/>
  <c r="BE59" i="46"/>
  <c r="AC59" i="46"/>
  <c r="Q29" i="52" l="1"/>
  <c r="Q52" i="52"/>
  <c r="Q51" i="52" s="1"/>
  <c r="AA11" i="52"/>
  <c r="H19" i="54"/>
  <c r="H22" i="54"/>
  <c r="H21" i="54" s="1"/>
  <c r="P19" i="54"/>
  <c r="P22" i="54"/>
  <c r="P21" i="54" s="1"/>
  <c r="T19" i="54"/>
  <c r="T22" i="54"/>
  <c r="T21" i="54" s="1"/>
  <c r="F27" i="37"/>
  <c r="F45" i="37" l="1"/>
  <c r="F41" i="37"/>
  <c r="G28" i="46" l="1"/>
  <c r="H27" i="46"/>
  <c r="H28" i="46" s="1"/>
  <c r="AJ64" i="30"/>
  <c r="AJ63" i="30"/>
  <c r="AJ62" i="30"/>
  <c r="AJ61" i="30"/>
  <c r="AJ60" i="30"/>
  <c r="AG64" i="30"/>
  <c r="AG63" i="30"/>
  <c r="AG62" i="30"/>
  <c r="AG61" i="30"/>
  <c r="AG60" i="30"/>
  <c r="AD64" i="30"/>
  <c r="AD63" i="30"/>
  <c r="AD62" i="30"/>
  <c r="AD61" i="30"/>
  <c r="AD60" i="30"/>
  <c r="AA64" i="30"/>
  <c r="AA63" i="30"/>
  <c r="AA62" i="30"/>
  <c r="AA61" i="30"/>
  <c r="AA60" i="30"/>
  <c r="X64" i="30"/>
  <c r="X63" i="30"/>
  <c r="X62" i="30"/>
  <c r="X61" i="30"/>
  <c r="X60" i="30"/>
  <c r="U64" i="30"/>
  <c r="U63" i="30"/>
  <c r="U62" i="30"/>
  <c r="U61" i="30"/>
  <c r="U60" i="30"/>
  <c r="F23" i="37"/>
  <c r="BE31" i="37"/>
  <c r="BE30" i="37"/>
  <c r="BE29" i="37"/>
  <c r="BE28" i="37"/>
  <c r="I27" i="46" l="1"/>
  <c r="H45" i="46"/>
  <c r="H46" i="46" s="1"/>
  <c r="G46" i="46"/>
  <c r="H57" i="46"/>
  <c r="H58" i="46" s="1"/>
  <c r="G58" i="46"/>
  <c r="H33" i="46"/>
  <c r="H34" i="46" s="1"/>
  <c r="G34" i="46"/>
  <c r="H39" i="46"/>
  <c r="H40" i="46" s="1"/>
  <c r="G40" i="46"/>
  <c r="H51" i="46"/>
  <c r="G52" i="46"/>
  <c r="BA28" i="46" l="1"/>
  <c r="AT28" i="46"/>
  <c r="P27" i="46"/>
  <c r="AD27" i="46"/>
  <c r="W27" i="46"/>
  <c r="BM27" i="46"/>
  <c r="BM28" i="46" s="1"/>
  <c r="BF27" i="46"/>
  <c r="I28" i="46"/>
  <c r="J28" i="46" s="1"/>
  <c r="J27" i="46"/>
  <c r="L27" i="46"/>
  <c r="L28" i="46" s="1"/>
  <c r="I45" i="46"/>
  <c r="I39" i="46"/>
  <c r="I33" i="46"/>
  <c r="I51" i="46"/>
  <c r="H52" i="46"/>
  <c r="I57" i="46"/>
  <c r="BE50" i="37"/>
  <c r="BE49" i="37"/>
  <c r="BE48" i="37"/>
  <c r="BE47" i="37"/>
  <c r="BE46" i="37"/>
  <c r="AK57" i="46" l="1"/>
  <c r="AK58" i="46" s="1"/>
  <c r="AM58" i="46" s="1"/>
  <c r="BF57" i="46"/>
  <c r="AT58" i="46"/>
  <c r="AK51" i="46"/>
  <c r="AK52" i="46" s="1"/>
  <c r="AM52" i="46" s="1"/>
  <c r="AT52" i="46"/>
  <c r="BA52" i="46"/>
  <c r="BF51" i="46"/>
  <c r="BF45" i="46"/>
  <c r="AT46" i="46"/>
  <c r="AK45" i="46"/>
  <c r="AK46" i="46" s="1"/>
  <c r="AM46" i="46" s="1"/>
  <c r="AK39" i="46"/>
  <c r="BF39" i="46"/>
  <c r="BA40" i="46"/>
  <c r="AJ28" i="46"/>
  <c r="BR27" i="46"/>
  <c r="BM51" i="46"/>
  <c r="AD51" i="46"/>
  <c r="W51" i="46"/>
  <c r="P51" i="46"/>
  <c r="BH27" i="46"/>
  <c r="BE27" i="46"/>
  <c r="BF28" i="46"/>
  <c r="L39" i="46"/>
  <c r="L40" i="46" s="1"/>
  <c r="BM39" i="46"/>
  <c r="BM40" i="46" s="1"/>
  <c r="AT40" i="46"/>
  <c r="P39" i="46"/>
  <c r="W39" i="46"/>
  <c r="AD39" i="46"/>
  <c r="BO27" i="46"/>
  <c r="BL27" i="46"/>
  <c r="Y27" i="46"/>
  <c r="W28" i="46"/>
  <c r="AF27" i="46"/>
  <c r="AD28" i="46"/>
  <c r="J45" i="46"/>
  <c r="AD45" i="46"/>
  <c r="W45" i="46"/>
  <c r="P45" i="46"/>
  <c r="BM45" i="46"/>
  <c r="BM46" i="46" s="1"/>
  <c r="BA46" i="46"/>
  <c r="R27" i="46"/>
  <c r="P28" i="46"/>
  <c r="BM57" i="46"/>
  <c r="BA58" i="46"/>
  <c r="W57" i="46"/>
  <c r="P57" i="46"/>
  <c r="AD57" i="46"/>
  <c r="AX28" i="46"/>
  <c r="BM33" i="46"/>
  <c r="AD33" i="46"/>
  <c r="BF33" i="46"/>
  <c r="BA34" i="46"/>
  <c r="AT34" i="46"/>
  <c r="P33" i="46"/>
  <c r="W33" i="46"/>
  <c r="AQ28" i="46"/>
  <c r="J39" i="46"/>
  <c r="I46" i="46"/>
  <c r="J46" i="46" s="1"/>
  <c r="L45" i="46"/>
  <c r="L46" i="46" s="1"/>
  <c r="I40" i="46"/>
  <c r="J33" i="46"/>
  <c r="L33" i="46"/>
  <c r="L34" i="46" s="1"/>
  <c r="I34" i="46"/>
  <c r="BL28" i="46"/>
  <c r="BO28" i="46"/>
  <c r="L57" i="46"/>
  <c r="L58" i="46" s="1"/>
  <c r="J57" i="46"/>
  <c r="I58" i="46"/>
  <c r="L51" i="46"/>
  <c r="L52" i="46" s="1"/>
  <c r="J51" i="46"/>
  <c r="I52" i="46"/>
  <c r="J17" i="52" l="1"/>
  <c r="AA17" i="52" s="1"/>
  <c r="H17" i="52"/>
  <c r="AK63" i="46"/>
  <c r="AK40" i="46"/>
  <c r="AM40" i="46" s="1"/>
  <c r="BR45" i="46"/>
  <c r="AX46" i="46"/>
  <c r="AF45" i="46"/>
  <c r="AD46" i="46"/>
  <c r="R51" i="46"/>
  <c r="P52" i="46"/>
  <c r="R52" i="46" s="1"/>
  <c r="Y51" i="46"/>
  <c r="W52" i="46"/>
  <c r="Y52" i="46" s="1"/>
  <c r="AF51" i="46"/>
  <c r="AD52" i="46"/>
  <c r="AF52" i="46" s="1"/>
  <c r="AF39" i="46"/>
  <c r="AD40" i="46"/>
  <c r="AF40" i="46" s="1"/>
  <c r="R28" i="46"/>
  <c r="O28" i="46"/>
  <c r="AF28" i="46"/>
  <c r="AC28" i="46"/>
  <c r="Y39" i="46"/>
  <c r="W40" i="46"/>
  <c r="Y40" i="46" s="1"/>
  <c r="R39" i="46"/>
  <c r="P40" i="46"/>
  <c r="R40" i="46" s="1"/>
  <c r="BH51" i="46"/>
  <c r="BE51" i="46"/>
  <c r="BF52" i="46"/>
  <c r="BH52" i="46" s="1"/>
  <c r="Y28" i="46"/>
  <c r="V28" i="46"/>
  <c r="BO51" i="46"/>
  <c r="BL51" i="46"/>
  <c r="AF57" i="46"/>
  <c r="AD58" i="46"/>
  <c r="AF58" i="46" s="1"/>
  <c r="Y33" i="46"/>
  <c r="W34" i="46"/>
  <c r="Y34" i="46" s="1"/>
  <c r="R57" i="46"/>
  <c r="P58" i="46"/>
  <c r="R58" i="46" s="1"/>
  <c r="BH39" i="46"/>
  <c r="BE39" i="46"/>
  <c r="BF40" i="46"/>
  <c r="BH40" i="46" s="1"/>
  <c r="BO39" i="46"/>
  <c r="BL39" i="46"/>
  <c r="R33" i="46"/>
  <c r="P34" i="46"/>
  <c r="R34" i="46" s="1"/>
  <c r="Y57" i="46"/>
  <c r="W58" i="46"/>
  <c r="Y58" i="46" s="1"/>
  <c r="BH45" i="46"/>
  <c r="BE45" i="46"/>
  <c r="BF46" i="46"/>
  <c r="BH28" i="46"/>
  <c r="BE28" i="46"/>
  <c r="BH33" i="46"/>
  <c r="BE33" i="46"/>
  <c r="BF34" i="46"/>
  <c r="BH34" i="46" s="1"/>
  <c r="BH57" i="46"/>
  <c r="BE57" i="46"/>
  <c r="BF58" i="46"/>
  <c r="BH58" i="46" s="1"/>
  <c r="BO45" i="46"/>
  <c r="BL45" i="46"/>
  <c r="AF33" i="46"/>
  <c r="AD34" i="46"/>
  <c r="BO57" i="46"/>
  <c r="BL57" i="46"/>
  <c r="BO33" i="46"/>
  <c r="BL33" i="46"/>
  <c r="R45" i="46"/>
  <c r="P46" i="46"/>
  <c r="Y45" i="46"/>
  <c r="W46" i="46"/>
  <c r="Y46" i="46" s="1"/>
  <c r="AJ46" i="46"/>
  <c r="AQ46" i="46"/>
  <c r="BR39" i="46"/>
  <c r="AX40" i="46"/>
  <c r="J40" i="46"/>
  <c r="AJ40" i="46"/>
  <c r="AQ40" i="46"/>
  <c r="V40" i="46"/>
  <c r="BL46" i="46"/>
  <c r="BO46" i="46"/>
  <c r="J52" i="46"/>
  <c r="AQ52" i="46"/>
  <c r="AX52" i="46"/>
  <c r="AJ52" i="46"/>
  <c r="BO40" i="46"/>
  <c r="BL40" i="46"/>
  <c r="BR51" i="46"/>
  <c r="BM52" i="46"/>
  <c r="J58" i="46"/>
  <c r="O58" i="46"/>
  <c r="AQ58" i="46"/>
  <c r="AJ58" i="46"/>
  <c r="AX58" i="46"/>
  <c r="J34" i="46"/>
  <c r="AX34" i="46"/>
  <c r="AJ34" i="46"/>
  <c r="AQ34" i="46"/>
  <c r="BR33" i="46"/>
  <c r="BM34" i="46"/>
  <c r="BR57" i="46"/>
  <c r="BM58" i="46"/>
  <c r="F37" i="37"/>
  <c r="AT3" i="15"/>
  <c r="A3" i="15"/>
  <c r="AS3" i="15"/>
  <c r="AS7" i="15"/>
  <c r="AS4" i="15"/>
  <c r="AS5" i="15"/>
  <c r="AS6" i="15"/>
  <c r="O52" i="46" l="1"/>
  <c r="V52" i="46"/>
  <c r="AF34" i="46"/>
  <c r="AM63" i="46"/>
  <c r="AK64" i="46"/>
  <c r="BE58" i="46"/>
  <c r="O34" i="46"/>
  <c r="BE34" i="46"/>
  <c r="AC58" i="46"/>
  <c r="AC52" i="46"/>
  <c r="AC40" i="46"/>
  <c r="AC34" i="46"/>
  <c r="V34" i="46"/>
  <c r="BE52" i="46"/>
  <c r="BE40" i="46"/>
  <c r="V58" i="46"/>
  <c r="V46" i="46"/>
  <c r="AF46" i="46"/>
  <c r="AC46" i="46"/>
  <c r="O40" i="46"/>
  <c r="R46" i="46"/>
  <c r="O46" i="46"/>
  <c r="BH46" i="46"/>
  <c r="BE46" i="46"/>
  <c r="BO58" i="46"/>
  <c r="BL58" i="46"/>
  <c r="BO34" i="46"/>
  <c r="BL34" i="46"/>
  <c r="BL52" i="46"/>
  <c r="BO52" i="46"/>
  <c r="V38" i="14"/>
  <c r="V39" i="14"/>
  <c r="V40" i="14"/>
  <c r="V41" i="14"/>
  <c r="V42" i="14"/>
  <c r="V43" i="14"/>
  <c r="V44" i="14"/>
  <c r="V45" i="14"/>
  <c r="V46" i="14"/>
  <c r="V47" i="14"/>
  <c r="V48" i="14"/>
  <c r="V49" i="14"/>
  <c r="AI40" i="14"/>
  <c r="AG40" i="14"/>
  <c r="AL42" i="14"/>
  <c r="AL43" i="14"/>
  <c r="AL44" i="14"/>
  <c r="AL45" i="14"/>
  <c r="AL46" i="14"/>
  <c r="AI46" i="14"/>
  <c r="AJ46" i="14"/>
  <c r="AK46" i="14"/>
  <c r="AI45" i="14"/>
  <c r="AJ45" i="14"/>
  <c r="AK45" i="14"/>
  <c r="AI44" i="14"/>
  <c r="AJ44" i="14"/>
  <c r="AK44" i="14"/>
  <c r="AI42" i="14"/>
  <c r="AJ42" i="14"/>
  <c r="AK42" i="14"/>
  <c r="AJ43" i="14"/>
  <c r="AK43" i="14"/>
  <c r="AJ41" i="14"/>
  <c r="AK41" i="14"/>
  <c r="AL41" i="14"/>
  <c r="AI41" i="14"/>
  <c r="AG46" i="14"/>
  <c r="AG45" i="14"/>
  <c r="AG44" i="14"/>
  <c r="AG43" i="14"/>
  <c r="AI43" i="14" s="1"/>
  <c r="AG42" i="14"/>
  <c r="AG41" i="14"/>
  <c r="M46" i="14"/>
  <c r="M45" i="14"/>
  <c r="M44" i="14"/>
  <c r="M41" i="14"/>
  <c r="M42" i="14"/>
  <c r="M43" i="14"/>
  <c r="H18" i="52" l="1"/>
  <c r="J18" i="52"/>
  <c r="AA18" i="52" s="1"/>
  <c r="AM64" i="46"/>
  <c r="H15" i="46"/>
  <c r="H21" i="46"/>
  <c r="H22" i="46" s="1"/>
  <c r="G22" i="46"/>
  <c r="L8" i="15"/>
  <c r="A11" i="14"/>
  <c r="A7" i="1"/>
  <c r="A15" i="1"/>
  <c r="A6" i="1"/>
  <c r="A16" i="1"/>
  <c r="AR18" i="1"/>
  <c r="AR19" i="1"/>
  <c r="AR20" i="1"/>
  <c r="Y17" i="1"/>
  <c r="Y18" i="1"/>
  <c r="Y19" i="1"/>
  <c r="Y20" i="1"/>
  <c r="Y12" i="1"/>
  <c r="Y13" i="1"/>
  <c r="Y14" i="1"/>
  <c r="Y15" i="1"/>
  <c r="Y16" i="1"/>
  <c r="Y11" i="1"/>
  <c r="H63" i="46" l="1"/>
  <c r="I15" i="46"/>
  <c r="H16" i="46"/>
  <c r="G64" i="46"/>
  <c r="I21" i="46"/>
  <c r="AI31" i="14"/>
  <c r="M100" i="30"/>
  <c r="AT22" i="46" l="1"/>
  <c r="AD21" i="46"/>
  <c r="W21" i="46"/>
  <c r="P21" i="46"/>
  <c r="BM21" i="46"/>
  <c r="BF21" i="46"/>
  <c r="BA22" i="46"/>
  <c r="P15" i="46"/>
  <c r="I63" i="46"/>
  <c r="W15" i="46"/>
  <c r="AD15" i="46"/>
  <c r="BF15" i="46"/>
  <c r="BM15" i="46"/>
  <c r="H64" i="46"/>
  <c r="J21" i="46"/>
  <c r="I22" i="46"/>
  <c r="L21" i="46"/>
  <c r="L22" i="46" s="1"/>
  <c r="L15" i="46"/>
  <c r="J15" i="46"/>
  <c r="I16" i="46"/>
  <c r="AA91" i="36"/>
  <c r="AA86" i="36"/>
  <c r="AA81" i="36"/>
  <c r="AA76" i="36"/>
  <c r="AA71" i="36"/>
  <c r="AA66" i="36"/>
  <c r="AA61" i="36"/>
  <c r="AA56" i="36"/>
  <c r="AA51" i="36"/>
  <c r="AA46" i="36"/>
  <c r="AI5" i="30"/>
  <c r="AI10" i="30"/>
  <c r="AI15" i="30"/>
  <c r="AI20" i="30"/>
  <c r="AI30" i="30"/>
  <c r="AI25" i="30"/>
  <c r="AI35" i="30"/>
  <c r="AI40" i="30"/>
  <c r="AI45" i="30"/>
  <c r="AI50" i="30"/>
  <c r="AI55" i="30"/>
  <c r="AI65" i="30"/>
  <c r="AI70" i="30"/>
  <c r="AI75" i="30"/>
  <c r="AI80" i="30"/>
  <c r="AI85" i="30"/>
  <c r="AI90" i="30"/>
  <c r="AI95" i="30"/>
  <c r="AI100" i="30"/>
  <c r="AI110" i="30"/>
  <c r="AE171" i="30"/>
  <c r="AE173" i="30" s="1"/>
  <c r="AE166" i="30"/>
  <c r="AE161" i="30"/>
  <c r="AE156" i="30"/>
  <c r="AE151" i="30"/>
  <c r="AE146" i="30"/>
  <c r="AE141" i="30"/>
  <c r="AB138" i="30"/>
  <c r="AE121" i="30"/>
  <c r="AE116" i="30"/>
  <c r="AE111" i="30"/>
  <c r="AE11" i="30"/>
  <c r="AE16" i="30"/>
  <c r="AE21" i="30"/>
  <c r="AE26" i="30"/>
  <c r="AE31" i="30"/>
  <c r="AE36" i="30"/>
  <c r="L170" i="30"/>
  <c r="K170" i="30"/>
  <c r="J170" i="30"/>
  <c r="AV174" i="30"/>
  <c r="AI174" i="30"/>
  <c r="AV173" i="30"/>
  <c r="AT173" i="30"/>
  <c r="AL173" i="30"/>
  <c r="AI173" i="30"/>
  <c r="AB173" i="30"/>
  <c r="AQ173" i="30" s="1"/>
  <c r="W173" i="30"/>
  <c r="U173" i="30"/>
  <c r="AV172" i="30"/>
  <c r="AT172" i="30"/>
  <c r="AL172" i="30"/>
  <c r="AI172" i="30"/>
  <c r="U172" i="30"/>
  <c r="R172" i="30"/>
  <c r="AV171" i="30"/>
  <c r="AQ171" i="30"/>
  <c r="AL171" i="30"/>
  <c r="AI171" i="30"/>
  <c r="AV170" i="30"/>
  <c r="AT170" i="30"/>
  <c r="AL170" i="30"/>
  <c r="AI170" i="30"/>
  <c r="U170" i="30"/>
  <c r="D234" i="31"/>
  <c r="C234" i="31"/>
  <c r="P238" i="31"/>
  <c r="F238" i="31"/>
  <c r="P237" i="31"/>
  <c r="P236" i="31"/>
  <c r="P235" i="31"/>
  <c r="P234" i="31"/>
  <c r="D235" i="31"/>
  <c r="D236" i="31" s="1"/>
  <c r="D237" i="31" s="1"/>
  <c r="D238" i="31" s="1"/>
  <c r="K110" i="30"/>
  <c r="K100" i="30"/>
  <c r="K95" i="30"/>
  <c r="K90" i="30"/>
  <c r="K85" i="30"/>
  <c r="K75" i="30"/>
  <c r="K70" i="30"/>
  <c r="D159" i="31"/>
  <c r="D160" i="31" s="1"/>
  <c r="D161" i="31" s="1"/>
  <c r="D162" i="31" s="1"/>
  <c r="D163" i="31" s="1"/>
  <c r="P233" i="31"/>
  <c r="P232" i="31"/>
  <c r="P231" i="31"/>
  <c r="P230" i="31"/>
  <c r="P229" i="31"/>
  <c r="D229" i="31"/>
  <c r="D230" i="31" s="1"/>
  <c r="D231" i="31" s="1"/>
  <c r="D232" i="31" s="1"/>
  <c r="D233" i="31" s="1"/>
  <c r="D224" i="31"/>
  <c r="C229" i="31"/>
  <c r="C224" i="31"/>
  <c r="AR63" i="46" l="1"/>
  <c r="AQ63" i="46" s="1"/>
  <c r="BM63" i="46"/>
  <c r="BO63" i="46" s="1"/>
  <c r="BF63" i="46"/>
  <c r="BH63" i="46" s="1"/>
  <c r="P63" i="46"/>
  <c r="AD63" i="46"/>
  <c r="AF63" i="46" s="1"/>
  <c r="W63" i="46"/>
  <c r="BH21" i="46"/>
  <c r="BE21" i="46"/>
  <c r="BF22" i="46"/>
  <c r="BH22" i="46" s="1"/>
  <c r="L16" i="46"/>
  <c r="L63" i="46"/>
  <c r="L64" i="46" s="1"/>
  <c r="BO21" i="46"/>
  <c r="BL21" i="46"/>
  <c r="R21" i="46"/>
  <c r="P22" i="46"/>
  <c r="R22" i="46" s="1"/>
  <c r="Y21" i="46"/>
  <c r="W22" i="46"/>
  <c r="Y22" i="46" s="1"/>
  <c r="AY63" i="46"/>
  <c r="AF21" i="46"/>
  <c r="AD22" i="46"/>
  <c r="AF15" i="46"/>
  <c r="AD16" i="46"/>
  <c r="AT16" i="46"/>
  <c r="R15" i="46"/>
  <c r="P16" i="46"/>
  <c r="R16" i="46" s="1"/>
  <c r="Y15" i="46"/>
  <c r="W16" i="46"/>
  <c r="Y16" i="46" s="1"/>
  <c r="BA16" i="46"/>
  <c r="BE15" i="46"/>
  <c r="BH15" i="46"/>
  <c r="BF16" i="46"/>
  <c r="BH16" i="46" s="1"/>
  <c r="J16" i="46"/>
  <c r="AJ16" i="46"/>
  <c r="BO15" i="46"/>
  <c r="BM16" i="46"/>
  <c r="BR15" i="46"/>
  <c r="BL15" i="46"/>
  <c r="BR21" i="46"/>
  <c r="BM22" i="46"/>
  <c r="J22" i="46"/>
  <c r="AX22" i="46"/>
  <c r="AQ22" i="46"/>
  <c r="AJ22" i="46"/>
  <c r="AJ63" i="46"/>
  <c r="J63" i="46"/>
  <c r="I64" i="46"/>
  <c r="AF172" i="30"/>
  <c r="V172" i="30"/>
  <c r="AC172" i="30"/>
  <c r="Z172" i="30"/>
  <c r="T172" i="30"/>
  <c r="AO172" i="30"/>
  <c r="W170" i="30"/>
  <c r="AF22" i="46" l="1"/>
  <c r="AF16" i="46"/>
  <c r="O22" i="46"/>
  <c r="AC63" i="46"/>
  <c r="AT63" i="46"/>
  <c r="V63" i="46"/>
  <c r="O63" i="46"/>
  <c r="V22" i="46"/>
  <c r="BE22" i="46"/>
  <c r="V16" i="46"/>
  <c r="AC22" i="46"/>
  <c r="BA63" i="46"/>
  <c r="AQ16" i="46"/>
  <c r="BE16" i="46"/>
  <c r="AC16" i="46"/>
  <c r="BF64" i="46"/>
  <c r="AY64" i="46"/>
  <c r="AX63" i="46"/>
  <c r="R63" i="46"/>
  <c r="P64" i="46"/>
  <c r="Y63" i="46"/>
  <c r="W64" i="46"/>
  <c r="BE63" i="46"/>
  <c r="O16" i="46"/>
  <c r="AD64" i="46"/>
  <c r="AR64" i="46"/>
  <c r="AX16" i="46"/>
  <c r="BL63" i="46"/>
  <c r="BR63" i="46"/>
  <c r="BM64" i="46"/>
  <c r="BO22" i="46"/>
  <c r="BL22" i="46"/>
  <c r="BL16" i="46"/>
  <c r="BO16" i="46"/>
  <c r="J64" i="46"/>
  <c r="AJ64" i="46"/>
  <c r="AB170" i="30"/>
  <c r="AH171" i="30" s="1"/>
  <c r="AQ170" i="30"/>
  <c r="BA172" i="30"/>
  <c r="AY172" i="30"/>
  <c r="AW172" i="30"/>
  <c r="AU172" i="30"/>
  <c r="AS172" i="30"/>
  <c r="AP172" i="30"/>
  <c r="S172" i="30"/>
  <c r="J16" i="52" l="1"/>
  <c r="H16" i="52"/>
  <c r="J15" i="52"/>
  <c r="H15" i="52"/>
  <c r="H30" i="52" s="1"/>
  <c r="R64" i="46"/>
  <c r="BA64" i="46"/>
  <c r="BH64" i="46"/>
  <c r="AF64" i="46"/>
  <c r="AT64" i="46"/>
  <c r="Y64" i="46"/>
  <c r="BE64" i="46"/>
  <c r="V64" i="46"/>
  <c r="O64" i="46"/>
  <c r="AC64" i="46"/>
  <c r="AQ64" i="46"/>
  <c r="AX64" i="46"/>
  <c r="BL64" i="46"/>
  <c r="BO64" i="46"/>
  <c r="BE172" i="30"/>
  <c r="AT171" i="30"/>
  <c r="U171" i="30"/>
  <c r="AK170" i="30"/>
  <c r="AH170" i="30"/>
  <c r="AE170" i="30"/>
  <c r="AH173" i="30"/>
  <c r="U174" i="30"/>
  <c r="AT174" i="30"/>
  <c r="H90" i="36"/>
  <c r="H85" i="36"/>
  <c r="H80" i="36"/>
  <c r="H75" i="36"/>
  <c r="G85" i="36"/>
  <c r="G80" i="36"/>
  <c r="AU94" i="36"/>
  <c r="AS94" i="36"/>
  <c r="AR94" i="36"/>
  <c r="AN94" i="36"/>
  <c r="AZ94" i="36" s="1"/>
  <c r="AE94" i="36"/>
  <c r="AB94" i="36"/>
  <c r="Y94" i="36"/>
  <c r="V94" i="36"/>
  <c r="U94" i="36"/>
  <c r="AU93" i="36"/>
  <c r="AS93" i="36"/>
  <c r="AA93" i="36"/>
  <c r="X93" i="36"/>
  <c r="AP93" i="36" s="1"/>
  <c r="S93" i="36"/>
  <c r="U93" i="36" s="1"/>
  <c r="AU92" i="36"/>
  <c r="AS92" i="36"/>
  <c r="AA92" i="36"/>
  <c r="X92" i="36"/>
  <c r="AP92" i="36" s="1"/>
  <c r="S92" i="36"/>
  <c r="U92" i="36" s="1"/>
  <c r="AU91" i="36"/>
  <c r="AS91" i="36"/>
  <c r="AP91" i="36"/>
  <c r="AG91" i="36"/>
  <c r="AG92" i="36" s="1"/>
  <c r="AD91" i="36"/>
  <c r="AD92" i="36" s="1"/>
  <c r="S91" i="36"/>
  <c r="U91" i="36" s="1"/>
  <c r="AU90" i="36"/>
  <c r="AS90" i="36"/>
  <c r="AP90" i="36"/>
  <c r="AA90" i="36"/>
  <c r="AD90" i="36" s="1"/>
  <c r="S90" i="36"/>
  <c r="U90" i="36" s="1"/>
  <c r="AU89" i="36"/>
  <c r="AS89" i="36"/>
  <c r="AN89" i="36"/>
  <c r="AZ89" i="36" s="1"/>
  <c r="AE89" i="36"/>
  <c r="AB89" i="36"/>
  <c r="Y89" i="36"/>
  <c r="V89" i="36"/>
  <c r="U89" i="36"/>
  <c r="AU88" i="36"/>
  <c r="AS88" i="36"/>
  <c r="AA88" i="36"/>
  <c r="X88" i="36"/>
  <c r="AP88" i="36" s="1"/>
  <c r="S88" i="36"/>
  <c r="U88" i="36" s="1"/>
  <c r="AU87" i="36"/>
  <c r="AS87" i="36"/>
  <c r="AA87" i="36"/>
  <c r="X87" i="36"/>
  <c r="AP87" i="36" s="1"/>
  <c r="S87" i="36"/>
  <c r="U87" i="36" s="1"/>
  <c r="AU86" i="36"/>
  <c r="AS86" i="36"/>
  <c r="AP86" i="36"/>
  <c r="AG86" i="36"/>
  <c r="AG87" i="36" s="1"/>
  <c r="AD86" i="36"/>
  <c r="AD87" i="36" s="1"/>
  <c r="S86" i="36"/>
  <c r="U86" i="36" s="1"/>
  <c r="AU85" i="36"/>
  <c r="AS85" i="36"/>
  <c r="AP85" i="36"/>
  <c r="AA85" i="36"/>
  <c r="AD85" i="36" s="1"/>
  <c r="S85" i="36"/>
  <c r="U85" i="36" s="1"/>
  <c r="AU84" i="36"/>
  <c r="AS84" i="36"/>
  <c r="AN84" i="36"/>
  <c r="AX84" i="36" s="1"/>
  <c r="AE84" i="36"/>
  <c r="AB84" i="36"/>
  <c r="Y84" i="36"/>
  <c r="V84" i="36"/>
  <c r="U84" i="36"/>
  <c r="AU83" i="36"/>
  <c r="AS83" i="36"/>
  <c r="AA83" i="36"/>
  <c r="X83" i="36"/>
  <c r="AP83" i="36" s="1"/>
  <c r="S83" i="36"/>
  <c r="U83" i="36" s="1"/>
  <c r="AU82" i="36"/>
  <c r="AS82" i="36"/>
  <c r="AA82" i="36"/>
  <c r="X82" i="36"/>
  <c r="AP82" i="36" s="1"/>
  <c r="U82" i="36"/>
  <c r="S82" i="36"/>
  <c r="AU81" i="36"/>
  <c r="AS81" i="36"/>
  <c r="AP81" i="36"/>
  <c r="AG81" i="36"/>
  <c r="AG83" i="36" s="1"/>
  <c r="AD81" i="36"/>
  <c r="AD82" i="36" s="1"/>
  <c r="S81" i="36"/>
  <c r="U81" i="36" s="1"/>
  <c r="AU80" i="36"/>
  <c r="AS80" i="36"/>
  <c r="AP80" i="36"/>
  <c r="AA80" i="36"/>
  <c r="AJ80" i="36" s="1"/>
  <c r="S80" i="36"/>
  <c r="U80" i="36" s="1"/>
  <c r="AU79" i="36"/>
  <c r="AS79" i="36"/>
  <c r="AN79" i="36"/>
  <c r="AZ79" i="36" s="1"/>
  <c r="AE79" i="36"/>
  <c r="AB79" i="36"/>
  <c r="Y79" i="36"/>
  <c r="V79" i="36"/>
  <c r="U79" i="36"/>
  <c r="AU78" i="36"/>
  <c r="AS78" i="36"/>
  <c r="AA78" i="36"/>
  <c r="X78" i="36"/>
  <c r="AP78" i="36" s="1"/>
  <c r="S78" i="36"/>
  <c r="U78" i="36" s="1"/>
  <c r="AU77" i="36"/>
  <c r="AS77" i="36"/>
  <c r="AA77" i="36"/>
  <c r="X77" i="36"/>
  <c r="AP77" i="36" s="1"/>
  <c r="S77" i="36"/>
  <c r="U77" i="36" s="1"/>
  <c r="AU76" i="36"/>
  <c r="AS76" i="36"/>
  <c r="AP76" i="36"/>
  <c r="AG76" i="36"/>
  <c r="AG78" i="36" s="1"/>
  <c r="AD76" i="36"/>
  <c r="AD77" i="36" s="1"/>
  <c r="S76" i="36"/>
  <c r="U76" i="36" s="1"/>
  <c r="AU75" i="36"/>
  <c r="AS75" i="36"/>
  <c r="AP75" i="36"/>
  <c r="AA75" i="36"/>
  <c r="AD75" i="36" s="1"/>
  <c r="S75" i="36"/>
  <c r="U75" i="36" s="1"/>
  <c r="D89" i="31"/>
  <c r="L90" i="36" s="1"/>
  <c r="D84" i="31"/>
  <c r="L85" i="36" s="1"/>
  <c r="D79" i="31"/>
  <c r="L80" i="36" s="1"/>
  <c r="M80" i="36" s="1"/>
  <c r="N80" i="36" s="1"/>
  <c r="D74" i="31"/>
  <c r="L75" i="36" s="1"/>
  <c r="C89" i="31"/>
  <c r="F90" i="36" s="1"/>
  <c r="C84" i="31"/>
  <c r="F85" i="36" s="1"/>
  <c r="C79" i="31"/>
  <c r="F80" i="36" s="1"/>
  <c r="C74" i="31"/>
  <c r="F75" i="36" s="1"/>
  <c r="P93" i="31"/>
  <c r="P92" i="31"/>
  <c r="P91" i="31"/>
  <c r="P90" i="31"/>
  <c r="P89" i="31"/>
  <c r="P88" i="31"/>
  <c r="P87" i="31"/>
  <c r="P86" i="31"/>
  <c r="P85" i="31"/>
  <c r="P84" i="31"/>
  <c r="P83" i="31"/>
  <c r="P82" i="31"/>
  <c r="P81" i="31"/>
  <c r="P80" i="31"/>
  <c r="P79" i="31"/>
  <c r="P78" i="31"/>
  <c r="P77" i="31"/>
  <c r="P76" i="31"/>
  <c r="P75" i="31"/>
  <c r="P74" i="31"/>
  <c r="AA15" i="52" l="1"/>
  <c r="J30" i="52"/>
  <c r="J52" i="52" s="1"/>
  <c r="J51" i="52" s="1"/>
  <c r="H29" i="52"/>
  <c r="N29" i="52"/>
  <c r="AA16" i="52"/>
  <c r="J29" i="52"/>
  <c r="J54" i="52" s="1"/>
  <c r="AR89" i="36"/>
  <c r="AO89" i="36" s="1"/>
  <c r="AT89" i="36"/>
  <c r="AT94" i="36"/>
  <c r="AO94" i="36" s="1"/>
  <c r="AG85" i="36"/>
  <c r="AJ85" i="36"/>
  <c r="AV94" i="36"/>
  <c r="AX94" i="36"/>
  <c r="AD88" i="36"/>
  <c r="AG88" i="36"/>
  <c r="AG82" i="36"/>
  <c r="G75" i="36"/>
  <c r="G90" i="36"/>
  <c r="D75" i="31"/>
  <c r="AG90" i="36"/>
  <c r="AD93" i="36"/>
  <c r="AJ90" i="36"/>
  <c r="M90" i="36"/>
  <c r="N90" i="36" s="1"/>
  <c r="AG93" i="36"/>
  <c r="M85" i="36"/>
  <c r="N85" i="36" s="1"/>
  <c r="AV89" i="36"/>
  <c r="AX89" i="36"/>
  <c r="AB80" i="36"/>
  <c r="AN80" i="36"/>
  <c r="Q80" i="36" s="1"/>
  <c r="AE80" i="36"/>
  <c r="Y80" i="36"/>
  <c r="V80" i="36"/>
  <c r="R80" i="36"/>
  <c r="AR84" i="36"/>
  <c r="AT84" i="36"/>
  <c r="AD80" i="36"/>
  <c r="AZ84" i="36"/>
  <c r="AD83" i="36"/>
  <c r="AG80" i="36"/>
  <c r="AV84" i="36"/>
  <c r="AG77" i="36"/>
  <c r="AR79" i="36"/>
  <c r="AT79" i="36"/>
  <c r="AG75" i="36"/>
  <c r="AD78" i="36"/>
  <c r="AJ75" i="36"/>
  <c r="M75" i="36"/>
  <c r="N75" i="36" s="1"/>
  <c r="AV79" i="36"/>
  <c r="AX79" i="36"/>
  <c r="D80" i="31"/>
  <c r="D81" i="31" l="1"/>
  <c r="L81" i="36"/>
  <c r="N81" i="36" s="1"/>
  <c r="L76" i="36"/>
  <c r="N76" i="36" s="1"/>
  <c r="Y76" i="36" s="1"/>
  <c r="D76" i="31"/>
  <c r="AO84" i="36"/>
  <c r="AB90" i="36"/>
  <c r="Y90" i="36"/>
  <c r="AE90" i="36"/>
  <c r="AN90" i="36"/>
  <c r="V90" i="36"/>
  <c r="R90" i="36"/>
  <c r="Y85" i="36"/>
  <c r="AB85" i="36"/>
  <c r="V85" i="36"/>
  <c r="R85" i="36"/>
  <c r="AN85" i="36"/>
  <c r="Q85" i="36" s="1"/>
  <c r="AE85" i="36"/>
  <c r="AN81" i="36"/>
  <c r="Q81" i="36" s="1"/>
  <c r="AB81" i="36"/>
  <c r="AZ80" i="36"/>
  <c r="AX80" i="36"/>
  <c r="AV80" i="36"/>
  <c r="AR80" i="36"/>
  <c r="AO80" i="36"/>
  <c r="AT80" i="36"/>
  <c r="AE75" i="36"/>
  <c r="AB75" i="36"/>
  <c r="AN75" i="36"/>
  <c r="Q75" i="36" s="1"/>
  <c r="Y75" i="36"/>
  <c r="R75" i="36"/>
  <c r="V75" i="36"/>
  <c r="AN76" i="36"/>
  <c r="Q76" i="36" s="1"/>
  <c r="AO79" i="36"/>
  <c r="V76" i="36" l="1"/>
  <c r="AB76" i="36"/>
  <c r="AE81" i="36"/>
  <c r="Y81" i="36"/>
  <c r="AE76" i="36"/>
  <c r="R76" i="36"/>
  <c r="R81" i="36"/>
  <c r="V81" i="36"/>
  <c r="D77" i="31"/>
  <c r="L77" i="36"/>
  <c r="N77" i="36" s="1"/>
  <c r="D82" i="31"/>
  <c r="L82" i="36"/>
  <c r="N82" i="36" s="1"/>
  <c r="AZ90" i="36"/>
  <c r="AT90" i="36"/>
  <c r="AR90" i="36"/>
  <c r="AO90" i="36"/>
  <c r="AX90" i="36"/>
  <c r="AV90" i="36"/>
  <c r="Q90" i="36"/>
  <c r="AX85" i="36"/>
  <c r="AV85" i="36"/>
  <c r="AT85" i="36"/>
  <c r="AR85" i="36"/>
  <c r="AZ85" i="36"/>
  <c r="AO85" i="36"/>
  <c r="BD80" i="36"/>
  <c r="AT81" i="36"/>
  <c r="AV81" i="36"/>
  <c r="AO81" i="36"/>
  <c r="AR81" i="36"/>
  <c r="AZ81" i="36"/>
  <c r="AX81" i="36"/>
  <c r="AV76" i="36"/>
  <c r="AO76" i="36"/>
  <c r="AT76" i="36"/>
  <c r="AR76" i="36"/>
  <c r="AZ76" i="36"/>
  <c r="AX76" i="36"/>
  <c r="AO75" i="36"/>
  <c r="AZ75" i="36"/>
  <c r="AX75" i="36"/>
  <c r="AV75" i="36"/>
  <c r="AT75" i="36"/>
  <c r="AR75" i="36"/>
  <c r="V82" i="36" l="1"/>
  <c r="AN82" i="36"/>
  <c r="R82" i="36"/>
  <c r="AE82" i="36"/>
  <c r="Y82" i="36"/>
  <c r="AB82" i="36"/>
  <c r="Q82" i="36"/>
  <c r="D83" i="31"/>
  <c r="L83" i="36"/>
  <c r="N83" i="36" s="1"/>
  <c r="AN77" i="36"/>
  <c r="AB77" i="36"/>
  <c r="R77" i="36"/>
  <c r="Y77" i="36"/>
  <c r="V77" i="36"/>
  <c r="AE77" i="36"/>
  <c r="Q77" i="36"/>
  <c r="D78" i="31"/>
  <c r="L79" i="36" s="1"/>
  <c r="L78" i="36"/>
  <c r="N78" i="36" s="1"/>
  <c r="BD90" i="36"/>
  <c r="BD85" i="36"/>
  <c r="BD81" i="36"/>
  <c r="BD75" i="36"/>
  <c r="BD76" i="36"/>
  <c r="AV77" i="36" l="1"/>
  <c r="AT77" i="36"/>
  <c r="AR77" i="36"/>
  <c r="AX77" i="36"/>
  <c r="AZ77" i="36"/>
  <c r="BD77" i="36" s="1"/>
  <c r="AO77" i="36"/>
  <c r="V83" i="36"/>
  <c r="R83" i="36"/>
  <c r="AB83" i="36"/>
  <c r="AE83" i="36"/>
  <c r="Y83" i="36"/>
  <c r="AN83" i="36"/>
  <c r="D85" i="31"/>
  <c r="L84" i="36"/>
  <c r="AN78" i="36"/>
  <c r="AB78" i="36"/>
  <c r="AE78" i="36"/>
  <c r="V78" i="36"/>
  <c r="R78" i="36"/>
  <c r="Y78" i="36"/>
  <c r="AZ82" i="36"/>
  <c r="AV82" i="36"/>
  <c r="AT82" i="36"/>
  <c r="AX82" i="36"/>
  <c r="AR82" i="36"/>
  <c r="AO82" i="36"/>
  <c r="D219" i="31"/>
  <c r="K80" i="30" s="1"/>
  <c r="Q78" i="36" l="1"/>
  <c r="AZ78" i="36"/>
  <c r="AX78" i="36"/>
  <c r="AV78" i="36"/>
  <c r="AR78" i="36"/>
  <c r="AO78" i="36"/>
  <c r="AT78" i="36"/>
  <c r="D86" i="31"/>
  <c r="L86" i="36"/>
  <c r="N86" i="36" s="1"/>
  <c r="Y86" i="36" s="1"/>
  <c r="Q83" i="36"/>
  <c r="AR83" i="36"/>
  <c r="AX83" i="36"/>
  <c r="AV83" i="36"/>
  <c r="AT83" i="36"/>
  <c r="AZ83" i="36"/>
  <c r="BD83" i="36" s="1"/>
  <c r="AO83" i="36"/>
  <c r="BD82" i="36"/>
  <c r="M55" i="30"/>
  <c r="L55" i="30"/>
  <c r="M50" i="30"/>
  <c r="L50" i="30"/>
  <c r="D149" i="31"/>
  <c r="D150" i="31" s="1"/>
  <c r="D151" i="31" s="1"/>
  <c r="D152" i="31" s="1"/>
  <c r="D153" i="31" s="1"/>
  <c r="C149" i="31"/>
  <c r="J55" i="30" s="1"/>
  <c r="P153" i="31"/>
  <c r="P152" i="31"/>
  <c r="P151" i="31"/>
  <c r="P150" i="31"/>
  <c r="P149" i="31"/>
  <c r="AV59" i="30"/>
  <c r="AT59" i="30"/>
  <c r="AI59" i="30"/>
  <c r="AV58" i="30"/>
  <c r="AL58" i="30"/>
  <c r="AI58" i="30"/>
  <c r="AB58" i="30"/>
  <c r="AV57" i="30"/>
  <c r="AT57" i="30"/>
  <c r="AL57" i="30"/>
  <c r="AI57" i="30"/>
  <c r="U57" i="30"/>
  <c r="R57" i="30"/>
  <c r="AV56" i="30"/>
  <c r="AL56" i="30"/>
  <c r="AI56" i="30"/>
  <c r="AE56" i="30"/>
  <c r="AE58" i="30" s="1"/>
  <c r="W55" i="30" s="1"/>
  <c r="AB55" i="30" s="1"/>
  <c r="AV55" i="30"/>
  <c r="AT55" i="30"/>
  <c r="AL55" i="30"/>
  <c r="U55" i="30"/>
  <c r="AV54" i="30"/>
  <c r="AT54" i="30"/>
  <c r="AI54" i="30"/>
  <c r="AV53" i="30"/>
  <c r="AL53" i="30"/>
  <c r="AI53" i="30"/>
  <c r="AB53" i="30"/>
  <c r="AV52" i="30"/>
  <c r="AT52" i="30"/>
  <c r="AL52" i="30"/>
  <c r="AI52" i="30"/>
  <c r="U52" i="30"/>
  <c r="R52" i="30"/>
  <c r="AF52" i="30" s="1"/>
  <c r="AV51" i="30"/>
  <c r="AL51" i="30"/>
  <c r="AI51" i="30"/>
  <c r="AE51" i="30"/>
  <c r="AE53" i="30" s="1"/>
  <c r="W50" i="30" s="1"/>
  <c r="AB50" i="30" s="1"/>
  <c r="AH51" i="30" s="1"/>
  <c r="AH53" i="30" s="1"/>
  <c r="AV50" i="30"/>
  <c r="AT50" i="30"/>
  <c r="AL50" i="30"/>
  <c r="U50" i="30"/>
  <c r="D144" i="31"/>
  <c r="D145" i="31" s="1"/>
  <c r="D146" i="31" s="1"/>
  <c r="D147" i="31" s="1"/>
  <c r="D148" i="31" s="1"/>
  <c r="C144" i="31"/>
  <c r="J50" i="30" s="1"/>
  <c r="P144" i="31"/>
  <c r="P145" i="31"/>
  <c r="P146" i="31"/>
  <c r="P147" i="31"/>
  <c r="P148" i="31"/>
  <c r="AK55" i="30" l="1"/>
  <c r="AE55" i="30"/>
  <c r="AH55" i="30"/>
  <c r="AK50" i="30"/>
  <c r="AH50" i="30"/>
  <c r="AE50" i="30"/>
  <c r="AH56" i="30"/>
  <c r="AH58" i="30" s="1"/>
  <c r="R86" i="36"/>
  <c r="AE86" i="36"/>
  <c r="V86" i="36"/>
  <c r="AN86" i="36"/>
  <c r="AB86" i="36"/>
  <c r="Q86" i="36"/>
  <c r="D87" i="31"/>
  <c r="L87" i="36"/>
  <c r="N87" i="36" s="1"/>
  <c r="BD78" i="36"/>
  <c r="K50" i="30"/>
  <c r="K55" i="30"/>
  <c r="AO52" i="30"/>
  <c r="AY52" i="30" s="1"/>
  <c r="AC52" i="30"/>
  <c r="T57" i="30"/>
  <c r="V52" i="30"/>
  <c r="Z52" i="30"/>
  <c r="T52" i="30"/>
  <c r="Z57" i="30"/>
  <c r="AC57" i="30"/>
  <c r="AF57" i="30"/>
  <c r="V57" i="30"/>
  <c r="AO57" i="30"/>
  <c r="S57" i="30" s="1"/>
  <c r="AL40" i="14"/>
  <c r="Y46" i="35" s="1"/>
  <c r="AK40" i="14"/>
  <c r="V46" i="35" s="1"/>
  <c r="AJ40" i="14"/>
  <c r="U46" i="35" s="1"/>
  <c r="AA46" i="35"/>
  <c r="AL39" i="14"/>
  <c r="AK39" i="14"/>
  <c r="AJ39" i="14"/>
  <c r="AI39" i="14"/>
  <c r="AA45" i="35" s="1"/>
  <c r="AG39" i="14"/>
  <c r="AJ38" i="14"/>
  <c r="AK38" i="14"/>
  <c r="P51" i="30" s="1"/>
  <c r="Q51" i="30" s="1"/>
  <c r="R51" i="30" s="1"/>
  <c r="Z51" i="30" s="1"/>
  <c r="AL38" i="14"/>
  <c r="P50" i="30" s="1"/>
  <c r="Q50" i="30" s="1"/>
  <c r="R50" i="30" s="1"/>
  <c r="AI38" i="14"/>
  <c r="AG38" i="14"/>
  <c r="B44" i="35"/>
  <c r="AA61" i="35"/>
  <c r="AA67" i="35"/>
  <c r="U66" i="35"/>
  <c r="V66" i="35"/>
  <c r="Y66" i="35"/>
  <c r="U67" i="35"/>
  <c r="V67" i="35"/>
  <c r="Y67" i="35"/>
  <c r="U61" i="35"/>
  <c r="V61" i="35"/>
  <c r="Y61" i="35"/>
  <c r="O45" i="35"/>
  <c r="P45" i="35"/>
  <c r="Q45" i="35" s="1"/>
  <c r="R45" i="35"/>
  <c r="S45" i="35"/>
  <c r="T45" i="35" s="1"/>
  <c r="O46" i="35"/>
  <c r="P46" i="35"/>
  <c r="Q46" i="35" s="1"/>
  <c r="R46" i="35"/>
  <c r="S46" i="35"/>
  <c r="T46" i="35" s="1"/>
  <c r="O47" i="35"/>
  <c r="P47" i="35"/>
  <c r="Q47" i="35" s="1"/>
  <c r="R47" i="35"/>
  <c r="S47" i="35"/>
  <c r="T47" i="35" s="1"/>
  <c r="O48" i="35"/>
  <c r="P48" i="35"/>
  <c r="Q48" i="35" s="1"/>
  <c r="R48" i="35"/>
  <c r="S48" i="35"/>
  <c r="T48" i="35" s="1"/>
  <c r="O49" i="35"/>
  <c r="P49" i="35"/>
  <c r="Q49" i="35" s="1"/>
  <c r="R49" i="35"/>
  <c r="S49" i="35"/>
  <c r="T49" i="35" s="1"/>
  <c r="O50" i="35"/>
  <c r="P50" i="35"/>
  <c r="Q50" i="35" s="1"/>
  <c r="R50" i="35"/>
  <c r="S50" i="35"/>
  <c r="T50" i="35" s="1"/>
  <c r="O51" i="35"/>
  <c r="P51" i="35"/>
  <c r="Q51" i="35" s="1"/>
  <c r="R51" i="35"/>
  <c r="S51" i="35"/>
  <c r="T51" i="35" s="1"/>
  <c r="O52" i="35"/>
  <c r="P52" i="35"/>
  <c r="Q52" i="35" s="1"/>
  <c r="R52" i="35"/>
  <c r="S52" i="35"/>
  <c r="T52" i="35" s="1"/>
  <c r="O53" i="35"/>
  <c r="P53" i="35"/>
  <c r="Q53" i="35" s="1"/>
  <c r="R53" i="35"/>
  <c r="S53" i="35"/>
  <c r="T53" i="35" s="1"/>
  <c r="O54" i="35"/>
  <c r="P54" i="35"/>
  <c r="Q54" i="35" s="1"/>
  <c r="R54" i="35"/>
  <c r="S54" i="35"/>
  <c r="T54" i="35" s="1"/>
  <c r="O55" i="35"/>
  <c r="P55" i="35"/>
  <c r="Q55" i="35" s="1"/>
  <c r="R55" i="35"/>
  <c r="S55" i="35"/>
  <c r="T55" i="35" s="1"/>
  <c r="O56" i="35"/>
  <c r="P56" i="35"/>
  <c r="Q56" i="35" s="1"/>
  <c r="R56" i="35"/>
  <c r="S56" i="35"/>
  <c r="T56" i="35" s="1"/>
  <c r="O57" i="35"/>
  <c r="P57" i="35"/>
  <c r="Q57" i="35" s="1"/>
  <c r="R57" i="35"/>
  <c r="S57" i="35"/>
  <c r="T57" i="35" s="1"/>
  <c r="O58" i="35"/>
  <c r="P58" i="35"/>
  <c r="Q58" i="35" s="1"/>
  <c r="R58" i="35"/>
  <c r="S58" i="35"/>
  <c r="T58" i="35" s="1"/>
  <c r="O59" i="35"/>
  <c r="P59" i="35"/>
  <c r="Q59" i="35" s="1"/>
  <c r="R59" i="35"/>
  <c r="S59" i="35"/>
  <c r="T59" i="35" s="1"/>
  <c r="O60" i="35"/>
  <c r="P60" i="35"/>
  <c r="Q60" i="35" s="1"/>
  <c r="R60" i="35"/>
  <c r="S60" i="35"/>
  <c r="T60" i="35" s="1"/>
  <c r="O61" i="35"/>
  <c r="P61" i="35"/>
  <c r="Q61" i="35" s="1"/>
  <c r="R61" i="35"/>
  <c r="S61" i="35"/>
  <c r="T61" i="35" s="1"/>
  <c r="O62" i="35"/>
  <c r="P62" i="35"/>
  <c r="Q62" i="35" s="1"/>
  <c r="R62" i="35"/>
  <c r="S62" i="35"/>
  <c r="T62" i="35" s="1"/>
  <c r="O63" i="35"/>
  <c r="P63" i="35"/>
  <c r="Q63" i="35" s="1"/>
  <c r="R63" i="35"/>
  <c r="S63" i="35"/>
  <c r="T63" i="35" s="1"/>
  <c r="O64" i="35"/>
  <c r="P64" i="35"/>
  <c r="Q64" i="35" s="1"/>
  <c r="R64" i="35"/>
  <c r="S64" i="35"/>
  <c r="T64" i="35" s="1"/>
  <c r="O65" i="35"/>
  <c r="P65" i="35"/>
  <c r="Q65" i="35" s="1"/>
  <c r="R65" i="35"/>
  <c r="S65" i="35"/>
  <c r="T65" i="35" s="1"/>
  <c r="O66" i="35"/>
  <c r="P66" i="35"/>
  <c r="Q66" i="35" s="1"/>
  <c r="R66" i="35"/>
  <c r="S66" i="35"/>
  <c r="T66" i="35" s="1"/>
  <c r="O67" i="35"/>
  <c r="P67" i="35"/>
  <c r="Q67" i="35" s="1"/>
  <c r="R67" i="35"/>
  <c r="S67" i="35"/>
  <c r="T67" i="35" s="1"/>
  <c r="O68" i="35"/>
  <c r="P68" i="35"/>
  <c r="Q68" i="35" s="1"/>
  <c r="R68" i="35"/>
  <c r="S68" i="35"/>
  <c r="T68" i="35" s="1"/>
  <c r="S44" i="35"/>
  <c r="T44" i="35" s="1"/>
  <c r="R44" i="35"/>
  <c r="P44" i="35"/>
  <c r="D63" i="35"/>
  <c r="K63" i="35"/>
  <c r="L63" i="35"/>
  <c r="M63" i="35"/>
  <c r="D64" i="35"/>
  <c r="K64" i="35"/>
  <c r="L64" i="35"/>
  <c r="M64" i="35"/>
  <c r="D65" i="35"/>
  <c r="K65" i="35"/>
  <c r="L65" i="35"/>
  <c r="M65" i="35"/>
  <c r="D66" i="35"/>
  <c r="K66" i="35"/>
  <c r="L66" i="35"/>
  <c r="M66" i="35"/>
  <c r="D67" i="35"/>
  <c r="K67" i="35"/>
  <c r="L67" i="35"/>
  <c r="M67" i="35"/>
  <c r="D68" i="35"/>
  <c r="K68" i="35"/>
  <c r="L68" i="35"/>
  <c r="M68" i="35"/>
  <c r="K45" i="35"/>
  <c r="L45" i="35"/>
  <c r="M45" i="35"/>
  <c r="K46" i="35"/>
  <c r="L46" i="35"/>
  <c r="M46" i="35"/>
  <c r="K47" i="35"/>
  <c r="L47" i="35"/>
  <c r="M47" i="35"/>
  <c r="K48" i="35"/>
  <c r="L48" i="35"/>
  <c r="M48" i="35"/>
  <c r="K49" i="35"/>
  <c r="L49" i="35"/>
  <c r="M49" i="35"/>
  <c r="K50" i="35"/>
  <c r="L50" i="35"/>
  <c r="M50" i="35"/>
  <c r="K51" i="35"/>
  <c r="L51" i="35"/>
  <c r="M51" i="35"/>
  <c r="K52" i="35"/>
  <c r="L52" i="35"/>
  <c r="M52" i="35"/>
  <c r="K53" i="35"/>
  <c r="L53" i="35"/>
  <c r="M53" i="35"/>
  <c r="K54" i="35"/>
  <c r="L54" i="35"/>
  <c r="M54" i="35"/>
  <c r="K55" i="35"/>
  <c r="L55" i="35"/>
  <c r="M55" i="35"/>
  <c r="K56" i="35"/>
  <c r="L56" i="35"/>
  <c r="M56" i="35"/>
  <c r="K57" i="35"/>
  <c r="L57" i="35"/>
  <c r="M57" i="35"/>
  <c r="K58" i="35"/>
  <c r="L58" i="35"/>
  <c r="M58" i="35"/>
  <c r="K59" i="35"/>
  <c r="L59" i="35"/>
  <c r="M59" i="35"/>
  <c r="K60" i="35"/>
  <c r="L60" i="35"/>
  <c r="M60" i="35"/>
  <c r="K61" i="35"/>
  <c r="L61" i="35"/>
  <c r="M61" i="35"/>
  <c r="K62" i="35"/>
  <c r="L62" i="35"/>
  <c r="M62" i="35"/>
  <c r="O44" i="35"/>
  <c r="M44" i="35"/>
  <c r="L44" i="35"/>
  <c r="K44" i="35"/>
  <c r="D45" i="35"/>
  <c r="D46" i="35"/>
  <c r="D47" i="35"/>
  <c r="D48" i="35"/>
  <c r="D49" i="35"/>
  <c r="D50" i="35"/>
  <c r="D51" i="35"/>
  <c r="D52" i="35"/>
  <c r="D53" i="35"/>
  <c r="D54" i="35"/>
  <c r="D55" i="35"/>
  <c r="D56" i="35"/>
  <c r="D57" i="35"/>
  <c r="D58" i="35"/>
  <c r="D59" i="35"/>
  <c r="D60" i="35"/>
  <c r="D61" i="35"/>
  <c r="D62" i="35"/>
  <c r="D44" i="35"/>
  <c r="A57" i="14"/>
  <c r="A55" i="14"/>
  <c r="T38" i="14"/>
  <c r="T39" i="14"/>
  <c r="T40" i="14"/>
  <c r="M38" i="14"/>
  <c r="M39" i="14"/>
  <c r="M40" i="14"/>
  <c r="T5" i="14"/>
  <c r="T13" i="14"/>
  <c r="Z50" i="30" l="1"/>
  <c r="AF50" i="30"/>
  <c r="AC50" i="30"/>
  <c r="X51" i="30"/>
  <c r="U51" i="30" s="1"/>
  <c r="X58" i="30"/>
  <c r="U58" i="30" s="1"/>
  <c r="AS52" i="30"/>
  <c r="AP52" i="30" s="1"/>
  <c r="X53" i="30"/>
  <c r="U53" i="30" s="1"/>
  <c r="R87" i="36"/>
  <c r="Y87" i="36"/>
  <c r="AN87" i="36"/>
  <c r="AE87" i="36"/>
  <c r="AB87" i="36"/>
  <c r="V87" i="36"/>
  <c r="D88" i="31"/>
  <c r="L88" i="36"/>
  <c r="N88" i="36" s="1"/>
  <c r="AZ86" i="36"/>
  <c r="AX86" i="36"/>
  <c r="AV86" i="36"/>
  <c r="AT86" i="36"/>
  <c r="AR86" i="36"/>
  <c r="AO86" i="36"/>
  <c r="W67" i="35"/>
  <c r="X67" i="35" s="1"/>
  <c r="S52" i="30"/>
  <c r="AO51" i="30"/>
  <c r="S51" i="30" s="1"/>
  <c r="AC51" i="30"/>
  <c r="AF51" i="30"/>
  <c r="F148" i="31"/>
  <c r="P54" i="30"/>
  <c r="Q54" i="30" s="1"/>
  <c r="R54" i="30" s="1"/>
  <c r="AW52" i="30"/>
  <c r="U45" i="35"/>
  <c r="P58" i="30"/>
  <c r="Q58" i="30" s="1"/>
  <c r="R58" i="30" s="1"/>
  <c r="V45" i="35"/>
  <c r="P56" i="30"/>
  <c r="BA52" i="30"/>
  <c r="V44" i="35"/>
  <c r="W61" i="35"/>
  <c r="X61" i="35" s="1"/>
  <c r="W66" i="35"/>
  <c r="X66" i="35" s="1"/>
  <c r="Y45" i="35"/>
  <c r="P55" i="30"/>
  <c r="Q55" i="30" s="1"/>
  <c r="R55" i="30" s="1"/>
  <c r="X56" i="30"/>
  <c r="AU52" i="30"/>
  <c r="F153" i="31"/>
  <c r="P59" i="30"/>
  <c r="Q59" i="30" s="1"/>
  <c r="R59" i="30" s="1"/>
  <c r="AC59" i="30" s="1"/>
  <c r="Y44" i="35"/>
  <c r="AA44" i="35"/>
  <c r="U44" i="35"/>
  <c r="P53" i="30"/>
  <c r="AT51" i="30"/>
  <c r="W46" i="35"/>
  <c r="X46" i="35" s="1"/>
  <c r="V50" i="30"/>
  <c r="T50" i="30"/>
  <c r="AO50" i="30"/>
  <c r="BA50" i="30" s="1"/>
  <c r="S50" i="30"/>
  <c r="BA57" i="30"/>
  <c r="AY57" i="30"/>
  <c r="AW57" i="30"/>
  <c r="AS57" i="30"/>
  <c r="AP57" i="30" s="1"/>
  <c r="AU57" i="30"/>
  <c r="B51" i="35"/>
  <c r="C63" i="35"/>
  <c r="O41" i="35"/>
  <c r="C59" i="35"/>
  <c r="C56" i="35"/>
  <c r="C55" i="35"/>
  <c r="C67" i="35"/>
  <c r="C62" i="35"/>
  <c r="C61" i="35"/>
  <c r="C58" i="35"/>
  <c r="C65" i="35"/>
  <c r="C64" i="35"/>
  <c r="C60" i="35"/>
  <c r="C57" i="35"/>
  <c r="C68" i="35"/>
  <c r="C66" i="35"/>
  <c r="AL49" i="14"/>
  <c r="Y49" i="35" s="1"/>
  <c r="AK49" i="14"/>
  <c r="V49" i="35" s="1"/>
  <c r="AJ49" i="14"/>
  <c r="U49" i="35" s="1"/>
  <c r="AL48" i="14"/>
  <c r="Y48" i="35" s="1"/>
  <c r="AK48" i="14"/>
  <c r="V48" i="35" s="1"/>
  <c r="AJ48" i="14"/>
  <c r="U48" i="35" s="1"/>
  <c r="AL47" i="14"/>
  <c r="Y47" i="35" s="1"/>
  <c r="AK47" i="14"/>
  <c r="V47" i="35" s="1"/>
  <c r="AJ47" i="14"/>
  <c r="U47" i="35" s="1"/>
  <c r="AJ51" i="14"/>
  <c r="U51" i="35" s="1"/>
  <c r="AG49" i="14"/>
  <c r="AI49" i="14" s="1"/>
  <c r="AA49" i="35" s="1"/>
  <c r="AG48" i="14"/>
  <c r="AI48" i="14" s="1"/>
  <c r="AA48" i="35" s="1"/>
  <c r="AG47" i="14"/>
  <c r="AI47" i="14" s="1"/>
  <c r="AA47" i="35" s="1"/>
  <c r="AL79" i="14"/>
  <c r="AK79" i="14"/>
  <c r="AJ79" i="14"/>
  <c r="AG79" i="14"/>
  <c r="AI79" i="14" s="1"/>
  <c r="AL130" i="14"/>
  <c r="AK130" i="14"/>
  <c r="AJ130" i="14"/>
  <c r="AG130" i="14"/>
  <c r="AI130" i="14" s="1"/>
  <c r="W47" i="35" l="1"/>
  <c r="X47" i="35" s="1"/>
  <c r="V51" i="30"/>
  <c r="AW51" i="30"/>
  <c r="AF55" i="30"/>
  <c r="Z55" i="30"/>
  <c r="AC55" i="30"/>
  <c r="W48" i="35"/>
  <c r="X48" i="35" s="1"/>
  <c r="T51" i="30"/>
  <c r="T55" i="30"/>
  <c r="AT53" i="30"/>
  <c r="AO59" i="30"/>
  <c r="BA59" i="30" s="1"/>
  <c r="Z59" i="30"/>
  <c r="AT58" i="30"/>
  <c r="V55" i="30"/>
  <c r="AF59" i="30"/>
  <c r="AY51" i="30"/>
  <c r="T58" i="30"/>
  <c r="AS51" i="30"/>
  <c r="AP51" i="30" s="1"/>
  <c r="AU51" i="30"/>
  <c r="BA51" i="30"/>
  <c r="Z58" i="30"/>
  <c r="AC58" i="30"/>
  <c r="AO58" i="30"/>
  <c r="S58" i="30" s="1"/>
  <c r="AT87" i="36"/>
  <c r="AX87" i="36"/>
  <c r="AR87" i="36"/>
  <c r="AO87" i="36"/>
  <c r="AZ87" i="36"/>
  <c r="AV87" i="36"/>
  <c r="V88" i="36"/>
  <c r="R88" i="36"/>
  <c r="AN88" i="36"/>
  <c r="Q88" i="36" s="1"/>
  <c r="Y88" i="36"/>
  <c r="AB88" i="36"/>
  <c r="AE88" i="36"/>
  <c r="D90" i="31"/>
  <c r="L89" i="36"/>
  <c r="BD86" i="36"/>
  <c r="Q87" i="36"/>
  <c r="V59" i="30"/>
  <c r="BE52" i="30"/>
  <c r="W49" i="35"/>
  <c r="X49" i="35" s="1"/>
  <c r="AO55" i="30"/>
  <c r="S55" i="30" s="1"/>
  <c r="W45" i="35"/>
  <c r="X45" i="35" s="1"/>
  <c r="AF58" i="30"/>
  <c r="Q56" i="30"/>
  <c r="R56" i="30" s="1"/>
  <c r="V56" i="30" s="1"/>
  <c r="V58" i="30"/>
  <c r="U56" i="30"/>
  <c r="AO54" i="30"/>
  <c r="S54" i="30" s="1"/>
  <c r="AF54" i="30"/>
  <c r="V54" i="30"/>
  <c r="AC54" i="30"/>
  <c r="Z54" i="30"/>
  <c r="AT56" i="30"/>
  <c r="AS50" i="30"/>
  <c r="AP50" i="30" s="1"/>
  <c r="AY50" i="30"/>
  <c r="AU50" i="30"/>
  <c r="AW50" i="30"/>
  <c r="BA55" i="30"/>
  <c r="BE57" i="30"/>
  <c r="D190" i="31"/>
  <c r="AV179" i="30"/>
  <c r="AT179" i="30"/>
  <c r="AI179" i="30"/>
  <c r="P179" i="30"/>
  <c r="AV178" i="30"/>
  <c r="AT178" i="30"/>
  <c r="AL178" i="30"/>
  <c r="AI178" i="30"/>
  <c r="AB178" i="30"/>
  <c r="AQ178" i="30" s="1"/>
  <c r="W178" i="30"/>
  <c r="U178" i="30"/>
  <c r="P178" i="30"/>
  <c r="Q178" i="30" s="1"/>
  <c r="AV177" i="30"/>
  <c r="AT177" i="30"/>
  <c r="AL177" i="30"/>
  <c r="AI177" i="30"/>
  <c r="U177" i="30"/>
  <c r="P177" i="30"/>
  <c r="R177" i="30" s="1"/>
  <c r="AV176" i="30"/>
  <c r="AT176" i="30"/>
  <c r="AQ176" i="30"/>
  <c r="AL176" i="30"/>
  <c r="AI176" i="30"/>
  <c r="AE176" i="30"/>
  <c r="AE178" i="30" s="1"/>
  <c r="U176" i="30"/>
  <c r="P176" i="30"/>
  <c r="Q176" i="30" s="1"/>
  <c r="AV175" i="30"/>
  <c r="AT175" i="30"/>
  <c r="AL175" i="30"/>
  <c r="AI175" i="30"/>
  <c r="U175" i="30"/>
  <c r="P175" i="30"/>
  <c r="L175" i="30"/>
  <c r="K175" i="30"/>
  <c r="G65" i="30"/>
  <c r="AV129" i="30"/>
  <c r="AT129" i="30"/>
  <c r="AI129" i="30"/>
  <c r="AV128" i="30"/>
  <c r="AL128" i="30"/>
  <c r="AI128" i="30"/>
  <c r="AH128" i="30"/>
  <c r="AB128" i="30"/>
  <c r="AQ128" i="30" s="1"/>
  <c r="P128" i="30"/>
  <c r="Q128" i="30" s="1"/>
  <c r="R128" i="30" s="1"/>
  <c r="AV127" i="30"/>
  <c r="AT127" i="30"/>
  <c r="AL127" i="30"/>
  <c r="AI127" i="30"/>
  <c r="U127" i="30"/>
  <c r="P127" i="30"/>
  <c r="R127" i="30" s="1"/>
  <c r="AV126" i="30"/>
  <c r="AQ126" i="30"/>
  <c r="AL126" i="30"/>
  <c r="AI126" i="30"/>
  <c r="AE126" i="30"/>
  <c r="AE128" i="30" s="1"/>
  <c r="P126" i="30"/>
  <c r="AV125" i="30"/>
  <c r="AT125" i="30"/>
  <c r="AL125" i="30"/>
  <c r="AI125" i="30"/>
  <c r="U125" i="30"/>
  <c r="P125" i="30"/>
  <c r="M125" i="30"/>
  <c r="L125" i="30"/>
  <c r="AV109" i="30"/>
  <c r="AT109" i="30"/>
  <c r="AI109" i="30"/>
  <c r="AV108" i="30"/>
  <c r="AT108" i="30"/>
  <c r="AL108" i="30"/>
  <c r="AI108" i="30"/>
  <c r="AB108" i="30"/>
  <c r="W108" i="30"/>
  <c r="AQ108" i="30" s="1"/>
  <c r="U108" i="30"/>
  <c r="P108" i="30"/>
  <c r="AV107" i="30"/>
  <c r="AT107" i="30"/>
  <c r="AL107" i="30"/>
  <c r="AI107" i="30"/>
  <c r="W107" i="30"/>
  <c r="U107" i="30"/>
  <c r="P107" i="30"/>
  <c r="R107" i="30" s="1"/>
  <c r="AV106" i="30"/>
  <c r="AT106" i="30"/>
  <c r="AQ106" i="30"/>
  <c r="AL106" i="30"/>
  <c r="AI106" i="30"/>
  <c r="AE106" i="30"/>
  <c r="AE108" i="30" s="1"/>
  <c r="U106" i="30"/>
  <c r="P106" i="30"/>
  <c r="AV105" i="30"/>
  <c r="AT105" i="30"/>
  <c r="AQ105" i="30"/>
  <c r="AL105" i="30"/>
  <c r="AI105" i="30"/>
  <c r="AB105" i="30"/>
  <c r="AK105" i="30" s="1"/>
  <c r="U105" i="30"/>
  <c r="P105" i="30"/>
  <c r="Q105" i="30" s="1"/>
  <c r="M105" i="30"/>
  <c r="L105" i="30"/>
  <c r="AV104" i="30"/>
  <c r="AT104" i="30"/>
  <c r="AI104" i="30"/>
  <c r="AV103" i="30"/>
  <c r="AT103" i="30"/>
  <c r="AL103" i="30"/>
  <c r="AI103" i="30"/>
  <c r="AB103" i="30"/>
  <c r="W103" i="30"/>
  <c r="AQ103" i="30" s="1"/>
  <c r="U103" i="30"/>
  <c r="AV102" i="30"/>
  <c r="AT102" i="30"/>
  <c r="AL102" i="30"/>
  <c r="AI102" i="30"/>
  <c r="U102" i="30"/>
  <c r="P102" i="30"/>
  <c r="R102" i="30" s="1"/>
  <c r="AV101" i="30"/>
  <c r="AT101" i="30"/>
  <c r="AQ101" i="30"/>
  <c r="AL101" i="30"/>
  <c r="AI101" i="30"/>
  <c r="AE101" i="30"/>
  <c r="AE103" i="30" s="1"/>
  <c r="W100" i="30" s="1"/>
  <c r="AB100" i="30" s="1"/>
  <c r="U101" i="30"/>
  <c r="AV100" i="30"/>
  <c r="AT100" i="30"/>
  <c r="AL100" i="30"/>
  <c r="U100" i="30"/>
  <c r="L100" i="30"/>
  <c r="AV99" i="30"/>
  <c r="AT99" i="30"/>
  <c r="AI99" i="30"/>
  <c r="AV98" i="30"/>
  <c r="AT98" i="30"/>
  <c r="AL98" i="30"/>
  <c r="AI98" i="30"/>
  <c r="AB98" i="30"/>
  <c r="W98" i="30"/>
  <c r="AQ98" i="30" s="1"/>
  <c r="U98" i="30"/>
  <c r="AV97" i="30"/>
  <c r="AT97" i="30"/>
  <c r="AL97" i="30"/>
  <c r="AI97" i="30"/>
  <c r="U97" i="30"/>
  <c r="AV96" i="30"/>
  <c r="AT96" i="30"/>
  <c r="AQ96" i="30"/>
  <c r="AL96" i="30"/>
  <c r="AI96" i="30"/>
  <c r="AE96" i="30"/>
  <c r="AE98" i="30" s="1"/>
  <c r="W95" i="30" s="1"/>
  <c r="AB95" i="30" s="1"/>
  <c r="U96" i="30"/>
  <c r="AV95" i="30"/>
  <c r="AT95" i="30"/>
  <c r="AL95" i="30"/>
  <c r="U95" i="30"/>
  <c r="M95" i="30"/>
  <c r="L95" i="30"/>
  <c r="AV94" i="30"/>
  <c r="AT94" i="30"/>
  <c r="AI94" i="30"/>
  <c r="AV93" i="30"/>
  <c r="AT93" i="30"/>
  <c r="AL93" i="30"/>
  <c r="AI93" i="30"/>
  <c r="AB93" i="30"/>
  <c r="W93" i="30"/>
  <c r="AQ93" i="30" s="1"/>
  <c r="U93" i="30"/>
  <c r="AV92" i="30"/>
  <c r="AT92" i="30"/>
  <c r="AL92" i="30"/>
  <c r="AI92" i="30"/>
  <c r="U92" i="30"/>
  <c r="P92" i="30"/>
  <c r="R92" i="30" s="1"/>
  <c r="AV91" i="30"/>
  <c r="AT91" i="30"/>
  <c r="AQ91" i="30"/>
  <c r="AL91" i="30"/>
  <c r="AI91" i="30"/>
  <c r="AE91" i="30"/>
  <c r="AE93" i="30" s="1"/>
  <c r="W90" i="30" s="1"/>
  <c r="AB90" i="30" s="1"/>
  <c r="U91" i="30"/>
  <c r="AV90" i="30"/>
  <c r="AT90" i="30"/>
  <c r="AL90" i="30"/>
  <c r="U90" i="30"/>
  <c r="M90" i="30"/>
  <c r="L90" i="30"/>
  <c r="AV89" i="30"/>
  <c r="AT89" i="30"/>
  <c r="AI89" i="30"/>
  <c r="AV88" i="30"/>
  <c r="AT88" i="30"/>
  <c r="AL88" i="30"/>
  <c r="AI88" i="30"/>
  <c r="AB88" i="30"/>
  <c r="W88" i="30"/>
  <c r="AQ88" i="30" s="1"/>
  <c r="U88" i="30"/>
  <c r="AV87" i="30"/>
  <c r="AT87" i="30"/>
  <c r="AL87" i="30"/>
  <c r="AI87" i="30"/>
  <c r="U87" i="30"/>
  <c r="P87" i="30"/>
  <c r="R87" i="30" s="1"/>
  <c r="AV86" i="30"/>
  <c r="AT86" i="30"/>
  <c r="AQ86" i="30"/>
  <c r="AL86" i="30"/>
  <c r="AI86" i="30"/>
  <c r="AE86" i="30"/>
  <c r="AE88" i="30" s="1"/>
  <c r="W85" i="30" s="1"/>
  <c r="AB85" i="30" s="1"/>
  <c r="U86" i="30"/>
  <c r="AV85" i="30"/>
  <c r="AT85" i="30"/>
  <c r="AL85" i="30"/>
  <c r="U85" i="30"/>
  <c r="M85" i="30"/>
  <c r="L85" i="30"/>
  <c r="AV84" i="30"/>
  <c r="AT84" i="30"/>
  <c r="AI84" i="30"/>
  <c r="AV83" i="30"/>
  <c r="AL83" i="30"/>
  <c r="AI83" i="30"/>
  <c r="AB83" i="30"/>
  <c r="W83" i="30"/>
  <c r="AQ83" i="30" s="1"/>
  <c r="AV82" i="30"/>
  <c r="AT82" i="30"/>
  <c r="AL82" i="30"/>
  <c r="AI82" i="30"/>
  <c r="U82" i="30"/>
  <c r="P82" i="30"/>
  <c r="R82" i="30" s="1"/>
  <c r="AV81" i="30"/>
  <c r="AQ81" i="30"/>
  <c r="AL81" i="30"/>
  <c r="AI81" i="30"/>
  <c r="AE81" i="30"/>
  <c r="AE83" i="30" s="1"/>
  <c r="W80" i="30" s="1"/>
  <c r="AB80" i="30" s="1"/>
  <c r="AV80" i="30"/>
  <c r="AT80" i="30"/>
  <c r="AL80" i="30"/>
  <c r="U80" i="30"/>
  <c r="M80" i="30"/>
  <c r="L80" i="30"/>
  <c r="AV79" i="30"/>
  <c r="AT79" i="30"/>
  <c r="AI79" i="30"/>
  <c r="AV78" i="30"/>
  <c r="AT78" i="30"/>
  <c r="AL78" i="30"/>
  <c r="AI78" i="30"/>
  <c r="AB78" i="30"/>
  <c r="W78" i="30"/>
  <c r="AQ78" i="30" s="1"/>
  <c r="U78" i="30"/>
  <c r="AV77" i="30"/>
  <c r="AT77" i="30"/>
  <c r="AL77" i="30"/>
  <c r="AI77" i="30"/>
  <c r="U77" i="30"/>
  <c r="P77" i="30"/>
  <c r="R77" i="30" s="1"/>
  <c r="AV76" i="30"/>
  <c r="AT76" i="30"/>
  <c r="AQ76" i="30"/>
  <c r="AL76" i="30"/>
  <c r="AI76" i="30"/>
  <c r="AE76" i="30"/>
  <c r="AE78" i="30" s="1"/>
  <c r="W75" i="30" s="1"/>
  <c r="AB75" i="30" s="1"/>
  <c r="U76" i="30"/>
  <c r="AV75" i="30"/>
  <c r="AT75" i="30"/>
  <c r="AL75" i="30"/>
  <c r="U75" i="30"/>
  <c r="M75" i="30"/>
  <c r="L75" i="30"/>
  <c r="AV74" i="30"/>
  <c r="AT74" i="30"/>
  <c r="AI74" i="30"/>
  <c r="AV73" i="30"/>
  <c r="AT73" i="30"/>
  <c r="AL73" i="30"/>
  <c r="AI73" i="30"/>
  <c r="AB73" i="30"/>
  <c r="W73" i="30"/>
  <c r="AQ73" i="30" s="1"/>
  <c r="U73" i="30"/>
  <c r="AV72" i="30"/>
  <c r="AT72" i="30"/>
  <c r="AL72" i="30"/>
  <c r="AI72" i="30"/>
  <c r="U72" i="30"/>
  <c r="P72" i="30"/>
  <c r="R72" i="30" s="1"/>
  <c r="AV71" i="30"/>
  <c r="AT71" i="30"/>
  <c r="AQ71" i="30"/>
  <c r="AL71" i="30"/>
  <c r="AI71" i="30"/>
  <c r="AE71" i="30"/>
  <c r="AE73" i="30" s="1"/>
  <c r="W70" i="30" s="1"/>
  <c r="AB70" i="30" s="1"/>
  <c r="U71" i="30"/>
  <c r="AV70" i="30"/>
  <c r="AT70" i="30"/>
  <c r="AL70" i="30"/>
  <c r="U70" i="30"/>
  <c r="M70" i="30"/>
  <c r="L70" i="30"/>
  <c r="G5" i="30"/>
  <c r="AQ100" i="30" l="1"/>
  <c r="AQ95" i="30"/>
  <c r="AK70" i="30"/>
  <c r="AE70" i="30"/>
  <c r="AH70" i="30"/>
  <c r="AQ90" i="30"/>
  <c r="AK100" i="30"/>
  <c r="AE100" i="30"/>
  <c r="AH100" i="30"/>
  <c r="AS55" i="30"/>
  <c r="AP55" i="30" s="1"/>
  <c r="AQ85" i="30"/>
  <c r="AH95" i="30"/>
  <c r="AE95" i="30"/>
  <c r="AK95" i="30"/>
  <c r="AQ80" i="30"/>
  <c r="AQ75" i="30"/>
  <c r="AQ70" i="30"/>
  <c r="AK80" i="30"/>
  <c r="AE80" i="30"/>
  <c r="AH80" i="30"/>
  <c r="AE90" i="30"/>
  <c r="AK90" i="30"/>
  <c r="AH90" i="30"/>
  <c r="AK85" i="30"/>
  <c r="AH85" i="30"/>
  <c r="AE85" i="30"/>
  <c r="AK75" i="30"/>
  <c r="AE75" i="30"/>
  <c r="AH75" i="30"/>
  <c r="AU55" i="30"/>
  <c r="AW55" i="30"/>
  <c r="AY55" i="30"/>
  <c r="AU58" i="30"/>
  <c r="AU59" i="30"/>
  <c r="AS58" i="30"/>
  <c r="AP58" i="30" s="1"/>
  <c r="BE51" i="30"/>
  <c r="AH86" i="30"/>
  <c r="AH88" i="30" s="1"/>
  <c r="AH76" i="30"/>
  <c r="AH78" i="30" s="1"/>
  <c r="AH81" i="30"/>
  <c r="AH83" i="30" s="1"/>
  <c r="AH91" i="30"/>
  <c r="AH93" i="30" s="1"/>
  <c r="AH96" i="30"/>
  <c r="AH98" i="30" s="1"/>
  <c r="AH101" i="30"/>
  <c r="AH103" i="30" s="1"/>
  <c r="AH71" i="30"/>
  <c r="AH73" i="30" s="1"/>
  <c r="T56" i="30"/>
  <c r="S59" i="30"/>
  <c r="AS59" i="30"/>
  <c r="AW59" i="30"/>
  <c r="AY59" i="30"/>
  <c r="BA58" i="30"/>
  <c r="AW58" i="30"/>
  <c r="AY58" i="30"/>
  <c r="BD87" i="36"/>
  <c r="AZ88" i="36"/>
  <c r="AX88" i="36"/>
  <c r="AT88" i="36"/>
  <c r="AV88" i="36"/>
  <c r="AR88" i="36"/>
  <c r="AO88" i="36"/>
  <c r="D91" i="31"/>
  <c r="L91" i="36"/>
  <c r="N91" i="36" s="1"/>
  <c r="Y91" i="36" s="1"/>
  <c r="AY54" i="30"/>
  <c r="AW54" i="30"/>
  <c r="BA54" i="30"/>
  <c r="AU54" i="30"/>
  <c r="AS54" i="30"/>
  <c r="AF56" i="30"/>
  <c r="AO56" i="30"/>
  <c r="AC56" i="30"/>
  <c r="Z56" i="30"/>
  <c r="BE50" i="30"/>
  <c r="T127" i="30"/>
  <c r="W125" i="30"/>
  <c r="AH106" i="30"/>
  <c r="AH108" i="30" s="1"/>
  <c r="Q175" i="30"/>
  <c r="R175" i="30" s="1"/>
  <c r="D191" i="31"/>
  <c r="T177" i="30"/>
  <c r="Z177" i="30"/>
  <c r="AO177" i="30"/>
  <c r="S177" i="30" s="1"/>
  <c r="V177" i="30"/>
  <c r="AF177" i="30"/>
  <c r="AC177" i="30"/>
  <c r="R176" i="30"/>
  <c r="R178" i="30"/>
  <c r="W175" i="30"/>
  <c r="Q179" i="30"/>
  <c r="R179" i="30" s="1"/>
  <c r="AF128" i="30"/>
  <c r="AC128" i="30"/>
  <c r="AO128" i="30"/>
  <c r="S128" i="30" s="1"/>
  <c r="AC127" i="30"/>
  <c r="AF127" i="30"/>
  <c r="Z127" i="30"/>
  <c r="V127" i="30"/>
  <c r="AO127" i="30"/>
  <c r="S127" i="30" s="1"/>
  <c r="Q126" i="30"/>
  <c r="R126" i="30" s="1"/>
  <c r="Q125" i="30"/>
  <c r="R125" i="30" s="1"/>
  <c r="AF107" i="30"/>
  <c r="AC107" i="30"/>
  <c r="Z107" i="30"/>
  <c r="V107" i="30"/>
  <c r="AO107" i="30"/>
  <c r="S107" i="30" s="1"/>
  <c r="T107" i="30"/>
  <c r="AE105" i="30"/>
  <c r="R105" i="30"/>
  <c r="AH105" i="30"/>
  <c r="Q106" i="30"/>
  <c r="R106" i="30" s="1"/>
  <c r="Q108" i="30"/>
  <c r="R108" i="30" s="1"/>
  <c r="Z102" i="30"/>
  <c r="V102" i="30"/>
  <c r="AC102" i="30"/>
  <c r="AF102" i="30"/>
  <c r="T102" i="30"/>
  <c r="AO102" i="30"/>
  <c r="AF92" i="30"/>
  <c r="AO92" i="30"/>
  <c r="S92" i="30" s="1"/>
  <c r="AC92" i="30"/>
  <c r="V92" i="30"/>
  <c r="T92" i="30"/>
  <c r="Z92" i="30"/>
  <c r="AF87" i="30"/>
  <c r="AC87" i="30"/>
  <c r="T87" i="30"/>
  <c r="AO87" i="30"/>
  <c r="S87" i="30" s="1"/>
  <c r="Z87" i="30"/>
  <c r="V87" i="30"/>
  <c r="T82" i="30"/>
  <c r="AO82" i="30"/>
  <c r="AF82" i="30"/>
  <c r="V82" i="30"/>
  <c r="AC82" i="30"/>
  <c r="Z82" i="30"/>
  <c r="AF77" i="30"/>
  <c r="AC77" i="30"/>
  <c r="AO77" i="30"/>
  <c r="S77" i="30" s="1"/>
  <c r="Z77" i="30"/>
  <c r="V77" i="30"/>
  <c r="T77" i="30"/>
  <c r="AF72" i="30"/>
  <c r="AC72" i="30"/>
  <c r="Z72" i="30"/>
  <c r="V72" i="30"/>
  <c r="T72" i="30"/>
  <c r="AO72" i="30"/>
  <c r="AU74" i="36"/>
  <c r="AS74" i="36"/>
  <c r="AN74" i="36"/>
  <c r="AV74" i="36" s="1"/>
  <c r="AE74" i="36"/>
  <c r="AB74" i="36"/>
  <c r="Y74" i="36"/>
  <c r="V74" i="36"/>
  <c r="U74" i="36"/>
  <c r="AU73" i="36"/>
  <c r="AS73" i="36"/>
  <c r="AA73" i="36"/>
  <c r="X73" i="36"/>
  <c r="AP73" i="36" s="1"/>
  <c r="S73" i="36"/>
  <c r="U73" i="36" s="1"/>
  <c r="L73" i="36"/>
  <c r="M73" i="36" s="1"/>
  <c r="N73" i="36" s="1"/>
  <c r="AB73" i="36" s="1"/>
  <c r="AU72" i="36"/>
  <c r="AS72" i="36"/>
  <c r="AA72" i="36"/>
  <c r="X72" i="36"/>
  <c r="AP72" i="36" s="1"/>
  <c r="S72" i="36"/>
  <c r="U72" i="36" s="1"/>
  <c r="L72" i="36"/>
  <c r="N72" i="36" s="1"/>
  <c r="AU71" i="36"/>
  <c r="AS71" i="36"/>
  <c r="AP71" i="36"/>
  <c r="AG71" i="36"/>
  <c r="AG73" i="36" s="1"/>
  <c r="AD71" i="36"/>
  <c r="AD73" i="36" s="1"/>
  <c r="S71" i="36"/>
  <c r="L71" i="36"/>
  <c r="M71" i="36" s="1"/>
  <c r="AU70" i="36"/>
  <c r="AS70" i="36"/>
  <c r="AP70" i="36"/>
  <c r="AA70" i="36"/>
  <c r="AG70" i="36" s="1"/>
  <c r="S70" i="36"/>
  <c r="U70" i="36" s="1"/>
  <c r="L70" i="36"/>
  <c r="M70" i="36" s="1"/>
  <c r="AU69" i="36"/>
  <c r="AS69" i="36"/>
  <c r="AN69" i="36"/>
  <c r="AV69" i="36" s="1"/>
  <c r="AE69" i="36"/>
  <c r="AB69" i="36"/>
  <c r="Y69" i="36"/>
  <c r="V69" i="36"/>
  <c r="U69" i="36"/>
  <c r="AU68" i="36"/>
  <c r="AS68" i="36"/>
  <c r="AA68" i="36"/>
  <c r="X68" i="36"/>
  <c r="AP68" i="36" s="1"/>
  <c r="S68" i="36"/>
  <c r="U68" i="36" s="1"/>
  <c r="L68" i="36"/>
  <c r="AU67" i="36"/>
  <c r="AS67" i="36"/>
  <c r="AA67" i="36"/>
  <c r="X67" i="36"/>
  <c r="AP67" i="36" s="1"/>
  <c r="S67" i="36"/>
  <c r="U67" i="36" s="1"/>
  <c r="L67" i="36"/>
  <c r="N67" i="36" s="1"/>
  <c r="AU66" i="36"/>
  <c r="AS66" i="36"/>
  <c r="AP66" i="36"/>
  <c r="AG66" i="36"/>
  <c r="AG68" i="36" s="1"/>
  <c r="AD66" i="36"/>
  <c r="AD67" i="36" s="1"/>
  <c r="S66" i="36"/>
  <c r="U66" i="36" s="1"/>
  <c r="L66" i="36"/>
  <c r="M66" i="36" s="1"/>
  <c r="N66" i="36" s="1"/>
  <c r="AU65" i="36"/>
  <c r="AS65" i="36"/>
  <c r="AP65" i="36"/>
  <c r="AA65" i="36"/>
  <c r="AG65" i="36" s="1"/>
  <c r="S65" i="36"/>
  <c r="L65" i="36"/>
  <c r="M65" i="36" s="1"/>
  <c r="AU64" i="36"/>
  <c r="AS64" i="36"/>
  <c r="AN64" i="36"/>
  <c r="AZ64" i="36" s="1"/>
  <c r="AE64" i="36"/>
  <c r="AB64" i="36"/>
  <c r="Y64" i="36"/>
  <c r="V64" i="36"/>
  <c r="U64" i="36"/>
  <c r="AU63" i="36"/>
  <c r="AS63" i="36"/>
  <c r="AA63" i="36"/>
  <c r="X63" i="36"/>
  <c r="AP63" i="36" s="1"/>
  <c r="S63" i="36"/>
  <c r="L63" i="36"/>
  <c r="M63" i="36" s="1"/>
  <c r="N63" i="36" s="1"/>
  <c r="AN63" i="36" s="1"/>
  <c r="AU62" i="36"/>
  <c r="AS62" i="36"/>
  <c r="AA62" i="36"/>
  <c r="X62" i="36"/>
  <c r="AP62" i="36" s="1"/>
  <c r="S62" i="36"/>
  <c r="U62" i="36" s="1"/>
  <c r="L62" i="36"/>
  <c r="N62" i="36" s="1"/>
  <c r="V62" i="36" s="1"/>
  <c r="AU61" i="36"/>
  <c r="AS61" i="36"/>
  <c r="AP61" i="36"/>
  <c r="AG61" i="36"/>
  <c r="AG63" i="36" s="1"/>
  <c r="AD61" i="36"/>
  <c r="AD62" i="36" s="1"/>
  <c r="S61" i="36"/>
  <c r="L61" i="36"/>
  <c r="M61" i="36" s="1"/>
  <c r="N61" i="36" s="1"/>
  <c r="Y61" i="36" s="1"/>
  <c r="AU60" i="36"/>
  <c r="AS60" i="36"/>
  <c r="AP60" i="36"/>
  <c r="AA60" i="36"/>
  <c r="AJ60" i="36" s="1"/>
  <c r="S60" i="36"/>
  <c r="U60" i="36" s="1"/>
  <c r="L60" i="36"/>
  <c r="M60" i="36" s="1"/>
  <c r="AU59" i="36"/>
  <c r="AS59" i="36"/>
  <c r="AN59" i="36"/>
  <c r="AT59" i="36" s="1"/>
  <c r="AE59" i="36"/>
  <c r="AB59" i="36"/>
  <c r="Y59" i="36"/>
  <c r="V59" i="36"/>
  <c r="U59" i="36"/>
  <c r="AU58" i="36"/>
  <c r="AS58" i="36"/>
  <c r="AA58" i="36"/>
  <c r="X58" i="36"/>
  <c r="AP58" i="36" s="1"/>
  <c r="S58" i="36"/>
  <c r="U58" i="36" s="1"/>
  <c r="L58" i="36"/>
  <c r="M58" i="36" s="1"/>
  <c r="AU57" i="36"/>
  <c r="AS57" i="36"/>
  <c r="AA57" i="36"/>
  <c r="X57" i="36"/>
  <c r="AP57" i="36" s="1"/>
  <c r="S57" i="36"/>
  <c r="U57" i="36" s="1"/>
  <c r="L57" i="36"/>
  <c r="N57" i="36" s="1"/>
  <c r="AB57" i="36" s="1"/>
  <c r="AU56" i="36"/>
  <c r="AS56" i="36"/>
  <c r="AP56" i="36"/>
  <c r="AG56" i="36"/>
  <c r="AG57" i="36" s="1"/>
  <c r="AD56" i="36"/>
  <c r="AD58" i="36" s="1"/>
  <c r="S56" i="36"/>
  <c r="U56" i="36" s="1"/>
  <c r="L56" i="36"/>
  <c r="AU55" i="36"/>
  <c r="AS55" i="36"/>
  <c r="AP55" i="36"/>
  <c r="AA55" i="36"/>
  <c r="AJ55" i="36" s="1"/>
  <c r="S55" i="36"/>
  <c r="U55" i="36" s="1"/>
  <c r="L55" i="36"/>
  <c r="M55" i="36" s="1"/>
  <c r="N55" i="36" s="1"/>
  <c r="Y55" i="36" s="1"/>
  <c r="AU54" i="36"/>
  <c r="AS54" i="36"/>
  <c r="AN54" i="36"/>
  <c r="AV54" i="36" s="1"/>
  <c r="AE54" i="36"/>
  <c r="AB54" i="36"/>
  <c r="Y54" i="36"/>
  <c r="V54" i="36"/>
  <c r="U54" i="36"/>
  <c r="AU53" i="36"/>
  <c r="AS53" i="36"/>
  <c r="AA53" i="36"/>
  <c r="X53" i="36"/>
  <c r="AP53" i="36" s="1"/>
  <c r="S53" i="36"/>
  <c r="U53" i="36" s="1"/>
  <c r="L53" i="36"/>
  <c r="M53" i="36" s="1"/>
  <c r="AU52" i="36"/>
  <c r="AS52" i="36"/>
  <c r="AA52" i="36"/>
  <c r="X52" i="36"/>
  <c r="AP52" i="36" s="1"/>
  <c r="S52" i="36"/>
  <c r="L52" i="36"/>
  <c r="N52" i="36" s="1"/>
  <c r="AE52" i="36" s="1"/>
  <c r="AU51" i="36"/>
  <c r="AS51" i="36"/>
  <c r="AP51" i="36"/>
  <c r="AG51" i="36"/>
  <c r="AG52" i="36" s="1"/>
  <c r="AD51" i="36"/>
  <c r="AD53" i="36" s="1"/>
  <c r="S51" i="36"/>
  <c r="L51" i="36"/>
  <c r="M51" i="36" s="1"/>
  <c r="AU50" i="36"/>
  <c r="AS50" i="36"/>
  <c r="AP50" i="36"/>
  <c r="AA50" i="36"/>
  <c r="AG50" i="36" s="1"/>
  <c r="S50" i="36"/>
  <c r="U50" i="36" s="1"/>
  <c r="L50" i="36"/>
  <c r="M50" i="36" s="1"/>
  <c r="AU49" i="36"/>
  <c r="AS49" i="36"/>
  <c r="AN49" i="36"/>
  <c r="AR49" i="36" s="1"/>
  <c r="AE49" i="36"/>
  <c r="AB49" i="36"/>
  <c r="Y49" i="36"/>
  <c r="V49" i="36"/>
  <c r="U49" i="36"/>
  <c r="AU48" i="36"/>
  <c r="AS48" i="36"/>
  <c r="AA48" i="36"/>
  <c r="X48" i="36"/>
  <c r="AP48" i="36" s="1"/>
  <c r="S48" i="36"/>
  <c r="L48" i="36"/>
  <c r="M48" i="36" s="1"/>
  <c r="AU47" i="36"/>
  <c r="AS47" i="36"/>
  <c r="AA47" i="36"/>
  <c r="X47" i="36"/>
  <c r="AP47" i="36" s="1"/>
  <c r="S47" i="36"/>
  <c r="U47" i="36" s="1"/>
  <c r="L47" i="36"/>
  <c r="N47" i="36" s="1"/>
  <c r="AU46" i="36"/>
  <c r="AS46" i="36"/>
  <c r="AP46" i="36"/>
  <c r="AG46" i="36"/>
  <c r="AD46" i="36"/>
  <c r="AD47" i="36" s="1"/>
  <c r="S46" i="36"/>
  <c r="U46" i="36" s="1"/>
  <c r="L46" i="36"/>
  <c r="M46" i="36" s="1"/>
  <c r="AU45" i="36"/>
  <c r="AS45" i="36"/>
  <c r="AP45" i="36"/>
  <c r="AA45" i="36"/>
  <c r="AJ45" i="36" s="1"/>
  <c r="S45" i="36"/>
  <c r="U45" i="36" s="1"/>
  <c r="L45" i="36"/>
  <c r="M45" i="36" s="1"/>
  <c r="N45" i="36" s="1"/>
  <c r="AU44" i="36"/>
  <c r="AS44" i="36"/>
  <c r="AN44" i="36"/>
  <c r="AR44" i="36" s="1"/>
  <c r="AE44" i="36"/>
  <c r="AB44" i="36"/>
  <c r="Y44" i="36"/>
  <c r="V44" i="36"/>
  <c r="U44" i="36"/>
  <c r="AU43" i="36"/>
  <c r="AS43" i="36"/>
  <c r="S43" i="36"/>
  <c r="U43" i="36" s="1"/>
  <c r="L43" i="36"/>
  <c r="N43" i="36" s="1"/>
  <c r="AU42" i="36"/>
  <c r="AS42" i="36"/>
  <c r="S42" i="36"/>
  <c r="U42" i="36" s="1"/>
  <c r="L42" i="36"/>
  <c r="N42" i="36" s="1"/>
  <c r="AE42" i="36" s="1"/>
  <c r="AU41" i="36"/>
  <c r="AS41" i="36"/>
  <c r="S41" i="36"/>
  <c r="U41" i="36" s="1"/>
  <c r="L41" i="36"/>
  <c r="N41" i="36" s="1"/>
  <c r="AN41" i="36" s="1"/>
  <c r="AV41" i="36" s="1"/>
  <c r="AU40" i="36"/>
  <c r="AS40" i="36"/>
  <c r="AP40" i="36"/>
  <c r="AA40" i="36"/>
  <c r="AJ40" i="36" s="1"/>
  <c r="S40" i="36"/>
  <c r="L40" i="36"/>
  <c r="M40" i="36" s="1"/>
  <c r="AU39" i="36"/>
  <c r="AS39" i="36"/>
  <c r="AN39" i="36"/>
  <c r="AZ39" i="36" s="1"/>
  <c r="AE39" i="36"/>
  <c r="AB39" i="36"/>
  <c r="Y39" i="36"/>
  <c r="V39" i="36"/>
  <c r="U39" i="36"/>
  <c r="AU38" i="36"/>
  <c r="AS38" i="36"/>
  <c r="S38" i="36"/>
  <c r="L38" i="36"/>
  <c r="N38" i="36" s="1"/>
  <c r="AU37" i="36"/>
  <c r="AS37" i="36"/>
  <c r="S37" i="36"/>
  <c r="U37" i="36" s="1"/>
  <c r="L37" i="36"/>
  <c r="N37" i="36" s="1"/>
  <c r="AU36" i="36"/>
  <c r="AS36" i="36"/>
  <c r="S36" i="36"/>
  <c r="U36" i="36" s="1"/>
  <c r="L36" i="36"/>
  <c r="N36" i="36" s="1"/>
  <c r="AE36" i="36" s="1"/>
  <c r="AU35" i="36"/>
  <c r="AS35" i="36"/>
  <c r="AP35" i="36"/>
  <c r="AA35" i="36"/>
  <c r="AD36" i="36" s="1"/>
  <c r="AP36" i="36" s="1"/>
  <c r="S35" i="36"/>
  <c r="U35" i="36" s="1"/>
  <c r="L35" i="36"/>
  <c r="M35" i="36" s="1"/>
  <c r="N35" i="36" s="1"/>
  <c r="AU34" i="36"/>
  <c r="AS34" i="36"/>
  <c r="AN34" i="36"/>
  <c r="AE34" i="36"/>
  <c r="AB34" i="36"/>
  <c r="Y34" i="36"/>
  <c r="V34" i="36"/>
  <c r="U34" i="36"/>
  <c r="AU33" i="36"/>
  <c r="AS33" i="36"/>
  <c r="S33" i="36"/>
  <c r="U33" i="36" s="1"/>
  <c r="L33" i="36"/>
  <c r="N33" i="36" s="1"/>
  <c r="AN33" i="36" s="1"/>
  <c r="AU32" i="36"/>
  <c r="AS32" i="36"/>
  <c r="S32" i="36"/>
  <c r="U32" i="36" s="1"/>
  <c r="L32" i="36"/>
  <c r="N32" i="36" s="1"/>
  <c r="AU31" i="36"/>
  <c r="AS31" i="36"/>
  <c r="S31" i="36"/>
  <c r="U31" i="36" s="1"/>
  <c r="L31" i="36"/>
  <c r="N31" i="36" s="1"/>
  <c r="V31" i="36" s="1"/>
  <c r="AU30" i="36"/>
  <c r="AS30" i="36"/>
  <c r="AP30" i="36"/>
  <c r="AA30" i="36"/>
  <c r="AD30" i="36" s="1"/>
  <c r="S30" i="36"/>
  <c r="U30" i="36" s="1"/>
  <c r="L30" i="36"/>
  <c r="M30" i="36" s="1"/>
  <c r="AU29" i="36"/>
  <c r="AS29" i="36"/>
  <c r="AN29" i="36"/>
  <c r="AT29" i="36" s="1"/>
  <c r="AE29" i="36"/>
  <c r="AB29" i="36"/>
  <c r="Y29" i="36"/>
  <c r="V29" i="36"/>
  <c r="U29" i="36"/>
  <c r="AU28" i="36"/>
  <c r="AS28" i="36"/>
  <c r="U28" i="36"/>
  <c r="L28" i="36"/>
  <c r="N28" i="36" s="1"/>
  <c r="AU27" i="36"/>
  <c r="AS27" i="36"/>
  <c r="U27" i="36"/>
  <c r="L27" i="36"/>
  <c r="N27" i="36" s="1"/>
  <c r="AU26" i="36"/>
  <c r="AS26" i="36"/>
  <c r="S26" i="36"/>
  <c r="L26" i="36"/>
  <c r="N26" i="36" s="1"/>
  <c r="AU25" i="36"/>
  <c r="AS25" i="36"/>
  <c r="AP25" i="36"/>
  <c r="AA25" i="36"/>
  <c r="AJ25" i="36" s="1"/>
  <c r="U25" i="36"/>
  <c r="L25" i="36"/>
  <c r="M25" i="36" s="1"/>
  <c r="N25" i="36" s="1"/>
  <c r="AU24" i="36"/>
  <c r="AS24" i="36"/>
  <c r="AN24" i="36"/>
  <c r="AR24" i="36" s="1"/>
  <c r="AE24" i="36"/>
  <c r="AB24" i="36"/>
  <c r="Y24" i="36"/>
  <c r="V24" i="36"/>
  <c r="U24" i="36"/>
  <c r="AU23" i="36"/>
  <c r="AS23" i="36"/>
  <c r="U23" i="36"/>
  <c r="L23" i="36"/>
  <c r="N23" i="36" s="1"/>
  <c r="V23" i="36" s="1"/>
  <c r="AU22" i="36"/>
  <c r="AS22" i="36"/>
  <c r="U22" i="36"/>
  <c r="L22" i="36"/>
  <c r="N22" i="36" s="1"/>
  <c r="AU21" i="36"/>
  <c r="AS21" i="36"/>
  <c r="S21" i="36"/>
  <c r="U21" i="36" s="1"/>
  <c r="L21" i="36"/>
  <c r="N21" i="36" s="1"/>
  <c r="AB21" i="36" s="1"/>
  <c r="AU20" i="36"/>
  <c r="AS20" i="36"/>
  <c r="AP20" i="36"/>
  <c r="AA20" i="36"/>
  <c r="AD21" i="36" s="1"/>
  <c r="AP21" i="36" s="1"/>
  <c r="U20" i="36"/>
  <c r="L20" i="36"/>
  <c r="N20" i="36" s="1"/>
  <c r="AN20" i="36" s="1"/>
  <c r="AU19" i="36"/>
  <c r="AS19" i="36"/>
  <c r="AN19" i="36"/>
  <c r="AT19" i="36" s="1"/>
  <c r="AE19" i="36"/>
  <c r="AB19" i="36"/>
  <c r="Y19" i="36"/>
  <c r="V19" i="36"/>
  <c r="U19" i="36"/>
  <c r="AU18" i="36"/>
  <c r="AS18" i="36"/>
  <c r="U18" i="36"/>
  <c r="L18" i="36"/>
  <c r="N18" i="36" s="1"/>
  <c r="AU17" i="36"/>
  <c r="AS17" i="36"/>
  <c r="U17" i="36"/>
  <c r="L17" i="36"/>
  <c r="N17" i="36" s="1"/>
  <c r="AU16" i="36"/>
  <c r="AS16" i="36"/>
  <c r="S16" i="36"/>
  <c r="U16" i="36" s="1"/>
  <c r="L16" i="36"/>
  <c r="N16" i="36" s="1"/>
  <c r="AB16" i="36" s="1"/>
  <c r="AU15" i="36"/>
  <c r="AS15" i="36"/>
  <c r="AP15" i="36"/>
  <c r="AA15" i="36"/>
  <c r="AD16" i="36" s="1"/>
  <c r="AP16" i="36" s="1"/>
  <c r="U15" i="36"/>
  <c r="L15" i="36"/>
  <c r="M15" i="36" s="1"/>
  <c r="N15" i="36" s="1"/>
  <c r="AU14" i="36"/>
  <c r="AS14" i="36"/>
  <c r="AN14" i="36"/>
  <c r="AE14" i="36"/>
  <c r="AB14" i="36"/>
  <c r="Y14" i="36"/>
  <c r="V14" i="36"/>
  <c r="U14" i="36"/>
  <c r="AU13" i="36"/>
  <c r="AS13" i="36"/>
  <c r="U13" i="36"/>
  <c r="L13" i="36"/>
  <c r="N13" i="36" s="1"/>
  <c r="AN13" i="36" s="1"/>
  <c r="Q13" i="36" s="1"/>
  <c r="AU12" i="36"/>
  <c r="AS12" i="36"/>
  <c r="U12" i="36"/>
  <c r="L12" i="36"/>
  <c r="N12" i="36" s="1"/>
  <c r="AE12" i="36" s="1"/>
  <c r="AU11" i="36"/>
  <c r="AS11" i="36"/>
  <c r="S11" i="36"/>
  <c r="U11" i="36" s="1"/>
  <c r="L11" i="36"/>
  <c r="N11" i="36" s="1"/>
  <c r="AU10" i="36"/>
  <c r="AS10" i="36"/>
  <c r="AP10" i="36"/>
  <c r="AA10" i="36"/>
  <c r="AG10" i="36" s="1"/>
  <c r="U10" i="36"/>
  <c r="L10" i="36"/>
  <c r="M10" i="36" s="1"/>
  <c r="N10" i="36" s="1"/>
  <c r="Y10" i="36" s="1"/>
  <c r="AU9" i="36"/>
  <c r="AS9" i="36"/>
  <c r="U9" i="36"/>
  <c r="N9" i="36"/>
  <c r="V9" i="36" s="1"/>
  <c r="AU8" i="36"/>
  <c r="AS8" i="36"/>
  <c r="U8" i="36"/>
  <c r="L8" i="36"/>
  <c r="N8" i="36" s="1"/>
  <c r="Y8" i="36" s="1"/>
  <c r="AU7" i="36"/>
  <c r="AS7" i="36"/>
  <c r="U7" i="36"/>
  <c r="L7" i="36"/>
  <c r="N7" i="36" s="1"/>
  <c r="AE7" i="36" s="1"/>
  <c r="AU6" i="36"/>
  <c r="AS6" i="36"/>
  <c r="S6" i="36"/>
  <c r="L6" i="36"/>
  <c r="N6" i="36" s="1"/>
  <c r="AU5" i="36"/>
  <c r="AS5" i="36"/>
  <c r="AP5" i="36"/>
  <c r="AA5" i="36"/>
  <c r="AJ5" i="36" s="1"/>
  <c r="U5" i="36"/>
  <c r="L5" i="36"/>
  <c r="M5" i="36" s="1"/>
  <c r="N5" i="36" s="1"/>
  <c r="I6" i="35"/>
  <c r="I7" i="35"/>
  <c r="I8" i="35"/>
  <c r="I9" i="35"/>
  <c r="I10" i="35"/>
  <c r="I11" i="35"/>
  <c r="K160" i="30"/>
  <c r="BE55" i="30" l="1"/>
  <c r="AP59" i="30"/>
  <c r="BE59" i="30"/>
  <c r="AE66" i="36"/>
  <c r="Y66" i="36"/>
  <c r="BE58" i="30"/>
  <c r="AP54" i="30"/>
  <c r="AK56" i="36"/>
  <c r="AH88" i="36"/>
  <c r="AK86" i="36"/>
  <c r="AK77" i="36"/>
  <c r="AH75" i="36"/>
  <c r="AH86" i="36"/>
  <c r="AH84" i="36"/>
  <c r="AH77" i="36"/>
  <c r="AK75" i="36"/>
  <c r="AK82" i="36"/>
  <c r="AH82" i="36"/>
  <c r="AK93" i="36"/>
  <c r="AK91" i="36"/>
  <c r="AH93" i="36"/>
  <c r="AH91" i="36"/>
  <c r="AH89" i="36"/>
  <c r="AK80" i="36"/>
  <c r="AK78" i="36"/>
  <c r="AK90" i="36"/>
  <c r="AH92" i="36"/>
  <c r="AK81" i="36"/>
  <c r="AH81" i="36"/>
  <c r="AH80" i="36"/>
  <c r="AH78" i="36"/>
  <c r="AK87" i="36"/>
  <c r="AK85" i="36"/>
  <c r="AH79" i="36"/>
  <c r="AK88" i="36"/>
  <c r="AH87" i="36"/>
  <c r="AK76" i="36"/>
  <c r="AH85" i="36"/>
  <c r="AK83" i="36"/>
  <c r="AH76" i="36"/>
  <c r="AH94" i="36"/>
  <c r="AH83" i="36"/>
  <c r="AK92" i="36"/>
  <c r="AH90" i="36"/>
  <c r="R91" i="36"/>
  <c r="AN91" i="36"/>
  <c r="V91" i="36"/>
  <c r="AE91" i="36"/>
  <c r="AB91" i="36"/>
  <c r="Q91" i="36"/>
  <c r="D92" i="31"/>
  <c r="L92" i="36"/>
  <c r="N92" i="36" s="1"/>
  <c r="BD88" i="36"/>
  <c r="BA56" i="30"/>
  <c r="AS56" i="30"/>
  <c r="AP56" i="30" s="1"/>
  <c r="AU56" i="30"/>
  <c r="AY56" i="30"/>
  <c r="AW56" i="30"/>
  <c r="S56" i="30"/>
  <c r="BE54" i="30"/>
  <c r="AB125" i="30"/>
  <c r="AQ125" i="30"/>
  <c r="AC175" i="30"/>
  <c r="V175" i="30"/>
  <c r="AO175" i="30"/>
  <c r="BA175" i="30" s="1"/>
  <c r="AF175" i="30"/>
  <c r="Z175" i="30"/>
  <c r="T175" i="30"/>
  <c r="D192" i="31"/>
  <c r="P97" i="30"/>
  <c r="R97" i="30" s="1"/>
  <c r="AO179" i="30"/>
  <c r="S179" i="30" s="1"/>
  <c r="AF179" i="30"/>
  <c r="AC179" i="30"/>
  <c r="Z179" i="30"/>
  <c r="V179" i="30"/>
  <c r="AF176" i="30"/>
  <c r="Z176" i="30"/>
  <c r="V176" i="30"/>
  <c r="T176" i="30"/>
  <c r="AO176" i="30"/>
  <c r="AC176" i="30"/>
  <c r="BA177" i="30"/>
  <c r="AY177" i="30"/>
  <c r="AS177" i="30"/>
  <c r="AP177" i="30"/>
  <c r="AW177" i="30"/>
  <c r="AU177" i="30"/>
  <c r="AB175" i="30"/>
  <c r="AQ175" i="30"/>
  <c r="AF178" i="30"/>
  <c r="AC178" i="30"/>
  <c r="V178" i="30"/>
  <c r="T178" i="30"/>
  <c r="Z178" i="30"/>
  <c r="AO178" i="30"/>
  <c r="S178" i="30" s="1"/>
  <c r="Z125" i="30"/>
  <c r="V125" i="30"/>
  <c r="AO125" i="30"/>
  <c r="S125" i="30" s="1"/>
  <c r="T125" i="30"/>
  <c r="AF125" i="30"/>
  <c r="AC125" i="30"/>
  <c r="AY128" i="30"/>
  <c r="BA128" i="30"/>
  <c r="AU128" i="30"/>
  <c r="AW128" i="30"/>
  <c r="AS128" i="30"/>
  <c r="AP128" i="30"/>
  <c r="AF126" i="30"/>
  <c r="AC126" i="30"/>
  <c r="Z126" i="30"/>
  <c r="AO126" i="30"/>
  <c r="S126" i="30" s="1"/>
  <c r="V128" i="30"/>
  <c r="U128" i="30"/>
  <c r="AT128" i="30"/>
  <c r="AY127" i="30"/>
  <c r="AW127" i="30"/>
  <c r="AU127" i="30"/>
  <c r="AP127" i="30"/>
  <c r="BA127" i="30"/>
  <c r="AS127" i="30"/>
  <c r="V108" i="30"/>
  <c r="T108" i="30"/>
  <c r="AO108" i="30"/>
  <c r="AF106" i="30"/>
  <c r="AC106" i="30"/>
  <c r="Z106" i="30"/>
  <c r="V106" i="30"/>
  <c r="AO106" i="30"/>
  <c r="S106" i="30" s="1"/>
  <c r="T106" i="30"/>
  <c r="AU107" i="30"/>
  <c r="AS107" i="30"/>
  <c r="AP107" i="30"/>
  <c r="BA107" i="30"/>
  <c r="AY107" i="30"/>
  <c r="AW107" i="30"/>
  <c r="V105" i="30"/>
  <c r="AF105" i="30"/>
  <c r="Z105" i="30"/>
  <c r="AO105" i="30"/>
  <c r="S105" i="30" s="1"/>
  <c r="AC105" i="30"/>
  <c r="T105" i="30"/>
  <c r="AU102" i="30"/>
  <c r="AS102" i="30"/>
  <c r="AP102" i="30"/>
  <c r="BA102" i="30"/>
  <c r="AY102" i="30"/>
  <c r="AW102" i="30"/>
  <c r="S102" i="30"/>
  <c r="AU92" i="30"/>
  <c r="AP92" i="30"/>
  <c r="AY92" i="30"/>
  <c r="AW92" i="30"/>
  <c r="BA92" i="30"/>
  <c r="AS92" i="30"/>
  <c r="AU87" i="30"/>
  <c r="AY87" i="30"/>
  <c r="AW87" i="30"/>
  <c r="BA87" i="30"/>
  <c r="AS87" i="30"/>
  <c r="AP87" i="30"/>
  <c r="AU82" i="30"/>
  <c r="AS82" i="30"/>
  <c r="AP82" i="30"/>
  <c r="AY82" i="30"/>
  <c r="BA82" i="30"/>
  <c r="AW82" i="30"/>
  <c r="S82" i="30"/>
  <c r="AP77" i="30"/>
  <c r="AW77" i="30"/>
  <c r="AS77" i="30"/>
  <c r="AY77" i="30"/>
  <c r="BA77" i="30"/>
  <c r="AU77" i="30"/>
  <c r="AP72" i="30"/>
  <c r="AU72" i="30"/>
  <c r="BA72" i="30"/>
  <c r="AY72" i="30"/>
  <c r="AW72" i="30"/>
  <c r="AS72" i="30"/>
  <c r="S72" i="30"/>
  <c r="AX19" i="36"/>
  <c r="AD52" i="36"/>
  <c r="AV19" i="36"/>
  <c r="AZ19" i="36"/>
  <c r="V52" i="36"/>
  <c r="AB17" i="36"/>
  <c r="AN17" i="36"/>
  <c r="AX17" i="36" s="1"/>
  <c r="AE27" i="36"/>
  <c r="Y27" i="36"/>
  <c r="R27" i="36"/>
  <c r="AE23" i="36"/>
  <c r="N58" i="36"/>
  <c r="AB58" i="36" s="1"/>
  <c r="AN52" i="36"/>
  <c r="Q52" i="36" s="1"/>
  <c r="AH28" i="36"/>
  <c r="R37" i="36"/>
  <c r="AD70" i="36"/>
  <c r="AR39" i="36"/>
  <c r="AK21" i="36"/>
  <c r="AT39" i="36"/>
  <c r="AX54" i="36"/>
  <c r="AD72" i="36"/>
  <c r="AD26" i="36"/>
  <c r="AP26" i="36" s="1"/>
  <c r="AZ54" i="36"/>
  <c r="AG62" i="36"/>
  <c r="AG72" i="36"/>
  <c r="AH57" i="36"/>
  <c r="AK38" i="36"/>
  <c r="AD50" i="36"/>
  <c r="AJ65" i="36"/>
  <c r="AK17" i="36"/>
  <c r="R23" i="36"/>
  <c r="AJ50" i="36"/>
  <c r="Y52" i="36"/>
  <c r="AK67" i="36"/>
  <c r="AK13" i="36"/>
  <c r="AH67" i="36"/>
  <c r="AK50" i="36"/>
  <c r="AG25" i="36"/>
  <c r="AB52" i="36"/>
  <c r="N70" i="36"/>
  <c r="Y70" i="36" s="1"/>
  <c r="Y20" i="36"/>
  <c r="Y12" i="36"/>
  <c r="AD48" i="36"/>
  <c r="AZ49" i="36"/>
  <c r="AE8" i="36"/>
  <c r="AD10" i="36"/>
  <c r="AB12" i="36"/>
  <c r="AN16" i="36"/>
  <c r="AV16" i="36" s="1"/>
  <c r="AN31" i="36"/>
  <c r="AO31" i="36" s="1"/>
  <c r="R41" i="36"/>
  <c r="AR54" i="36"/>
  <c r="AK63" i="36"/>
  <c r="AD68" i="36"/>
  <c r="AE9" i="36"/>
  <c r="V42" i="36"/>
  <c r="AB8" i="36"/>
  <c r="AE31" i="36"/>
  <c r="AK8" i="36"/>
  <c r="AN12" i="36"/>
  <c r="AR12" i="36" s="1"/>
  <c r="AD25" i="36"/>
  <c r="AV44" i="36"/>
  <c r="AK68" i="36"/>
  <c r="AX74" i="36"/>
  <c r="AT49" i="36"/>
  <c r="AO49" i="36" s="1"/>
  <c r="AT44" i="36"/>
  <c r="AO44" i="36" s="1"/>
  <c r="AZ69" i="36"/>
  <c r="AX29" i="36"/>
  <c r="Y41" i="36"/>
  <c r="AT54" i="36"/>
  <c r="AZ74" i="36"/>
  <c r="AT64" i="36"/>
  <c r="R12" i="36"/>
  <c r="Y42" i="36"/>
  <c r="AD63" i="36"/>
  <c r="AT74" i="36"/>
  <c r="AZ29" i="36"/>
  <c r="AD41" i="36"/>
  <c r="AP41" i="36" s="1"/>
  <c r="AD65" i="36"/>
  <c r="Y9" i="36"/>
  <c r="Y57" i="36"/>
  <c r="AN8" i="36"/>
  <c r="AR8" i="36" s="1"/>
  <c r="R32" i="36"/>
  <c r="AE41" i="36"/>
  <c r="AD45" i="36"/>
  <c r="AG45" i="36"/>
  <c r="AJ70" i="36"/>
  <c r="R42" i="36"/>
  <c r="AR59" i="36"/>
  <c r="AO59" i="36" s="1"/>
  <c r="R8" i="36"/>
  <c r="AV59" i="36"/>
  <c r="Y16" i="36"/>
  <c r="AB31" i="36"/>
  <c r="AB42" i="36"/>
  <c r="AV49" i="36"/>
  <c r="AD57" i="36"/>
  <c r="AG58" i="36"/>
  <c r="AX59" i="36"/>
  <c r="AV64" i="36"/>
  <c r="AR74" i="36"/>
  <c r="AR69" i="36"/>
  <c r="V8" i="36"/>
  <c r="V12" i="36"/>
  <c r="AD31" i="36"/>
  <c r="AP31" i="36" s="1"/>
  <c r="AN42" i="36"/>
  <c r="Q42" i="36" s="1"/>
  <c r="AX49" i="36"/>
  <c r="AZ59" i="36"/>
  <c r="AX69" i="36"/>
  <c r="AB18" i="36"/>
  <c r="Y18" i="36"/>
  <c r="V18" i="36"/>
  <c r="R18" i="36"/>
  <c r="AN18" i="36"/>
  <c r="AE18" i="36"/>
  <c r="AB43" i="36"/>
  <c r="R43" i="36"/>
  <c r="AE43" i="36"/>
  <c r="Y43" i="36"/>
  <c r="V43" i="36"/>
  <c r="AN43" i="36"/>
  <c r="AE38" i="36"/>
  <c r="Y38" i="36"/>
  <c r="AB38" i="36"/>
  <c r="AN38" i="36"/>
  <c r="V38" i="36"/>
  <c r="Y15" i="36"/>
  <c r="R15" i="36"/>
  <c r="AN15" i="36"/>
  <c r="AE15" i="36"/>
  <c r="AB15" i="36"/>
  <c r="V15" i="36"/>
  <c r="Y47" i="36"/>
  <c r="AN47" i="36"/>
  <c r="AE47" i="36"/>
  <c r="AB47" i="36"/>
  <c r="R47" i="36"/>
  <c r="V47" i="36"/>
  <c r="AE35" i="36"/>
  <c r="Y35" i="36"/>
  <c r="V35" i="36"/>
  <c r="AN35" i="36"/>
  <c r="AB35" i="36"/>
  <c r="R35" i="36"/>
  <c r="AV33" i="36"/>
  <c r="Q33" i="36"/>
  <c r="AX33" i="36"/>
  <c r="AT33" i="36"/>
  <c r="AR33" i="36"/>
  <c r="AZ33" i="36"/>
  <c r="AN26" i="36"/>
  <c r="AB26" i="36"/>
  <c r="Y26" i="36"/>
  <c r="V26" i="36"/>
  <c r="AE26" i="36"/>
  <c r="Y25" i="36"/>
  <c r="AE25" i="36"/>
  <c r="AN25" i="36"/>
  <c r="R25" i="36"/>
  <c r="AB25" i="36"/>
  <c r="V25" i="36"/>
  <c r="AV34" i="36"/>
  <c r="AZ34" i="36"/>
  <c r="AR34" i="36"/>
  <c r="AX34" i="36"/>
  <c r="AT34" i="36"/>
  <c r="AH66" i="36"/>
  <c r="AK62" i="36"/>
  <c r="AK58" i="36"/>
  <c r="AH69" i="36"/>
  <c r="AH51" i="36"/>
  <c r="AK47" i="36"/>
  <c r="AH43" i="36"/>
  <c r="AH13" i="36"/>
  <c r="AH5" i="36"/>
  <c r="AH72" i="36"/>
  <c r="AH62" i="36"/>
  <c r="AK60" i="36"/>
  <c r="AH70" i="36"/>
  <c r="AH42" i="36"/>
  <c r="AH40" i="36"/>
  <c r="AK15" i="36"/>
  <c r="AN6" i="36"/>
  <c r="AH74" i="36"/>
  <c r="AH54" i="36"/>
  <c r="AH45" i="36"/>
  <c r="AK73" i="36"/>
  <c r="AH73" i="36"/>
  <c r="AH68" i="36"/>
  <c r="AH63" i="36"/>
  <c r="AH61" i="36"/>
  <c r="AK66" i="36"/>
  <c r="AH59" i="36"/>
  <c r="AH50" i="36"/>
  <c r="AH38" i="36"/>
  <c r="AH34" i="36"/>
  <c r="AH33" i="36"/>
  <c r="AK27" i="36"/>
  <c r="AH24" i="36"/>
  <c r="AH22" i="36"/>
  <c r="AH17" i="36"/>
  <c r="AH14" i="36"/>
  <c r="AK57" i="36"/>
  <c r="AH39" i="36"/>
  <c r="AK37" i="36"/>
  <c r="AK32" i="36"/>
  <c r="AH27" i="36"/>
  <c r="AK48" i="36"/>
  <c r="AK31" i="36"/>
  <c r="AH21" i="36"/>
  <c r="AK16" i="36"/>
  <c r="AH12" i="36"/>
  <c r="AH8" i="36"/>
  <c r="AH71" i="36"/>
  <c r="AH56" i="36"/>
  <c r="AK42" i="36"/>
  <c r="AK30" i="36"/>
  <c r="AK20" i="36"/>
  <c r="AH65" i="36"/>
  <c r="AH47" i="36"/>
  <c r="AH44" i="36"/>
  <c r="AK6" i="36"/>
  <c r="AK40" i="36"/>
  <c r="AK28" i="36"/>
  <c r="AH10" i="36"/>
  <c r="AB6" i="36"/>
  <c r="AH64" i="36"/>
  <c r="AK51" i="36"/>
  <c r="AK35" i="36"/>
  <c r="AH30" i="36"/>
  <c r="AK25" i="36"/>
  <c r="AH20" i="36"/>
  <c r="AH15" i="36"/>
  <c r="AH6" i="36"/>
  <c r="AH58" i="36"/>
  <c r="AH19" i="36"/>
  <c r="AK61" i="36"/>
  <c r="AK41" i="36"/>
  <c r="AH25" i="36"/>
  <c r="AK10" i="36"/>
  <c r="AE6" i="36"/>
  <c r="AK23" i="36"/>
  <c r="AK18" i="36"/>
  <c r="AK55" i="36"/>
  <c r="AH41" i="36"/>
  <c r="AH35" i="36"/>
  <c r="AX13" i="36"/>
  <c r="R33" i="36"/>
  <c r="V22" i="36"/>
  <c r="AE22" i="36"/>
  <c r="Y22" i="36"/>
  <c r="AH26" i="36"/>
  <c r="U51" i="36"/>
  <c r="AK70" i="36"/>
  <c r="AD5" i="36"/>
  <c r="R21" i="36"/>
  <c r="AK22" i="36"/>
  <c r="AK26" i="36"/>
  <c r="AB32" i="36"/>
  <c r="Y32" i="36"/>
  <c r="AN32" i="36"/>
  <c r="AE32" i="36"/>
  <c r="AK45" i="36"/>
  <c r="N48" i="36"/>
  <c r="AD60" i="36"/>
  <c r="AG60" i="36"/>
  <c r="AK65" i="36"/>
  <c r="AN72" i="36"/>
  <c r="AB72" i="36"/>
  <c r="Y72" i="36"/>
  <c r="V72" i="36"/>
  <c r="AE72" i="36"/>
  <c r="R72" i="36"/>
  <c r="AN22" i="36"/>
  <c r="AH53" i="36"/>
  <c r="AH60" i="36"/>
  <c r="AE17" i="36"/>
  <c r="Y17" i="36"/>
  <c r="AH29" i="36"/>
  <c r="AH52" i="36"/>
  <c r="AK53" i="36"/>
  <c r="AN45" i="36"/>
  <c r="AB45" i="36"/>
  <c r="Y45" i="36"/>
  <c r="V45" i="36"/>
  <c r="AK7" i="36"/>
  <c r="AH16" i="36"/>
  <c r="AH18" i="36"/>
  <c r="AK36" i="36"/>
  <c r="R17" i="36"/>
  <c r="AG35" i="36"/>
  <c r="AJ35" i="36"/>
  <c r="AD35" i="36"/>
  <c r="AK43" i="36"/>
  <c r="AK52" i="36"/>
  <c r="M56" i="36"/>
  <c r="N56" i="36" s="1"/>
  <c r="Y56" i="36" s="1"/>
  <c r="AE63" i="36"/>
  <c r="AB63" i="36"/>
  <c r="Y63" i="36"/>
  <c r="V63" i="36"/>
  <c r="V11" i="36"/>
  <c r="AB11" i="36"/>
  <c r="Y11" i="36"/>
  <c r="R11" i="36"/>
  <c r="AB33" i="36"/>
  <c r="AE33" i="36"/>
  <c r="V33" i="36"/>
  <c r="R45" i="36"/>
  <c r="AB61" i="36"/>
  <c r="V61" i="36"/>
  <c r="AE61" i="36"/>
  <c r="AN61" i="36"/>
  <c r="AH7" i="36"/>
  <c r="R52" i="36"/>
  <c r="U52" i="36"/>
  <c r="AG5" i="36"/>
  <c r="AD6" i="36"/>
  <c r="AP6" i="36" s="1"/>
  <c r="AN11" i="36"/>
  <c r="AB22" i="36"/>
  <c r="R13" i="36"/>
  <c r="AE13" i="36"/>
  <c r="V13" i="36"/>
  <c r="AZ14" i="36"/>
  <c r="AX14" i="36"/>
  <c r="AV14" i="36"/>
  <c r="AR14" i="36"/>
  <c r="AT14" i="36"/>
  <c r="AH36" i="36"/>
  <c r="Y28" i="36"/>
  <c r="AB28" i="36"/>
  <c r="V28" i="36"/>
  <c r="R28" i="36"/>
  <c r="AN28" i="36"/>
  <c r="AH9" i="36"/>
  <c r="AB20" i="36"/>
  <c r="V20" i="36"/>
  <c r="AE20" i="36"/>
  <c r="Y13" i="36"/>
  <c r="R20" i="36"/>
  <c r="V32" i="36"/>
  <c r="R38" i="36"/>
  <c r="U38" i="36"/>
  <c r="Y62" i="36"/>
  <c r="AB62" i="36"/>
  <c r="R62" i="36"/>
  <c r="AN62" i="36"/>
  <c r="Q62" i="36" s="1"/>
  <c r="AE62" i="36"/>
  <c r="Q63" i="36"/>
  <c r="AX20" i="36"/>
  <c r="AR20" i="36"/>
  <c r="Q20" i="36"/>
  <c r="AV20" i="36"/>
  <c r="AT20" i="36"/>
  <c r="U65" i="36"/>
  <c r="Y5" i="36"/>
  <c r="AB5" i="36"/>
  <c r="R10" i="36"/>
  <c r="AN21" i="36"/>
  <c r="Y21" i="36"/>
  <c r="AE5" i="36"/>
  <c r="V21" i="36"/>
  <c r="AH49" i="36"/>
  <c r="AN5" i="36"/>
  <c r="AB13" i="36"/>
  <c r="AE16" i="36"/>
  <c r="V16" i="36"/>
  <c r="R16" i="36"/>
  <c r="V17" i="36"/>
  <c r="AE21" i="36"/>
  <c r="AN23" i="36"/>
  <c r="AB23" i="36"/>
  <c r="Y23" i="36"/>
  <c r="AX24" i="36"/>
  <c r="AZ24" i="36"/>
  <c r="AV24" i="36"/>
  <c r="AT24" i="36"/>
  <c r="AO24" i="36" s="1"/>
  <c r="AE28" i="36"/>
  <c r="AH32" i="36"/>
  <c r="V55" i="36"/>
  <c r="AB55" i="36"/>
  <c r="AN55" i="36"/>
  <c r="Q55" i="36" s="1"/>
  <c r="AN66" i="36"/>
  <c r="Q66" i="36" s="1"/>
  <c r="AB66" i="36"/>
  <c r="V66" i="36"/>
  <c r="R66" i="36"/>
  <c r="AN7" i="36"/>
  <c r="V7" i="36"/>
  <c r="AB7" i="36"/>
  <c r="Y7" i="36"/>
  <c r="R7" i="36"/>
  <c r="AZ13" i="36"/>
  <c r="AV13" i="36"/>
  <c r="AR13" i="36"/>
  <c r="AT13" i="36"/>
  <c r="AJ20" i="36"/>
  <c r="AG20" i="36"/>
  <c r="AD20" i="36"/>
  <c r="AE37" i="36"/>
  <c r="AB37" i="36"/>
  <c r="AN37" i="36"/>
  <c r="Y37" i="36"/>
  <c r="AZ41" i="36"/>
  <c r="AT41" i="36"/>
  <c r="Q41" i="36"/>
  <c r="AX41" i="36"/>
  <c r="AO41" i="36"/>
  <c r="AH48" i="36"/>
  <c r="AG67" i="36"/>
  <c r="U71" i="36"/>
  <c r="AK72" i="36"/>
  <c r="N30" i="36"/>
  <c r="AO20" i="36"/>
  <c r="R55" i="36"/>
  <c r="AR63" i="36"/>
  <c r="AZ63" i="36"/>
  <c r="AV63" i="36"/>
  <c r="AO63" i="36"/>
  <c r="AX63" i="36"/>
  <c r="AT63" i="36"/>
  <c r="AK71" i="36"/>
  <c r="AJ15" i="36"/>
  <c r="AG15" i="36"/>
  <c r="AD15" i="36"/>
  <c r="AH31" i="36"/>
  <c r="U40" i="36"/>
  <c r="R6" i="36"/>
  <c r="U6" i="36"/>
  <c r="AE11" i="36"/>
  <c r="AH37" i="36"/>
  <c r="AG40" i="36"/>
  <c r="AD40" i="36"/>
  <c r="AR41" i="36"/>
  <c r="AH46" i="36"/>
  <c r="AH55" i="36"/>
  <c r="AE10" i="36"/>
  <c r="AB10" i="36"/>
  <c r="V10" i="36"/>
  <c r="AN10" i="36"/>
  <c r="AK12" i="36"/>
  <c r="AH23" i="36"/>
  <c r="V37" i="36"/>
  <c r="Y36" i="36"/>
  <c r="AN36" i="36"/>
  <c r="AB36" i="36"/>
  <c r="V36" i="36"/>
  <c r="R36" i="36"/>
  <c r="AE55" i="36"/>
  <c r="V6" i="36"/>
  <c r="AH11" i="36"/>
  <c r="AZ20" i="36"/>
  <c r="R22" i="36"/>
  <c r="Y33" i="36"/>
  <c r="V5" i="36"/>
  <c r="Y6" i="36"/>
  <c r="AN9" i="36"/>
  <c r="AB9" i="36"/>
  <c r="AD11" i="36"/>
  <c r="AP11" i="36" s="1"/>
  <c r="AJ10" i="36"/>
  <c r="AK11" i="36"/>
  <c r="AK33" i="36"/>
  <c r="AE45" i="36"/>
  <c r="AK46" i="36"/>
  <c r="N51" i="36"/>
  <c r="V73" i="36"/>
  <c r="AN73" i="36"/>
  <c r="AE73" i="36"/>
  <c r="Y73" i="36"/>
  <c r="R73" i="36"/>
  <c r="M68" i="36"/>
  <c r="N68" i="36" s="1"/>
  <c r="R26" i="36"/>
  <c r="AN57" i="36"/>
  <c r="AE57" i="36"/>
  <c r="AR19" i="36"/>
  <c r="AO19" i="36" s="1"/>
  <c r="U26" i="36"/>
  <c r="AR29" i="36"/>
  <c r="AO29" i="36" s="1"/>
  <c r="AG30" i="36"/>
  <c r="R31" i="36"/>
  <c r="U48" i="36"/>
  <c r="N50" i="36"/>
  <c r="R50" i="36" s="1"/>
  <c r="N53" i="36"/>
  <c r="R53" i="36" s="1"/>
  <c r="R57" i="36"/>
  <c r="R67" i="36"/>
  <c r="AE67" i="36"/>
  <c r="AN67" i="36"/>
  <c r="Q67" i="36" s="1"/>
  <c r="AB67" i="36"/>
  <c r="V67" i="36"/>
  <c r="R63" i="36"/>
  <c r="U63" i="36"/>
  <c r="AJ30" i="36"/>
  <c r="N40" i="36"/>
  <c r="V57" i="36"/>
  <c r="AR64" i="36"/>
  <c r="AX64" i="36"/>
  <c r="AN27" i="36"/>
  <c r="V27" i="36"/>
  <c r="AV29" i="36"/>
  <c r="Y31" i="36"/>
  <c r="AZ44" i="36"/>
  <c r="AX44" i="36"/>
  <c r="N46" i="36"/>
  <c r="N60" i="36"/>
  <c r="Y67" i="36"/>
  <c r="AB27" i="36"/>
  <c r="AB41" i="36"/>
  <c r="V41" i="36"/>
  <c r="AG55" i="36"/>
  <c r="AD55" i="36"/>
  <c r="U61" i="36"/>
  <c r="R61" i="36"/>
  <c r="AX39" i="36"/>
  <c r="AV39" i="36"/>
  <c r="AG47" i="36"/>
  <c r="AG48" i="36"/>
  <c r="AG53" i="36"/>
  <c r="N71" i="36"/>
  <c r="AT69" i="36"/>
  <c r="N65" i="36"/>
  <c r="R65" i="36" s="1"/>
  <c r="I26" i="35"/>
  <c r="I13" i="35"/>
  <c r="I12" i="35"/>
  <c r="I15" i="35"/>
  <c r="I19" i="35"/>
  <c r="I14" i="35"/>
  <c r="I5" i="35"/>
  <c r="G19" i="35"/>
  <c r="G18" i="35"/>
  <c r="G17" i="35"/>
  <c r="G16" i="35"/>
  <c r="G15" i="35"/>
  <c r="G14" i="35"/>
  <c r="G13" i="35"/>
  <c r="G12" i="35"/>
  <c r="M45" i="30"/>
  <c r="L45" i="30"/>
  <c r="K45" i="30"/>
  <c r="M40" i="30"/>
  <c r="L40" i="30"/>
  <c r="K40" i="30"/>
  <c r="M35" i="30"/>
  <c r="L35" i="30"/>
  <c r="K35" i="30"/>
  <c r="AV44" i="30"/>
  <c r="AT44" i="30"/>
  <c r="AV43" i="30"/>
  <c r="AT43" i="30"/>
  <c r="AB43" i="30"/>
  <c r="W43" i="30"/>
  <c r="U43" i="30"/>
  <c r="AV42" i="30"/>
  <c r="AT42" i="30"/>
  <c r="U42" i="30"/>
  <c r="R42" i="30"/>
  <c r="AV41" i="30"/>
  <c r="AT41" i="30"/>
  <c r="AE41" i="30"/>
  <c r="AE43" i="30" s="1"/>
  <c r="W40" i="30" s="1"/>
  <c r="AB40" i="30" s="1"/>
  <c r="U41" i="30"/>
  <c r="AV40" i="30"/>
  <c r="AT40" i="30"/>
  <c r="U40" i="30"/>
  <c r="AV49" i="30"/>
  <c r="AT49" i="30"/>
  <c r="AV48" i="30"/>
  <c r="AT48" i="30"/>
  <c r="AB48" i="30"/>
  <c r="W48" i="30"/>
  <c r="U48" i="30"/>
  <c r="AV47" i="30"/>
  <c r="AT47" i="30"/>
  <c r="U47" i="30"/>
  <c r="R47" i="30"/>
  <c r="AV46" i="30"/>
  <c r="AT46" i="30"/>
  <c r="AE46" i="30"/>
  <c r="AE48" i="30" s="1"/>
  <c r="W45" i="30" s="1"/>
  <c r="AB45" i="30" s="1"/>
  <c r="U46" i="30"/>
  <c r="AV45" i="30"/>
  <c r="AT45" i="30"/>
  <c r="U45" i="30"/>
  <c r="AV39" i="30"/>
  <c r="AT39" i="30"/>
  <c r="AV38" i="30"/>
  <c r="AT38" i="30"/>
  <c r="AB38" i="30"/>
  <c r="W38" i="30"/>
  <c r="U38" i="30"/>
  <c r="AV37" i="30"/>
  <c r="AT37" i="30"/>
  <c r="U37" i="30"/>
  <c r="R37" i="30"/>
  <c r="AV36" i="30"/>
  <c r="AT36" i="30"/>
  <c r="AE38" i="30"/>
  <c r="W35" i="30" s="1"/>
  <c r="AB35" i="30" s="1"/>
  <c r="U36" i="30"/>
  <c r="AV35" i="30"/>
  <c r="AT35" i="30"/>
  <c r="U35" i="30"/>
  <c r="M30" i="30"/>
  <c r="L30" i="30"/>
  <c r="K30" i="30"/>
  <c r="M25" i="30"/>
  <c r="L25" i="30"/>
  <c r="K25" i="30"/>
  <c r="M20" i="30"/>
  <c r="L20" i="30"/>
  <c r="K20" i="30"/>
  <c r="K15" i="30"/>
  <c r="K5" i="30"/>
  <c r="M10" i="30"/>
  <c r="L10" i="30"/>
  <c r="K10" i="30"/>
  <c r="M15" i="30"/>
  <c r="L15" i="30"/>
  <c r="D34" i="35"/>
  <c r="D35" i="35"/>
  <c r="D36" i="35"/>
  <c r="D37" i="35"/>
  <c r="D25" i="35"/>
  <c r="D26" i="35"/>
  <c r="D27" i="35"/>
  <c r="D28" i="35"/>
  <c r="D29" i="35"/>
  <c r="D30" i="35"/>
  <c r="D31" i="35"/>
  <c r="D32" i="35"/>
  <c r="D33" i="35"/>
  <c r="A26" i="14"/>
  <c r="D104" i="31"/>
  <c r="D105" i="31" s="1"/>
  <c r="D106" i="31" s="1"/>
  <c r="D107" i="31" s="1"/>
  <c r="D108" i="31" s="1"/>
  <c r="D94" i="31"/>
  <c r="D109" i="31"/>
  <c r="D110" i="31" s="1"/>
  <c r="D111" i="31" s="1"/>
  <c r="D112" i="31" s="1"/>
  <c r="T37" i="30" l="1"/>
  <c r="AH40" i="30"/>
  <c r="AE40" i="30"/>
  <c r="AK40" i="30"/>
  <c r="AK45" i="30"/>
  <c r="AH45" i="30"/>
  <c r="AE45" i="30"/>
  <c r="AK35" i="30"/>
  <c r="AH35" i="30"/>
  <c r="AE35" i="30"/>
  <c r="P9" i="30"/>
  <c r="P64" i="30" s="1"/>
  <c r="P8" i="30"/>
  <c r="P63" i="30" s="1"/>
  <c r="P7" i="30"/>
  <c r="P62" i="30" s="1"/>
  <c r="P6" i="30"/>
  <c r="P61" i="30" s="1"/>
  <c r="P5" i="30"/>
  <c r="P60" i="30" s="1"/>
  <c r="R71" i="36"/>
  <c r="Y71" i="36"/>
  <c r="R51" i="36"/>
  <c r="Y51" i="36"/>
  <c r="AH41" i="30"/>
  <c r="AH43" i="30" s="1"/>
  <c r="AH46" i="30"/>
  <c r="AH48" i="30" s="1"/>
  <c r="AH36" i="30"/>
  <c r="AH38" i="30" s="1"/>
  <c r="AN92" i="36"/>
  <c r="Q92" i="36" s="1"/>
  <c r="R92" i="36"/>
  <c r="AE92" i="36"/>
  <c r="AB92" i="36"/>
  <c r="V92" i="36"/>
  <c r="Y92" i="36"/>
  <c r="D93" i="31"/>
  <c r="L94" i="36" s="1"/>
  <c r="L93" i="36"/>
  <c r="N93" i="36" s="1"/>
  <c r="AX91" i="36"/>
  <c r="AV91" i="36"/>
  <c r="AT91" i="36"/>
  <c r="AO91" i="36"/>
  <c r="AZ91" i="36"/>
  <c r="AR91" i="36"/>
  <c r="BE56" i="30"/>
  <c r="X13" i="30"/>
  <c r="X11" i="30"/>
  <c r="X8" i="30"/>
  <c r="X6" i="30"/>
  <c r="X18" i="30"/>
  <c r="X16" i="30"/>
  <c r="T42" i="30"/>
  <c r="AP175" i="30"/>
  <c r="D113" i="31"/>
  <c r="R112" i="31"/>
  <c r="AU175" i="30"/>
  <c r="S175" i="30"/>
  <c r="AW175" i="30"/>
  <c r="AE125" i="30"/>
  <c r="AH125" i="30"/>
  <c r="AK125" i="30"/>
  <c r="AS175" i="30"/>
  <c r="BE127" i="30"/>
  <c r="AY175" i="30"/>
  <c r="T97" i="30"/>
  <c r="AC97" i="30"/>
  <c r="Z97" i="30"/>
  <c r="V97" i="30"/>
  <c r="AF97" i="30"/>
  <c r="AO97" i="30"/>
  <c r="D193" i="31"/>
  <c r="BE177" i="30"/>
  <c r="BA176" i="30"/>
  <c r="AY176" i="30"/>
  <c r="AP176" i="30"/>
  <c r="AW176" i="30"/>
  <c r="AU176" i="30"/>
  <c r="AS176" i="30"/>
  <c r="S176" i="30"/>
  <c r="AH175" i="30"/>
  <c r="AK175" i="30"/>
  <c r="AE175" i="30"/>
  <c r="AH176" i="30"/>
  <c r="AH178" i="30" s="1"/>
  <c r="BA178" i="30"/>
  <c r="AY178" i="30"/>
  <c r="AW178" i="30"/>
  <c r="AU178" i="30"/>
  <c r="AS178" i="30"/>
  <c r="AP178" i="30"/>
  <c r="BA179" i="30"/>
  <c r="AY179" i="30"/>
  <c r="AS179" i="30"/>
  <c r="AW179" i="30"/>
  <c r="AU179" i="30"/>
  <c r="T128" i="30"/>
  <c r="BE128" i="30"/>
  <c r="U126" i="30"/>
  <c r="AT126" i="30"/>
  <c r="V126" i="30"/>
  <c r="AY125" i="30"/>
  <c r="AW125" i="30"/>
  <c r="AU125" i="30"/>
  <c r="AS125" i="30"/>
  <c r="BA125" i="30"/>
  <c r="AP125" i="30"/>
  <c r="AY126" i="30"/>
  <c r="AW126" i="30"/>
  <c r="AU126" i="30"/>
  <c r="BA126" i="30"/>
  <c r="AS126" i="30"/>
  <c r="AP126" i="30"/>
  <c r="BE107" i="30"/>
  <c r="AU105" i="30"/>
  <c r="AS105" i="30"/>
  <c r="AW105" i="30"/>
  <c r="AP105" i="30"/>
  <c r="BA105" i="30"/>
  <c r="AY105" i="30"/>
  <c r="AY106" i="30"/>
  <c r="AW106" i="30"/>
  <c r="AS106" i="30"/>
  <c r="AP106" i="30"/>
  <c r="AU106" i="30"/>
  <c r="BA106" i="30"/>
  <c r="AW108" i="30"/>
  <c r="AU108" i="30"/>
  <c r="AS108" i="30"/>
  <c r="AP108" i="30"/>
  <c r="BA108" i="30"/>
  <c r="AY108" i="30"/>
  <c r="S108" i="30"/>
  <c r="BE102" i="30"/>
  <c r="BE87" i="30"/>
  <c r="BE92" i="30"/>
  <c r="BE82" i="30"/>
  <c r="BE77" i="30"/>
  <c r="BE72" i="30"/>
  <c r="AO42" i="30"/>
  <c r="BA42" i="30" s="1"/>
  <c r="T47" i="30"/>
  <c r="AE58" i="36"/>
  <c r="AV12" i="36"/>
  <c r="AX52" i="36"/>
  <c r="AR52" i="36"/>
  <c r="AR42" i="36"/>
  <c r="AO52" i="36"/>
  <c r="AV52" i="36"/>
  <c r="Q16" i="36"/>
  <c r="AX16" i="36"/>
  <c r="AO16" i="36"/>
  <c r="AZ52" i="36"/>
  <c r="V58" i="36"/>
  <c r="AT52" i="36"/>
  <c r="R70" i="36"/>
  <c r="V70" i="36"/>
  <c r="AZ16" i="36"/>
  <c r="AT17" i="36"/>
  <c r="AR17" i="36"/>
  <c r="Y58" i="36"/>
  <c r="Q17" i="36"/>
  <c r="AV17" i="36"/>
  <c r="AZ17" i="36"/>
  <c r="AE70" i="36"/>
  <c r="R58" i="36"/>
  <c r="AV42" i="36"/>
  <c r="AZ42" i="36"/>
  <c r="AN58" i="36"/>
  <c r="Q58" i="36" s="1"/>
  <c r="AV31" i="36"/>
  <c r="AO39" i="36"/>
  <c r="AZ8" i="36"/>
  <c r="AX31" i="36"/>
  <c r="AB70" i="36"/>
  <c r="AN70" i="36"/>
  <c r="AX42" i="36"/>
  <c r="Q31" i="36"/>
  <c r="AT31" i="36"/>
  <c r="AR31" i="36"/>
  <c r="AO33" i="36"/>
  <c r="AR16" i="36"/>
  <c r="AT16" i="36"/>
  <c r="AT42" i="36"/>
  <c r="AT12" i="36"/>
  <c r="AO12" i="36" s="1"/>
  <c r="AZ31" i="36"/>
  <c r="AO69" i="36"/>
  <c r="AT8" i="36"/>
  <c r="AO8" i="36" s="1"/>
  <c r="AX12" i="36"/>
  <c r="AO14" i="36"/>
  <c r="AV8" i="36"/>
  <c r="AO74" i="36"/>
  <c r="AO64" i="36"/>
  <c r="Q12" i="36"/>
  <c r="AX8" i="36"/>
  <c r="AZ12" i="36"/>
  <c r="Q8" i="36"/>
  <c r="AO54" i="36"/>
  <c r="AO13" i="36"/>
  <c r="AN56" i="36"/>
  <c r="Q56" i="36" s="1"/>
  <c r="AE56" i="36"/>
  <c r="V56" i="36"/>
  <c r="AB56" i="36"/>
  <c r="R56" i="36"/>
  <c r="AN68" i="36"/>
  <c r="Q68" i="36" s="1"/>
  <c r="Y68" i="36"/>
  <c r="V68" i="36"/>
  <c r="R68" i="36"/>
  <c r="AE68" i="36"/>
  <c r="AB68" i="36"/>
  <c r="AE51" i="36"/>
  <c r="V51" i="36"/>
  <c r="AN51" i="36"/>
  <c r="AB51" i="36"/>
  <c r="BD20" i="36"/>
  <c r="BD13" i="36"/>
  <c r="AV66" i="36"/>
  <c r="AZ66" i="36"/>
  <c r="AR66" i="36"/>
  <c r="AX66" i="36"/>
  <c r="AT66" i="36"/>
  <c r="AO66" i="36"/>
  <c r="AV72" i="36"/>
  <c r="AO72" i="36"/>
  <c r="AZ72" i="36"/>
  <c r="AX72" i="36"/>
  <c r="AT72" i="36"/>
  <c r="AR72" i="36"/>
  <c r="Q72" i="36"/>
  <c r="AT9" i="36"/>
  <c r="AZ9" i="36"/>
  <c r="AX9" i="36"/>
  <c r="AV9" i="36"/>
  <c r="AR9" i="36"/>
  <c r="AZ27" i="36"/>
  <c r="AX27" i="36"/>
  <c r="AV27" i="36"/>
  <c r="AT27" i="36"/>
  <c r="AR27" i="36"/>
  <c r="Q27" i="36"/>
  <c r="AE48" i="36"/>
  <c r="Y48" i="36"/>
  <c r="V48" i="36"/>
  <c r="AB48" i="36"/>
  <c r="AN48" i="36"/>
  <c r="AT15" i="36"/>
  <c r="AZ15" i="36"/>
  <c r="AO15" i="36"/>
  <c r="Q15" i="36"/>
  <c r="AR15" i="36"/>
  <c r="AX15" i="36"/>
  <c r="AV15" i="36"/>
  <c r="AB40" i="36"/>
  <c r="Y40" i="36"/>
  <c r="AN40" i="36"/>
  <c r="AE40" i="36"/>
  <c r="V40" i="36"/>
  <c r="AV73" i="36"/>
  <c r="AT73" i="36"/>
  <c r="AO73" i="36"/>
  <c r="AZ73" i="36"/>
  <c r="AX73" i="36"/>
  <c r="AR73" i="36"/>
  <c r="Q73" i="36"/>
  <c r="AT28" i="36"/>
  <c r="AR28" i="36"/>
  <c r="AX28" i="36"/>
  <c r="AV28" i="36"/>
  <c r="Q28" i="36"/>
  <c r="AZ28" i="36"/>
  <c r="AV23" i="36"/>
  <c r="AW20" i="36"/>
  <c r="AT23" i="36"/>
  <c r="AR23" i="36"/>
  <c r="AX23" i="36"/>
  <c r="Q23" i="36"/>
  <c r="AT55" i="36"/>
  <c r="AZ55" i="36"/>
  <c r="AR55" i="36"/>
  <c r="AO55" i="36"/>
  <c r="AX55" i="36"/>
  <c r="AV55" i="36"/>
  <c r="AX25" i="36"/>
  <c r="AZ25" i="36"/>
  <c r="AO25" i="36"/>
  <c r="Q25" i="36"/>
  <c r="AT25" i="36"/>
  <c r="AR25" i="36"/>
  <c r="AV25" i="36"/>
  <c r="AZ43" i="36"/>
  <c r="AX43" i="36"/>
  <c r="AV43" i="36"/>
  <c r="Q43" i="36"/>
  <c r="AT43" i="36"/>
  <c r="AR43" i="36"/>
  <c r="AX5" i="36"/>
  <c r="AT5" i="36"/>
  <c r="AO5" i="36"/>
  <c r="AR5" i="36"/>
  <c r="Q5" i="36"/>
  <c r="AV5" i="36"/>
  <c r="AZ5" i="36"/>
  <c r="BD63" i="36"/>
  <c r="AN65" i="36"/>
  <c r="Q65" i="36" s="1"/>
  <c r="AB65" i="36"/>
  <c r="V65" i="36"/>
  <c r="AE65" i="36"/>
  <c r="Y65" i="36"/>
  <c r="AB46" i="36"/>
  <c r="V46" i="36"/>
  <c r="AE46" i="36"/>
  <c r="Y46" i="36"/>
  <c r="AN46" i="36"/>
  <c r="Q46" i="36" s="1"/>
  <c r="R46" i="36"/>
  <c r="AR61" i="36"/>
  <c r="AZ61" i="36"/>
  <c r="AV61" i="36"/>
  <c r="AO61" i="36"/>
  <c r="AX61" i="36"/>
  <c r="AT61" i="36"/>
  <c r="Q35" i="36"/>
  <c r="AZ35" i="36"/>
  <c r="AX35" i="36"/>
  <c r="AO35" i="36"/>
  <c r="AR35" i="36"/>
  <c r="AT35" i="36"/>
  <c r="AV35" i="36"/>
  <c r="AZ47" i="36"/>
  <c r="AX47" i="36"/>
  <c r="AV47" i="36"/>
  <c r="AT47" i="36"/>
  <c r="AR47" i="36"/>
  <c r="AO47" i="36"/>
  <c r="AZ6" i="36"/>
  <c r="AO6" i="36"/>
  <c r="Q6" i="36"/>
  <c r="AX6" i="36"/>
  <c r="AV6" i="36"/>
  <c r="AT6" i="36"/>
  <c r="AR6" i="36"/>
  <c r="Q47" i="36"/>
  <c r="AR18" i="36"/>
  <c r="AT18" i="36"/>
  <c r="Q18" i="36"/>
  <c r="AZ18" i="36"/>
  <c r="AV18" i="36"/>
  <c r="AX18" i="36"/>
  <c r="AN53" i="36"/>
  <c r="Q53" i="36" s="1"/>
  <c r="AE53" i="36"/>
  <c r="AB53" i="36"/>
  <c r="Y53" i="36"/>
  <c r="V53" i="36"/>
  <c r="AE30" i="36"/>
  <c r="AB30" i="36"/>
  <c r="Y30" i="36"/>
  <c r="V30" i="36"/>
  <c r="R30" i="36"/>
  <c r="AN30" i="36"/>
  <c r="BD41" i="36"/>
  <c r="AR7" i="36"/>
  <c r="AZ7" i="36"/>
  <c r="Q7" i="36"/>
  <c r="AT7" i="36"/>
  <c r="AX7" i="36"/>
  <c r="AV7" i="36"/>
  <c r="Q61" i="36"/>
  <c r="AT22" i="36"/>
  <c r="AX22" i="36"/>
  <c r="AV22" i="36"/>
  <c r="AR22" i="36"/>
  <c r="Q22" i="36"/>
  <c r="AW18" i="36"/>
  <c r="AX38" i="36"/>
  <c r="AV38" i="36"/>
  <c r="Q38" i="36"/>
  <c r="AZ38" i="36"/>
  <c r="AT38" i="36"/>
  <c r="AR38" i="36"/>
  <c r="AE60" i="36"/>
  <c r="Y60" i="36"/>
  <c r="V60" i="36"/>
  <c r="AB60" i="36"/>
  <c r="AN60" i="36"/>
  <c r="Q60" i="36" s="1"/>
  <c r="R60" i="36"/>
  <c r="V50" i="36"/>
  <c r="AN50" i="36"/>
  <c r="Y50" i="36"/>
  <c r="AE50" i="36"/>
  <c r="AB50" i="36"/>
  <c r="AO10" i="36"/>
  <c r="AX10" i="36"/>
  <c r="AR10" i="36"/>
  <c r="AZ10" i="36"/>
  <c r="AV10" i="36"/>
  <c r="AT10" i="36"/>
  <c r="Q10" i="36"/>
  <c r="AR45" i="36"/>
  <c r="AZ45" i="36"/>
  <c r="AX45" i="36"/>
  <c r="AV45" i="36"/>
  <c r="AT45" i="36"/>
  <c r="AO45" i="36"/>
  <c r="AN71" i="36"/>
  <c r="Q71" i="36" s="1"/>
  <c r="AE71" i="36"/>
  <c r="AB71" i="36"/>
  <c r="V71" i="36"/>
  <c r="AV57" i="36"/>
  <c r="AT57" i="36"/>
  <c r="AO57" i="36"/>
  <c r="AZ57" i="36"/>
  <c r="AX57" i="36"/>
  <c r="AR57" i="36"/>
  <c r="AZ37" i="36"/>
  <c r="Q37" i="36"/>
  <c r="AX37" i="36"/>
  <c r="AV37" i="36"/>
  <c r="AT37" i="36"/>
  <c r="AR37" i="36"/>
  <c r="Q45" i="36"/>
  <c r="AR67" i="36"/>
  <c r="AZ67" i="36"/>
  <c r="AX67" i="36"/>
  <c r="AT67" i="36"/>
  <c r="AO67" i="36"/>
  <c r="AV67" i="36"/>
  <c r="AR36" i="36"/>
  <c r="AV36" i="36"/>
  <c r="AZ36" i="36"/>
  <c r="AX36" i="36"/>
  <c r="Q36" i="36"/>
  <c r="AT36" i="36"/>
  <c r="AO36" i="36"/>
  <c r="AR26" i="36"/>
  <c r="AO26" i="36"/>
  <c r="Q26" i="36"/>
  <c r="AZ26" i="36"/>
  <c r="AX26" i="36"/>
  <c r="AV26" i="36"/>
  <c r="AT26" i="36"/>
  <c r="BD33" i="36"/>
  <c r="AX62" i="36"/>
  <c r="AO62" i="36"/>
  <c r="AV62" i="36"/>
  <c r="AR62" i="36"/>
  <c r="AT62" i="36"/>
  <c r="AZ62" i="36"/>
  <c r="Q57" i="36"/>
  <c r="AR32" i="36"/>
  <c r="Q32" i="36"/>
  <c r="AZ32" i="36"/>
  <c r="AT32" i="36"/>
  <c r="AX32" i="36"/>
  <c r="AV32" i="36"/>
  <c r="AO34" i="36"/>
  <c r="R48" i="36"/>
  <c r="R40" i="36"/>
  <c r="AO21" i="36"/>
  <c r="AZ21" i="36"/>
  <c r="AT21" i="36"/>
  <c r="AX21" i="36"/>
  <c r="AV21" i="36"/>
  <c r="Q21" i="36"/>
  <c r="AR21" i="36"/>
  <c r="AZ11" i="36"/>
  <c r="AR11" i="36"/>
  <c r="AT11" i="36"/>
  <c r="AO11" i="36"/>
  <c r="AX11" i="36"/>
  <c r="AV11" i="36"/>
  <c r="Q11" i="36"/>
  <c r="V42" i="30"/>
  <c r="Z42" i="30"/>
  <c r="AC42" i="30"/>
  <c r="AF42" i="30"/>
  <c r="AO47" i="30"/>
  <c r="AY47" i="30" s="1"/>
  <c r="V47" i="30"/>
  <c r="Z47" i="30"/>
  <c r="AF47" i="30"/>
  <c r="AC47" i="30"/>
  <c r="AC37" i="30"/>
  <c r="AF37" i="30"/>
  <c r="Z37" i="30"/>
  <c r="V37" i="30"/>
  <c r="AO37" i="30"/>
  <c r="S37" i="30" s="1"/>
  <c r="D95" i="31"/>
  <c r="D96" i="31" s="1"/>
  <c r="D97" i="31" s="1"/>
  <c r="D98" i="31" s="1"/>
  <c r="BD91" i="36" l="1"/>
  <c r="V93" i="36"/>
  <c r="AB93" i="36"/>
  <c r="R93" i="36"/>
  <c r="AE93" i="36"/>
  <c r="AN93" i="36"/>
  <c r="Q93" i="36" s="1"/>
  <c r="Y93" i="36"/>
  <c r="AZ92" i="36"/>
  <c r="AR92" i="36"/>
  <c r="AX92" i="36"/>
  <c r="AO92" i="36"/>
  <c r="AV92" i="36"/>
  <c r="AT92" i="36"/>
  <c r="BE175" i="30"/>
  <c r="AO42" i="36"/>
  <c r="BA97" i="30"/>
  <c r="AY97" i="30"/>
  <c r="AW97" i="30"/>
  <c r="AU97" i="30"/>
  <c r="AS97" i="30"/>
  <c r="AP97" i="30"/>
  <c r="S97" i="30"/>
  <c r="AO28" i="36"/>
  <c r="BE125" i="30"/>
  <c r="BE178" i="30"/>
  <c r="AP179" i="30"/>
  <c r="BE176" i="30"/>
  <c r="T126" i="30"/>
  <c r="BE126" i="30"/>
  <c r="BE106" i="30"/>
  <c r="BE105" i="30"/>
  <c r="BE108" i="30"/>
  <c r="AS42" i="30"/>
  <c r="AP42" i="30" s="1"/>
  <c r="AU47" i="30"/>
  <c r="S42" i="30"/>
  <c r="AU42" i="30"/>
  <c r="AW42" i="30"/>
  <c r="BA47" i="30"/>
  <c r="S47" i="30"/>
  <c r="AY42" i="30"/>
  <c r="AO37" i="36"/>
  <c r="BD52" i="36"/>
  <c r="AX58" i="36"/>
  <c r="AZ58" i="36"/>
  <c r="AO17" i="36"/>
  <c r="BD17" i="36"/>
  <c r="BD42" i="36"/>
  <c r="BD16" i="36"/>
  <c r="BD31" i="36"/>
  <c r="BD23" i="36"/>
  <c r="AT58" i="36"/>
  <c r="AV58" i="36"/>
  <c r="AR58" i="36"/>
  <c r="AO58" i="36"/>
  <c r="Q70" i="36"/>
  <c r="AV70" i="36"/>
  <c r="AO70" i="36"/>
  <c r="AX70" i="36"/>
  <c r="AR70" i="36"/>
  <c r="AT70" i="36"/>
  <c r="AZ70" i="36"/>
  <c r="BD12" i="36"/>
  <c r="AO38" i="36"/>
  <c r="BD8" i="36"/>
  <c r="AO22" i="36"/>
  <c r="AO32" i="36"/>
  <c r="AO9" i="36"/>
  <c r="BD62" i="36"/>
  <c r="AO27" i="36"/>
  <c r="AO43" i="36"/>
  <c r="BD10" i="36"/>
  <c r="BD55" i="36"/>
  <c r="AO18" i="36"/>
  <c r="BD5" i="36"/>
  <c r="AO23" i="36"/>
  <c r="BD27" i="36"/>
  <c r="BD35" i="36"/>
  <c r="AV56" i="36"/>
  <c r="AX56" i="36"/>
  <c r="AO56" i="36"/>
  <c r="AT56" i="36"/>
  <c r="AR56" i="36"/>
  <c r="AZ56" i="36"/>
  <c r="BD7" i="36"/>
  <c r="AO7" i="36"/>
  <c r="AX65" i="36"/>
  <c r="AO65" i="36"/>
  <c r="AV65" i="36"/>
  <c r="AZ65" i="36"/>
  <c r="AT65" i="36"/>
  <c r="AR65" i="36"/>
  <c r="BD43" i="36"/>
  <c r="BD18" i="36"/>
  <c r="AZ71" i="36"/>
  <c r="AT71" i="36"/>
  <c r="AR71" i="36"/>
  <c r="AO71" i="36"/>
  <c r="AV71" i="36"/>
  <c r="AX71" i="36"/>
  <c r="BD67" i="36"/>
  <c r="AX50" i="36"/>
  <c r="AO50" i="36"/>
  <c r="AT50" i="36"/>
  <c r="AR50" i="36"/>
  <c r="AZ50" i="36"/>
  <c r="AV50" i="36"/>
  <c r="AO60" i="36"/>
  <c r="AV60" i="36"/>
  <c r="AT60" i="36"/>
  <c r="AR60" i="36"/>
  <c r="AZ60" i="36"/>
  <c r="AX60" i="36"/>
  <c r="BD22" i="36"/>
  <c r="BD61" i="36"/>
  <c r="BD15" i="36"/>
  <c r="BD66" i="36"/>
  <c r="Q50" i="36"/>
  <c r="AO30" i="36"/>
  <c r="AX30" i="36"/>
  <c r="AV30" i="36"/>
  <c r="AT30" i="36"/>
  <c r="Q30" i="36"/>
  <c r="AZ30" i="36"/>
  <c r="AR30" i="36"/>
  <c r="AV53" i="36"/>
  <c r="AT53" i="36"/>
  <c r="AO53" i="36"/>
  <c r="AZ53" i="36"/>
  <c r="AX53" i="36"/>
  <c r="AR53" i="36"/>
  <c r="BD73" i="36"/>
  <c r="AR48" i="36"/>
  <c r="AO48" i="36"/>
  <c r="AV48" i="36"/>
  <c r="AZ48" i="36"/>
  <c r="AX48" i="36"/>
  <c r="AT48" i="36"/>
  <c r="BD11" i="36"/>
  <c r="BD32" i="36"/>
  <c r="AV68" i="36"/>
  <c r="AX68" i="36"/>
  <c r="AR68" i="36"/>
  <c r="AT68" i="36"/>
  <c r="AO68" i="36"/>
  <c r="AZ68" i="36"/>
  <c r="BD21" i="36"/>
  <c r="BD26" i="36"/>
  <c r="BD45" i="36"/>
  <c r="BD6" i="36"/>
  <c r="AX46" i="36"/>
  <c r="AR46" i="36"/>
  <c r="AT46" i="36"/>
  <c r="AO46" i="36"/>
  <c r="AZ46" i="36"/>
  <c r="AV46" i="36"/>
  <c r="Q48" i="36"/>
  <c r="BD25" i="36"/>
  <c r="BD57" i="36"/>
  <c r="AR40" i="36"/>
  <c r="AO40" i="36"/>
  <c r="AT40" i="36"/>
  <c r="AZ40" i="36"/>
  <c r="AX40" i="36"/>
  <c r="Q40" i="36"/>
  <c r="AV40" i="36"/>
  <c r="AX51" i="36"/>
  <c r="AV51" i="36"/>
  <c r="AO51" i="36"/>
  <c r="AZ51" i="36"/>
  <c r="AT51" i="36"/>
  <c r="AR51" i="36"/>
  <c r="BD37" i="36"/>
  <c r="BD38" i="36"/>
  <c r="BD47" i="36"/>
  <c r="BD28" i="36"/>
  <c r="Q51" i="36"/>
  <c r="BD36" i="36"/>
  <c r="BD72" i="36"/>
  <c r="AW47" i="30"/>
  <c r="AS47" i="30"/>
  <c r="AP47" i="30" s="1"/>
  <c r="BA37" i="30"/>
  <c r="AY37" i="30"/>
  <c r="AW37" i="30"/>
  <c r="AS37" i="30"/>
  <c r="AP37" i="30" s="1"/>
  <c r="AU37" i="30"/>
  <c r="AV34" i="30"/>
  <c r="AT34" i="30"/>
  <c r="AV33" i="30"/>
  <c r="AT33" i="30"/>
  <c r="AB33" i="30"/>
  <c r="W33" i="30"/>
  <c r="U33" i="30"/>
  <c r="AV32" i="30"/>
  <c r="AT32" i="30"/>
  <c r="U32" i="30"/>
  <c r="R32" i="30"/>
  <c r="AV31" i="30"/>
  <c r="AT31" i="30"/>
  <c r="AE33" i="30"/>
  <c r="W30" i="30" s="1"/>
  <c r="AB30" i="30" s="1"/>
  <c r="U31" i="30"/>
  <c r="AV30" i="30"/>
  <c r="AT30" i="30"/>
  <c r="U30" i="30"/>
  <c r="AV29" i="30"/>
  <c r="AT29" i="30"/>
  <c r="AV28" i="30"/>
  <c r="AT28" i="30"/>
  <c r="AB28" i="30"/>
  <c r="W28" i="30"/>
  <c r="U28" i="30"/>
  <c r="AV27" i="30"/>
  <c r="AT27" i="30"/>
  <c r="U27" i="30"/>
  <c r="R27" i="30"/>
  <c r="AV26" i="30"/>
  <c r="AT26" i="30"/>
  <c r="AE28" i="30"/>
  <c r="W25" i="30" s="1"/>
  <c r="AB25" i="30" s="1"/>
  <c r="U26" i="30"/>
  <c r="AV25" i="30"/>
  <c r="AT25" i="30"/>
  <c r="U25" i="30"/>
  <c r="AV24" i="30"/>
  <c r="AT24" i="30"/>
  <c r="AV23" i="30"/>
  <c r="AT23" i="30"/>
  <c r="AB23" i="30"/>
  <c r="W23" i="30"/>
  <c r="U23" i="30"/>
  <c r="AV22" i="30"/>
  <c r="AT22" i="30"/>
  <c r="U22" i="30"/>
  <c r="P22" i="30"/>
  <c r="R22" i="30" s="1"/>
  <c r="AV21" i="30"/>
  <c r="AT21" i="30"/>
  <c r="AE23" i="30"/>
  <c r="W20" i="30" s="1"/>
  <c r="AB20" i="30" s="1"/>
  <c r="U21" i="30"/>
  <c r="AV20" i="30"/>
  <c r="AT20" i="30"/>
  <c r="U20" i="30"/>
  <c r="AV19" i="30"/>
  <c r="AT19" i="30"/>
  <c r="AV18" i="30"/>
  <c r="AT18" i="30"/>
  <c r="AB18" i="30"/>
  <c r="U18" i="30"/>
  <c r="AV17" i="30"/>
  <c r="AT17" i="30"/>
  <c r="U17" i="30"/>
  <c r="R17" i="30"/>
  <c r="AV16" i="30"/>
  <c r="AT16" i="30"/>
  <c r="AE18" i="30"/>
  <c r="W15" i="30" s="1"/>
  <c r="AB15" i="30" s="1"/>
  <c r="U16" i="30"/>
  <c r="AV15" i="30"/>
  <c r="AT15" i="30"/>
  <c r="U15" i="30"/>
  <c r="J15" i="30"/>
  <c r="A110" i="14"/>
  <c r="A108" i="14"/>
  <c r="M130" i="14"/>
  <c r="D139" i="31"/>
  <c r="D140" i="31" s="1"/>
  <c r="D141" i="31" s="1"/>
  <c r="D142" i="31" s="1"/>
  <c r="C139" i="31"/>
  <c r="J45" i="30" s="1"/>
  <c r="D134" i="31"/>
  <c r="D135" i="31" s="1"/>
  <c r="D136" i="31" s="1"/>
  <c r="D137" i="31" s="1"/>
  <c r="D138" i="31" s="1"/>
  <c r="C134" i="31"/>
  <c r="J40" i="30" s="1"/>
  <c r="D129" i="31"/>
  <c r="D130" i="31" s="1"/>
  <c r="D131" i="31" s="1"/>
  <c r="D132" i="31" s="1"/>
  <c r="D133" i="31" s="1"/>
  <c r="C129" i="31"/>
  <c r="J35" i="30" s="1"/>
  <c r="P143" i="31"/>
  <c r="P142" i="31"/>
  <c r="P141" i="31"/>
  <c r="P140" i="31"/>
  <c r="P139" i="31"/>
  <c r="P138" i="31"/>
  <c r="P137" i="31"/>
  <c r="P136" i="31"/>
  <c r="P135" i="31"/>
  <c r="P134" i="31"/>
  <c r="P133" i="31"/>
  <c r="P132" i="31"/>
  <c r="P131" i="31"/>
  <c r="P130" i="31"/>
  <c r="P129" i="31"/>
  <c r="D124" i="31"/>
  <c r="D125" i="31" s="1"/>
  <c r="D126" i="31" s="1"/>
  <c r="D127" i="31" s="1"/>
  <c r="D128" i="31" s="1"/>
  <c r="C124" i="31"/>
  <c r="J30" i="30" s="1"/>
  <c r="P158" i="31"/>
  <c r="P157" i="31"/>
  <c r="P156" i="31"/>
  <c r="P155" i="31"/>
  <c r="D155" i="31"/>
  <c r="D156" i="31" s="1"/>
  <c r="D157" i="31" s="1"/>
  <c r="D158" i="31" s="1"/>
  <c r="P154" i="31"/>
  <c r="D119" i="31"/>
  <c r="D120" i="31" s="1"/>
  <c r="D121" i="31" s="1"/>
  <c r="D122" i="31" s="1"/>
  <c r="D123" i="31" s="1"/>
  <c r="C119" i="31"/>
  <c r="J25" i="30" s="1"/>
  <c r="D114" i="31"/>
  <c r="D115" i="31" s="1"/>
  <c r="D116" i="31" s="1"/>
  <c r="D117" i="31" s="1"/>
  <c r="D118" i="31" s="1"/>
  <c r="C114" i="31"/>
  <c r="J20" i="30" s="1"/>
  <c r="A9" i="14"/>
  <c r="A70" i="14"/>
  <c r="A84" i="14"/>
  <c r="A86" i="14"/>
  <c r="AH20" i="30" l="1"/>
  <c r="AK20" i="30"/>
  <c r="AE20" i="30"/>
  <c r="AK30" i="30"/>
  <c r="AH30" i="30"/>
  <c r="AE30" i="30"/>
  <c r="AK25" i="30"/>
  <c r="AE25" i="30"/>
  <c r="AH25" i="30"/>
  <c r="AH15" i="30"/>
  <c r="AK15" i="30"/>
  <c r="AE15" i="30"/>
  <c r="AH31" i="30"/>
  <c r="AH33" i="30" s="1"/>
  <c r="AH26" i="30"/>
  <c r="AH28" i="30" s="1"/>
  <c r="AH21" i="30"/>
  <c r="AH23" i="30" s="1"/>
  <c r="AH16" i="30"/>
  <c r="AH18" i="30" s="1"/>
  <c r="BD92" i="36"/>
  <c r="AX93" i="36"/>
  <c r="AO93" i="36"/>
  <c r="AR93" i="36"/>
  <c r="AV93" i="36"/>
  <c r="AZ93" i="36"/>
  <c r="AT93" i="36"/>
  <c r="D143" i="31"/>
  <c r="Q53" i="30"/>
  <c r="R53" i="30" s="1"/>
  <c r="BE97" i="30"/>
  <c r="BE47" i="30"/>
  <c r="BE42" i="30"/>
  <c r="BD58" i="36"/>
  <c r="BD70" i="36"/>
  <c r="BD60" i="36"/>
  <c r="BD40" i="36"/>
  <c r="BD53" i="36"/>
  <c r="BD51" i="36"/>
  <c r="BD50" i="36"/>
  <c r="BD65" i="36"/>
  <c r="BD48" i="36"/>
  <c r="BD46" i="36"/>
  <c r="BD68" i="36"/>
  <c r="BD71" i="36"/>
  <c r="BD30" i="36"/>
  <c r="BD56" i="36"/>
  <c r="BE37" i="30"/>
  <c r="T32" i="30"/>
  <c r="AO32" i="30"/>
  <c r="AF32" i="30"/>
  <c r="AC32" i="30"/>
  <c r="Z32" i="30"/>
  <c r="V32" i="30"/>
  <c r="T27" i="30"/>
  <c r="AO27" i="30"/>
  <c r="S27" i="30" s="1"/>
  <c r="AF27" i="30"/>
  <c r="AC27" i="30"/>
  <c r="Z27" i="30"/>
  <c r="V27" i="30"/>
  <c r="T22" i="30"/>
  <c r="AO22" i="30"/>
  <c r="AF22" i="30"/>
  <c r="AC22" i="30"/>
  <c r="Z22" i="30"/>
  <c r="V22" i="30"/>
  <c r="T17" i="30"/>
  <c r="AO17" i="30"/>
  <c r="S17" i="30" s="1"/>
  <c r="AC17" i="30"/>
  <c r="AF17" i="30"/>
  <c r="Z17" i="30"/>
  <c r="V17" i="30"/>
  <c r="A73" i="14"/>
  <c r="A27" i="14"/>
  <c r="M79" i="14"/>
  <c r="M77" i="14"/>
  <c r="M78" i="14"/>
  <c r="T49" i="14"/>
  <c r="T48" i="14"/>
  <c r="T47" i="14"/>
  <c r="T35" i="14"/>
  <c r="T34" i="14"/>
  <c r="T33" i="14"/>
  <c r="T32" i="14"/>
  <c r="T31" i="14"/>
  <c r="T30" i="14"/>
  <c r="T29" i="14"/>
  <c r="T28" i="14"/>
  <c r="T27" i="14"/>
  <c r="T26" i="14"/>
  <c r="T25" i="14"/>
  <c r="T24" i="14"/>
  <c r="T23" i="14"/>
  <c r="T22" i="14"/>
  <c r="T21" i="14"/>
  <c r="T20" i="14"/>
  <c r="T19" i="14"/>
  <c r="T18" i="14"/>
  <c r="M49" i="14"/>
  <c r="M48" i="14"/>
  <c r="M47" i="14"/>
  <c r="BD93" i="36" l="1"/>
  <c r="AC53" i="30"/>
  <c r="T53" i="30"/>
  <c r="Z53" i="30"/>
  <c r="AO53" i="30"/>
  <c r="S53" i="30" s="1"/>
  <c r="AF53" i="30"/>
  <c r="V53" i="30"/>
  <c r="A37" i="14"/>
  <c r="B132" i="14"/>
  <c r="BA32" i="30"/>
  <c r="AY32" i="30"/>
  <c r="AW32" i="30"/>
  <c r="AU32" i="30"/>
  <c r="AS32" i="30"/>
  <c r="AP32" i="30" s="1"/>
  <c r="S32" i="30"/>
  <c r="BA27" i="30"/>
  <c r="AU27" i="30"/>
  <c r="AY27" i="30"/>
  <c r="AW27" i="30"/>
  <c r="AS27" i="30"/>
  <c r="AP27" i="30" s="1"/>
  <c r="AY22" i="30"/>
  <c r="AW22" i="30"/>
  <c r="AS22" i="30"/>
  <c r="AP22" i="30" s="1"/>
  <c r="BA22" i="30"/>
  <c r="AU22" i="30"/>
  <c r="S22" i="30"/>
  <c r="AY17" i="30"/>
  <c r="AW17" i="30"/>
  <c r="AU17" i="30"/>
  <c r="BA17" i="30"/>
  <c r="AS17" i="30"/>
  <c r="AP17" i="30" s="1"/>
  <c r="AI66" i="14"/>
  <c r="AA66" i="35" s="1"/>
  <c r="AS53" i="30" l="1"/>
  <c r="AP53" i="30" s="1"/>
  <c r="AW53" i="30"/>
  <c r="AY53" i="30"/>
  <c r="AU53" i="30"/>
  <c r="BA53" i="30"/>
  <c r="BE22" i="30"/>
  <c r="BE32" i="30"/>
  <c r="BE27" i="30"/>
  <c r="BE17" i="30"/>
  <c r="P4" i="15"/>
  <c r="P5" i="15"/>
  <c r="P6" i="15"/>
  <c r="P7" i="15"/>
  <c r="P3" i="15"/>
  <c r="B106" i="35"/>
  <c r="B72" i="35"/>
  <c r="U129" i="35"/>
  <c r="V129" i="35"/>
  <c r="Y129" i="35"/>
  <c r="U130" i="35"/>
  <c r="V130" i="35"/>
  <c r="Y130" i="35"/>
  <c r="U131" i="35"/>
  <c r="V131" i="35"/>
  <c r="Y131" i="35"/>
  <c r="U132" i="35"/>
  <c r="V132" i="35"/>
  <c r="Y132" i="35"/>
  <c r="U126" i="35"/>
  <c r="V126" i="35"/>
  <c r="Y126" i="35"/>
  <c r="D136" i="35"/>
  <c r="K136" i="35"/>
  <c r="L136" i="35"/>
  <c r="M136" i="35"/>
  <c r="O136" i="35"/>
  <c r="P136" i="35"/>
  <c r="Q136" i="35" s="1"/>
  <c r="R136" i="35"/>
  <c r="S136" i="35"/>
  <c r="T136" i="35" s="1"/>
  <c r="D137" i="35"/>
  <c r="K137" i="35"/>
  <c r="L137" i="35"/>
  <c r="M137" i="35"/>
  <c r="O137" i="35"/>
  <c r="P137" i="35"/>
  <c r="Q137" i="35" s="1"/>
  <c r="R137" i="35"/>
  <c r="S137" i="35"/>
  <c r="T137" i="35" s="1"/>
  <c r="D133" i="35"/>
  <c r="K133" i="35"/>
  <c r="L133" i="35"/>
  <c r="M133" i="35"/>
  <c r="O133" i="35"/>
  <c r="P133" i="35"/>
  <c r="Q133" i="35" s="1"/>
  <c r="R133" i="35"/>
  <c r="S133" i="35"/>
  <c r="T133" i="35" s="1"/>
  <c r="D134" i="35"/>
  <c r="K134" i="35"/>
  <c r="L134" i="35"/>
  <c r="M134" i="35"/>
  <c r="O134" i="35"/>
  <c r="P134" i="35"/>
  <c r="Q134" i="35" s="1"/>
  <c r="R134" i="35"/>
  <c r="S134" i="35"/>
  <c r="T134" i="35" s="1"/>
  <c r="D135" i="35"/>
  <c r="K135" i="35"/>
  <c r="L135" i="35"/>
  <c r="M135" i="35"/>
  <c r="O135" i="35"/>
  <c r="P135" i="35"/>
  <c r="Q135" i="35" s="1"/>
  <c r="R135" i="35"/>
  <c r="S135" i="35"/>
  <c r="T135" i="35" s="1"/>
  <c r="D126" i="35"/>
  <c r="K126" i="35"/>
  <c r="L126" i="35"/>
  <c r="M126" i="35"/>
  <c r="O126" i="35"/>
  <c r="P126" i="35"/>
  <c r="Q126" i="35" s="1"/>
  <c r="R126" i="35"/>
  <c r="S126" i="35"/>
  <c r="T126" i="35" s="1"/>
  <c r="D127" i="35"/>
  <c r="K127" i="35"/>
  <c r="L127" i="35"/>
  <c r="M127" i="35"/>
  <c r="O127" i="35"/>
  <c r="P127" i="35"/>
  <c r="Q127" i="35" s="1"/>
  <c r="R127" i="35"/>
  <c r="S127" i="35"/>
  <c r="T127" i="35" s="1"/>
  <c r="D128" i="35"/>
  <c r="K128" i="35"/>
  <c r="L128" i="35"/>
  <c r="M128" i="35"/>
  <c r="O128" i="35"/>
  <c r="P128" i="35"/>
  <c r="Q128" i="35" s="1"/>
  <c r="R128" i="35"/>
  <c r="S128" i="35"/>
  <c r="T128" i="35" s="1"/>
  <c r="D129" i="35"/>
  <c r="K129" i="35"/>
  <c r="L129" i="35"/>
  <c r="M129" i="35"/>
  <c r="O129" i="35"/>
  <c r="P129" i="35"/>
  <c r="Q129" i="35" s="1"/>
  <c r="R129" i="35"/>
  <c r="S129" i="35"/>
  <c r="T129" i="35" s="1"/>
  <c r="D130" i="35"/>
  <c r="K130" i="35"/>
  <c r="L130" i="35"/>
  <c r="M130" i="35"/>
  <c r="O130" i="35"/>
  <c r="P130" i="35"/>
  <c r="Q130" i="35" s="1"/>
  <c r="R130" i="35"/>
  <c r="S130" i="35"/>
  <c r="T130" i="35" s="1"/>
  <c r="D131" i="35"/>
  <c r="K131" i="35"/>
  <c r="L131" i="35"/>
  <c r="M131" i="35"/>
  <c r="O131" i="35"/>
  <c r="P131" i="35"/>
  <c r="Q131" i="35" s="1"/>
  <c r="R131" i="35"/>
  <c r="S131" i="35"/>
  <c r="T131" i="35" s="1"/>
  <c r="D132" i="35"/>
  <c r="K132" i="35"/>
  <c r="L132" i="35"/>
  <c r="M132" i="35"/>
  <c r="O132" i="35"/>
  <c r="P132" i="35"/>
  <c r="Q132" i="35" s="1"/>
  <c r="R132" i="35"/>
  <c r="S132" i="35"/>
  <c r="T132" i="35" s="1"/>
  <c r="BE53" i="30" l="1"/>
  <c r="W126" i="35"/>
  <c r="X126" i="35" s="1"/>
  <c r="W129" i="35"/>
  <c r="X129" i="35" s="1"/>
  <c r="W131" i="35"/>
  <c r="X131" i="35" s="1"/>
  <c r="W130" i="35"/>
  <c r="X130" i="35" s="1"/>
  <c r="W132" i="35"/>
  <c r="X132" i="35" s="1"/>
  <c r="L20" i="1"/>
  <c r="L19" i="1"/>
  <c r="L18" i="1"/>
  <c r="L17" i="1"/>
  <c r="L16" i="1"/>
  <c r="L15" i="1"/>
  <c r="L14" i="1"/>
  <c r="L13" i="1"/>
  <c r="L12" i="1"/>
  <c r="L11" i="1"/>
  <c r="L10" i="1"/>
  <c r="L9" i="1"/>
  <c r="L8" i="1"/>
  <c r="L7" i="1"/>
  <c r="L6" i="1"/>
  <c r="L5" i="1"/>
  <c r="L4" i="1"/>
  <c r="L3" i="1"/>
  <c r="S89" i="35"/>
  <c r="T89" i="35" s="1"/>
  <c r="U135" i="35"/>
  <c r="V135" i="35"/>
  <c r="Y135" i="35"/>
  <c r="U136" i="35"/>
  <c r="V136" i="35"/>
  <c r="Y136" i="35"/>
  <c r="U133" i="35"/>
  <c r="V133" i="35"/>
  <c r="Y133" i="35"/>
  <c r="U134" i="35"/>
  <c r="V134" i="35"/>
  <c r="Y134" i="35"/>
  <c r="P138" i="35"/>
  <c r="P122" i="35"/>
  <c r="P123" i="35"/>
  <c r="P124" i="35"/>
  <c r="P125" i="35"/>
  <c r="P103" i="35"/>
  <c r="P104" i="35"/>
  <c r="P105" i="35"/>
  <c r="P106" i="35"/>
  <c r="P107" i="35"/>
  <c r="P108" i="35"/>
  <c r="P109" i="35"/>
  <c r="P110" i="35"/>
  <c r="P111" i="35"/>
  <c r="P112" i="35"/>
  <c r="P113" i="35"/>
  <c r="P114" i="35"/>
  <c r="P115" i="35"/>
  <c r="P116" i="35"/>
  <c r="P117" i="35"/>
  <c r="P118" i="35"/>
  <c r="P119" i="35"/>
  <c r="P120" i="35"/>
  <c r="P121" i="35"/>
  <c r="O119" i="35"/>
  <c r="O120" i="35"/>
  <c r="O121" i="35"/>
  <c r="O122" i="35"/>
  <c r="O123" i="35"/>
  <c r="O124" i="35"/>
  <c r="O125" i="35"/>
  <c r="O138" i="35"/>
  <c r="M138" i="35"/>
  <c r="M117" i="35"/>
  <c r="M118" i="35"/>
  <c r="M119" i="35"/>
  <c r="M120" i="35"/>
  <c r="M121" i="35"/>
  <c r="M122" i="35"/>
  <c r="M123" i="35"/>
  <c r="M124" i="35"/>
  <c r="M125" i="35"/>
  <c r="S138" i="35"/>
  <c r="T138" i="35" s="1"/>
  <c r="S73" i="35"/>
  <c r="T73" i="35" s="1"/>
  <c r="S74" i="35"/>
  <c r="T74" i="35" s="1"/>
  <c r="S75" i="35"/>
  <c r="T75" i="35" s="1"/>
  <c r="S76" i="35"/>
  <c r="T76" i="35" s="1"/>
  <c r="S77" i="35"/>
  <c r="T77" i="35" s="1"/>
  <c r="S78" i="35"/>
  <c r="T78" i="35" s="1"/>
  <c r="S79" i="35"/>
  <c r="T79" i="35" s="1"/>
  <c r="S80" i="35"/>
  <c r="T80" i="35" s="1"/>
  <c r="S81" i="35"/>
  <c r="T81" i="35" s="1"/>
  <c r="S82" i="35"/>
  <c r="T82" i="35" s="1"/>
  <c r="S83" i="35"/>
  <c r="T83" i="35" s="1"/>
  <c r="S84" i="35"/>
  <c r="T84" i="35" s="1"/>
  <c r="S85" i="35"/>
  <c r="T85" i="35" s="1"/>
  <c r="S86" i="35"/>
  <c r="T86" i="35" s="1"/>
  <c r="S87" i="35"/>
  <c r="T87" i="35" s="1"/>
  <c r="S88" i="35"/>
  <c r="T88" i="35" s="1"/>
  <c r="S90" i="35"/>
  <c r="T90" i="35" s="1"/>
  <c r="S91" i="35"/>
  <c r="T91" i="35" s="1"/>
  <c r="S92" i="35"/>
  <c r="T92" i="35" s="1"/>
  <c r="S93" i="35"/>
  <c r="T93" i="35" s="1"/>
  <c r="S94" i="35"/>
  <c r="T94" i="35" s="1"/>
  <c r="S95" i="35"/>
  <c r="T95" i="35" s="1"/>
  <c r="S99" i="35"/>
  <c r="T99" i="35" s="1"/>
  <c r="S100" i="35"/>
  <c r="T100" i="35" s="1"/>
  <c r="S101" i="35"/>
  <c r="T101" i="35" s="1"/>
  <c r="S102" i="35"/>
  <c r="T102" i="35" s="1"/>
  <c r="S103" i="35"/>
  <c r="T103" i="35" s="1"/>
  <c r="S104" i="35"/>
  <c r="T104" i="35" s="1"/>
  <c r="S105" i="35"/>
  <c r="T105" i="35" s="1"/>
  <c r="S106" i="35"/>
  <c r="T106" i="35" s="1"/>
  <c r="S107" i="35"/>
  <c r="T107" i="35" s="1"/>
  <c r="S108" i="35"/>
  <c r="T108" i="35" s="1"/>
  <c r="S109" i="35"/>
  <c r="T109" i="35" s="1"/>
  <c r="S110" i="35"/>
  <c r="T110" i="35" s="1"/>
  <c r="S111" i="35"/>
  <c r="T111" i="35" s="1"/>
  <c r="S112" i="35"/>
  <c r="T112" i="35" s="1"/>
  <c r="S113" i="35"/>
  <c r="T113" i="35" s="1"/>
  <c r="S114" i="35"/>
  <c r="T114" i="35" s="1"/>
  <c r="S115" i="35"/>
  <c r="T115" i="35" s="1"/>
  <c r="S116" i="35"/>
  <c r="T116" i="35" s="1"/>
  <c r="S117" i="35"/>
  <c r="T117" i="35" s="1"/>
  <c r="S118" i="35"/>
  <c r="T118" i="35" s="1"/>
  <c r="S119" i="35"/>
  <c r="T119" i="35" s="1"/>
  <c r="S120" i="35"/>
  <c r="T120" i="35" s="1"/>
  <c r="S121" i="35"/>
  <c r="T121" i="35" s="1"/>
  <c r="S122" i="35"/>
  <c r="T122" i="35" s="1"/>
  <c r="S123" i="35"/>
  <c r="T123" i="35" s="1"/>
  <c r="S124" i="35"/>
  <c r="T124" i="35" s="1"/>
  <c r="S125" i="35"/>
  <c r="T125" i="35" s="1"/>
  <c r="R138" i="35"/>
  <c r="R73" i="35"/>
  <c r="R74" i="35"/>
  <c r="R75" i="35"/>
  <c r="R76" i="35"/>
  <c r="R77" i="35"/>
  <c r="R78" i="35"/>
  <c r="R79" i="35"/>
  <c r="R80" i="35"/>
  <c r="R81" i="35"/>
  <c r="R82" i="35"/>
  <c r="R83" i="35"/>
  <c r="R84" i="35"/>
  <c r="R85" i="35"/>
  <c r="R86" i="35"/>
  <c r="R87" i="35"/>
  <c r="R88" i="35"/>
  <c r="R89" i="35"/>
  <c r="R90" i="35"/>
  <c r="R91" i="35"/>
  <c r="R92" i="35"/>
  <c r="R93" i="35"/>
  <c r="R94" i="35"/>
  <c r="R95" i="35"/>
  <c r="R99" i="35"/>
  <c r="R100" i="35"/>
  <c r="R101" i="35"/>
  <c r="R102" i="35"/>
  <c r="R103" i="35"/>
  <c r="R104" i="35"/>
  <c r="R105" i="35"/>
  <c r="R106" i="35"/>
  <c r="R107" i="35"/>
  <c r="R108" i="35"/>
  <c r="R109" i="35"/>
  <c r="R110" i="35"/>
  <c r="R111" i="35"/>
  <c r="R112" i="35"/>
  <c r="R113" i="35"/>
  <c r="R114" i="35"/>
  <c r="R115" i="35"/>
  <c r="R116" i="35"/>
  <c r="R117" i="35"/>
  <c r="R118" i="35"/>
  <c r="R119" i="35"/>
  <c r="R120" i="35"/>
  <c r="R121" i="35"/>
  <c r="R122" i="35"/>
  <c r="R123" i="35"/>
  <c r="R124" i="35"/>
  <c r="R125" i="35"/>
  <c r="R72" i="35"/>
  <c r="K106" i="35"/>
  <c r="K107" i="35"/>
  <c r="K108" i="35"/>
  <c r="K109" i="35"/>
  <c r="K110" i="35"/>
  <c r="K111" i="35"/>
  <c r="K112" i="35"/>
  <c r="K113" i="35"/>
  <c r="K114" i="35"/>
  <c r="K115" i="35"/>
  <c r="K116" i="35"/>
  <c r="K117" i="35"/>
  <c r="K118" i="35"/>
  <c r="K119" i="35"/>
  <c r="K120" i="35"/>
  <c r="K121" i="35"/>
  <c r="K122" i="35"/>
  <c r="K123" i="35"/>
  <c r="K124" i="35"/>
  <c r="K125" i="35"/>
  <c r="K138" i="35"/>
  <c r="K76" i="35"/>
  <c r="K77" i="35"/>
  <c r="K78" i="35"/>
  <c r="K79" i="35"/>
  <c r="K80" i="35"/>
  <c r="K81" i="35"/>
  <c r="K82" i="35"/>
  <c r="K83" i="35"/>
  <c r="K84" i="35"/>
  <c r="K85" i="35"/>
  <c r="K86" i="35"/>
  <c r="K87" i="35"/>
  <c r="K88" i="35"/>
  <c r="K89" i="35"/>
  <c r="K90" i="35"/>
  <c r="K91" i="35"/>
  <c r="K92" i="35"/>
  <c r="K93" i="35"/>
  <c r="K94" i="35"/>
  <c r="K95" i="35"/>
  <c r="K99" i="35"/>
  <c r="K100" i="35"/>
  <c r="K101" i="35"/>
  <c r="K102" i="35"/>
  <c r="K103" i="35"/>
  <c r="K104" i="35"/>
  <c r="K105" i="35"/>
  <c r="K73" i="35"/>
  <c r="K74" i="35"/>
  <c r="K75" i="35"/>
  <c r="K72" i="35"/>
  <c r="M94" i="35"/>
  <c r="M95" i="35"/>
  <c r="M99" i="35"/>
  <c r="M100" i="35"/>
  <c r="M101" i="35"/>
  <c r="M102" i="35"/>
  <c r="M103" i="35"/>
  <c r="M104" i="35"/>
  <c r="M105" i="35"/>
  <c r="M106" i="35"/>
  <c r="M107" i="35"/>
  <c r="M85" i="35"/>
  <c r="M86" i="35"/>
  <c r="M87" i="35"/>
  <c r="M88" i="35"/>
  <c r="M89" i="35"/>
  <c r="M90" i="35"/>
  <c r="M91" i="35"/>
  <c r="M92" i="35"/>
  <c r="M93" i="35"/>
  <c r="M77" i="35"/>
  <c r="M78" i="35"/>
  <c r="M79" i="35"/>
  <c r="M80" i="35"/>
  <c r="M81" i="35"/>
  <c r="M82" i="35"/>
  <c r="M83" i="35"/>
  <c r="M84" i="35"/>
  <c r="M73" i="35"/>
  <c r="M74" i="35"/>
  <c r="M75" i="35"/>
  <c r="M76" i="35"/>
  <c r="M72" i="35"/>
  <c r="O72" i="35"/>
  <c r="P72" i="35"/>
  <c r="Q72" i="35" s="1"/>
  <c r="S72" i="35"/>
  <c r="T72" i="35" s="1"/>
  <c r="O73" i="35"/>
  <c r="P73" i="35"/>
  <c r="Q73" i="35" s="1"/>
  <c r="O74" i="35"/>
  <c r="P74" i="35"/>
  <c r="Q74" i="35" s="1"/>
  <c r="O75" i="35"/>
  <c r="P75" i="35"/>
  <c r="Q75" i="35" s="1"/>
  <c r="O76" i="35"/>
  <c r="P76" i="35"/>
  <c r="Q76" i="35" s="1"/>
  <c r="O77" i="35"/>
  <c r="P77" i="35"/>
  <c r="Q77" i="35" s="1"/>
  <c r="O78" i="35"/>
  <c r="P78" i="35"/>
  <c r="Q78" i="35" s="1"/>
  <c r="O79" i="35"/>
  <c r="P79" i="35"/>
  <c r="Q79" i="35" s="1"/>
  <c r="O80" i="35"/>
  <c r="P80" i="35"/>
  <c r="Q80" i="35" s="1"/>
  <c r="D72" i="35"/>
  <c r="D73" i="35"/>
  <c r="D74" i="35"/>
  <c r="D75" i="35"/>
  <c r="D76" i="35"/>
  <c r="D77" i="35"/>
  <c r="D78" i="35"/>
  <c r="D138" i="35"/>
  <c r="Q44" i="35"/>
  <c r="K40" i="35"/>
  <c r="K39" i="35"/>
  <c r="K28" i="35"/>
  <c r="K29" i="35"/>
  <c r="K30" i="35"/>
  <c r="K31" i="35"/>
  <c r="K32" i="35"/>
  <c r="K33" i="35"/>
  <c r="K34" i="35"/>
  <c r="K35" i="35"/>
  <c r="K36" i="35"/>
  <c r="K37" i="35"/>
  <c r="K38" i="35"/>
  <c r="K23" i="35"/>
  <c r="K24" i="35"/>
  <c r="K25" i="35"/>
  <c r="K26" i="35"/>
  <c r="K27" i="35"/>
  <c r="D84" i="35"/>
  <c r="D85" i="35"/>
  <c r="D86" i="35"/>
  <c r="D87" i="35"/>
  <c r="D88" i="35"/>
  <c r="D89" i="35"/>
  <c r="D90" i="35"/>
  <c r="D91" i="35"/>
  <c r="D92" i="35"/>
  <c r="D93" i="35"/>
  <c r="D94" i="35"/>
  <c r="D95" i="35"/>
  <c r="D99" i="35"/>
  <c r="D100" i="35"/>
  <c r="D101" i="35"/>
  <c r="D102" i="35"/>
  <c r="D103" i="35"/>
  <c r="D104" i="35"/>
  <c r="D105" i="35"/>
  <c r="D83" i="35"/>
  <c r="D82" i="35"/>
  <c r="D81" i="35"/>
  <c r="D80" i="35"/>
  <c r="D79" i="35"/>
  <c r="AI45" i="35"/>
  <c r="C101" i="35" l="1"/>
  <c r="W133" i="35"/>
  <c r="X133" i="35" s="1"/>
  <c r="C73" i="35"/>
  <c r="W136" i="35"/>
  <c r="X136" i="35" s="1"/>
  <c r="C103" i="35"/>
  <c r="C79" i="35"/>
  <c r="C100" i="35"/>
  <c r="C95" i="35"/>
  <c r="C90" i="35"/>
  <c r="C85" i="35"/>
  <c r="C87" i="35"/>
  <c r="C102" i="35"/>
  <c r="C80" i="35"/>
  <c r="C72" i="35"/>
  <c r="W134" i="35"/>
  <c r="X134" i="35" s="1"/>
  <c r="W135" i="35"/>
  <c r="X135" i="35" s="1"/>
  <c r="C92" i="35"/>
  <c r="C77" i="35"/>
  <c r="C93" i="35"/>
  <c r="C91" i="35"/>
  <c r="C84" i="35"/>
  <c r="C76" i="35"/>
  <c r="C78" i="35"/>
  <c r="C99" i="35"/>
  <c r="C105" i="35"/>
  <c r="C83" i="35"/>
  <c r="C75" i="35"/>
  <c r="C86" i="35"/>
  <c r="C89" i="35"/>
  <c r="C104" i="35"/>
  <c r="C82" i="35"/>
  <c r="C74" i="35"/>
  <c r="C94" i="35"/>
  <c r="C88" i="35"/>
  <c r="C81" i="35"/>
  <c r="F113" i="31"/>
  <c r="P128" i="31"/>
  <c r="P127" i="31"/>
  <c r="P126" i="31"/>
  <c r="P125" i="31"/>
  <c r="P124" i="31"/>
  <c r="P123" i="31"/>
  <c r="P122" i="31"/>
  <c r="P121" i="31"/>
  <c r="P120" i="31"/>
  <c r="P119" i="31"/>
  <c r="P118" i="31"/>
  <c r="P117" i="31"/>
  <c r="P116" i="31"/>
  <c r="P115" i="31"/>
  <c r="P114" i="31"/>
  <c r="P113" i="31"/>
  <c r="P112" i="31"/>
  <c r="P111" i="31"/>
  <c r="P110" i="31"/>
  <c r="P109" i="31"/>
  <c r="AV14" i="30"/>
  <c r="AT14" i="30"/>
  <c r="AV13" i="30"/>
  <c r="AT13" i="30"/>
  <c r="AB13" i="30"/>
  <c r="W13" i="30"/>
  <c r="U13" i="30"/>
  <c r="AV12" i="30"/>
  <c r="AT12" i="30"/>
  <c r="U12" i="30"/>
  <c r="R12" i="30"/>
  <c r="AV11" i="30"/>
  <c r="AT11" i="30"/>
  <c r="AE13" i="30"/>
  <c r="W10" i="30" s="1"/>
  <c r="AB10" i="30" s="1"/>
  <c r="U11" i="30"/>
  <c r="AV10" i="30"/>
  <c r="AT10" i="30"/>
  <c r="U10" i="30"/>
  <c r="AJ35" i="14"/>
  <c r="AJ34" i="14"/>
  <c r="AJ33" i="14"/>
  <c r="AJ32" i="14"/>
  <c r="AJ31" i="14"/>
  <c r="AJ30" i="14"/>
  <c r="AJ29" i="14"/>
  <c r="P18" i="30" s="1"/>
  <c r="Q18" i="30" s="1"/>
  <c r="R18" i="30" s="1"/>
  <c r="AK10" i="30" l="1"/>
  <c r="AH10" i="30"/>
  <c r="AE10" i="30"/>
  <c r="U40" i="35"/>
  <c r="P48" i="30"/>
  <c r="Q48" i="30" s="1"/>
  <c r="R48" i="30" s="1"/>
  <c r="AO18" i="30"/>
  <c r="T18" i="30"/>
  <c r="Z18" i="30"/>
  <c r="V18" i="30"/>
  <c r="AF18" i="30"/>
  <c r="AC18" i="30"/>
  <c r="U39" i="35"/>
  <c r="P43" i="30"/>
  <c r="Q43" i="30" s="1"/>
  <c r="R43" i="30" s="1"/>
  <c r="U35" i="35"/>
  <c r="P23" i="30"/>
  <c r="Q23" i="30" s="1"/>
  <c r="R23" i="30" s="1"/>
  <c r="AH11" i="30"/>
  <c r="AH13" i="30" s="1"/>
  <c r="U36" i="35"/>
  <c r="P28" i="30"/>
  <c r="U38" i="35"/>
  <c r="P38" i="30"/>
  <c r="U37" i="35"/>
  <c r="P33" i="30"/>
  <c r="U34" i="35"/>
  <c r="AO12" i="30"/>
  <c r="S12" i="30" s="1"/>
  <c r="AF12" i="30"/>
  <c r="V12" i="30"/>
  <c r="AC12" i="30"/>
  <c r="Z12" i="30"/>
  <c r="T12" i="30"/>
  <c r="B29" i="35"/>
  <c r="Z40" i="35"/>
  <c r="Z39" i="35"/>
  <c r="Z38" i="35"/>
  <c r="Z37" i="35"/>
  <c r="Z36" i="35"/>
  <c r="Z35" i="35"/>
  <c r="Z34" i="35"/>
  <c r="Z33" i="35"/>
  <c r="Z32" i="35"/>
  <c r="S40" i="35"/>
  <c r="T40" i="35" s="1"/>
  <c r="R40" i="35"/>
  <c r="P40" i="35"/>
  <c r="O40" i="35"/>
  <c r="M40" i="35"/>
  <c r="D40" i="35"/>
  <c r="S39" i="35"/>
  <c r="T39" i="35" s="1"/>
  <c r="R39" i="35"/>
  <c r="P39" i="35"/>
  <c r="Q39" i="35" s="1"/>
  <c r="O39" i="35"/>
  <c r="M39" i="35"/>
  <c r="D39" i="35"/>
  <c r="S38" i="35"/>
  <c r="T38" i="35" s="1"/>
  <c r="R38" i="35"/>
  <c r="P38" i="35"/>
  <c r="Q38" i="35" s="1"/>
  <c r="O38" i="35"/>
  <c r="M38" i="35"/>
  <c r="D38" i="35"/>
  <c r="S37" i="35"/>
  <c r="T37" i="35" s="1"/>
  <c r="R37" i="35"/>
  <c r="P37" i="35"/>
  <c r="Q37" i="35" s="1"/>
  <c r="O37" i="35"/>
  <c r="M37" i="35"/>
  <c r="S36" i="35"/>
  <c r="T36" i="35" s="1"/>
  <c r="R36" i="35"/>
  <c r="P36" i="35"/>
  <c r="Q36" i="35" s="1"/>
  <c r="O36" i="35"/>
  <c r="M36" i="35"/>
  <c r="S35" i="35"/>
  <c r="T35" i="35" s="1"/>
  <c r="R35" i="35"/>
  <c r="P35" i="35"/>
  <c r="O35" i="35"/>
  <c r="M35" i="35"/>
  <c r="S34" i="35"/>
  <c r="T34" i="35" s="1"/>
  <c r="R34" i="35"/>
  <c r="P34" i="35"/>
  <c r="O34" i="35"/>
  <c r="M34" i="35"/>
  <c r="S33" i="35"/>
  <c r="T33" i="35" s="1"/>
  <c r="R33" i="35"/>
  <c r="P33" i="35"/>
  <c r="O33" i="35"/>
  <c r="M33" i="35"/>
  <c r="S32" i="35"/>
  <c r="R32" i="35"/>
  <c r="P32" i="35"/>
  <c r="O32" i="35"/>
  <c r="M32" i="35"/>
  <c r="Z43" i="30" l="1"/>
  <c r="AC43" i="30"/>
  <c r="AF43" i="30"/>
  <c r="T43" i="30"/>
  <c r="V43" i="30"/>
  <c r="AO43" i="30"/>
  <c r="S43" i="30" s="1"/>
  <c r="AU18" i="30"/>
  <c r="BA18" i="30"/>
  <c r="AY18" i="30"/>
  <c r="AS18" i="30"/>
  <c r="AP18" i="30" s="1"/>
  <c r="AW18" i="30"/>
  <c r="AF48" i="30"/>
  <c r="AC48" i="30"/>
  <c r="AO48" i="30"/>
  <c r="V48" i="30"/>
  <c r="Z48" i="30"/>
  <c r="T48" i="30"/>
  <c r="S18" i="30"/>
  <c r="V23" i="30"/>
  <c r="T23" i="30"/>
  <c r="AF23" i="30"/>
  <c r="AC23" i="30"/>
  <c r="AO23" i="30"/>
  <c r="Z23" i="30"/>
  <c r="Q33" i="30"/>
  <c r="R33" i="30" s="1"/>
  <c r="Q38" i="30"/>
  <c r="R38" i="30" s="1"/>
  <c r="Q28" i="30"/>
  <c r="R28" i="30" s="1"/>
  <c r="AD35" i="35"/>
  <c r="AD36" i="35"/>
  <c r="AD37" i="35"/>
  <c r="AD38" i="35"/>
  <c r="AD39" i="35"/>
  <c r="Q40" i="35"/>
  <c r="AD40" i="35"/>
  <c r="AF24" i="35"/>
  <c r="AD32" i="35"/>
  <c r="AD33" i="35"/>
  <c r="AD34" i="35"/>
  <c r="Q35" i="35"/>
  <c r="Q32" i="35"/>
  <c r="Q33" i="35"/>
  <c r="Q34" i="35"/>
  <c r="BA12" i="30"/>
  <c r="AY12" i="30"/>
  <c r="AU12" i="30"/>
  <c r="AW12" i="30"/>
  <c r="AS12" i="30"/>
  <c r="AP12" i="30" s="1"/>
  <c r="AI35" i="14"/>
  <c r="AI34" i="14"/>
  <c r="AI33" i="14"/>
  <c r="AL35" i="14"/>
  <c r="AK35" i="14"/>
  <c r="P46" i="30" s="1"/>
  <c r="AL34" i="14"/>
  <c r="AK34" i="14"/>
  <c r="P41" i="30" s="1"/>
  <c r="AL33" i="14"/>
  <c r="AK33" i="14"/>
  <c r="P36" i="30" s="1"/>
  <c r="AL32" i="14"/>
  <c r="AK32" i="14"/>
  <c r="P31" i="30" s="1"/>
  <c r="AL31" i="14"/>
  <c r="AK31" i="14"/>
  <c r="AL30" i="14"/>
  <c r="AK30" i="14"/>
  <c r="P21" i="30" s="1"/>
  <c r="AG33" i="14"/>
  <c r="AG34" i="14"/>
  <c r="AG35" i="14"/>
  <c r="AG29" i="14"/>
  <c r="AI29" i="14" s="1"/>
  <c r="AG30" i="14"/>
  <c r="AG31" i="14"/>
  <c r="AG32" i="14"/>
  <c r="AI30" i="14"/>
  <c r="AI32" i="14"/>
  <c r="F233" i="31" s="1"/>
  <c r="BA48" i="30" l="1"/>
  <c r="AU48" i="30"/>
  <c r="AS48" i="30"/>
  <c r="AP48" i="30" s="1"/>
  <c r="AW48" i="30"/>
  <c r="AY48" i="30"/>
  <c r="AY43" i="30"/>
  <c r="AS43" i="30"/>
  <c r="AP43" i="30" s="1"/>
  <c r="BA43" i="30"/>
  <c r="AU43" i="30"/>
  <c r="AW43" i="30"/>
  <c r="Y40" i="35"/>
  <c r="P45" i="30"/>
  <c r="Y35" i="35"/>
  <c r="P20" i="30"/>
  <c r="S48" i="30"/>
  <c r="P19" i="30"/>
  <c r="F138" i="31"/>
  <c r="P44" i="30"/>
  <c r="F143" i="31"/>
  <c r="P49" i="30"/>
  <c r="F118" i="31"/>
  <c r="P24" i="30"/>
  <c r="Q24" i="30" s="1"/>
  <c r="R24" i="30" s="1"/>
  <c r="Y39" i="35"/>
  <c r="P40" i="30"/>
  <c r="BE18" i="30"/>
  <c r="T33" i="30"/>
  <c r="V33" i="30"/>
  <c r="AO33" i="30"/>
  <c r="S33" i="30" s="1"/>
  <c r="AF33" i="30"/>
  <c r="AC33" i="30"/>
  <c r="Z33" i="30"/>
  <c r="Q36" i="30"/>
  <c r="R36" i="30" s="1"/>
  <c r="Y38" i="35"/>
  <c r="P35" i="30"/>
  <c r="F123" i="31"/>
  <c r="P29" i="30"/>
  <c r="S23" i="30"/>
  <c r="BA23" i="30"/>
  <c r="AW23" i="30"/>
  <c r="AS23" i="30"/>
  <c r="AP23" i="30" s="1"/>
  <c r="AU23" i="30"/>
  <c r="AY23" i="30"/>
  <c r="Y37" i="35"/>
  <c r="P30" i="30"/>
  <c r="F128" i="31"/>
  <c r="P34" i="30"/>
  <c r="V36" i="35"/>
  <c r="W36" i="35" s="1"/>
  <c r="X36" i="35" s="1"/>
  <c r="P26" i="30"/>
  <c r="Y36" i="35"/>
  <c r="P25" i="30"/>
  <c r="Z38" i="30"/>
  <c r="AF38" i="30"/>
  <c r="V38" i="30"/>
  <c r="AO38" i="30"/>
  <c r="T38" i="30"/>
  <c r="AC38" i="30"/>
  <c r="AF28" i="30"/>
  <c r="V28" i="30"/>
  <c r="T28" i="30"/>
  <c r="AO28" i="30"/>
  <c r="AC28" i="30"/>
  <c r="Z28" i="30"/>
  <c r="Q31" i="30"/>
  <c r="R31" i="30" s="1"/>
  <c r="P39" i="30"/>
  <c r="F133" i="31"/>
  <c r="V40" i="35"/>
  <c r="W40" i="35" s="1"/>
  <c r="X40" i="35" s="1"/>
  <c r="V38" i="35"/>
  <c r="W38" i="35" s="1"/>
  <c r="X38" i="35" s="1"/>
  <c r="AI24" i="35"/>
  <c r="V35" i="35"/>
  <c r="W35" i="35" s="1"/>
  <c r="X35" i="35" s="1"/>
  <c r="V39" i="35"/>
  <c r="W39" i="35" s="1"/>
  <c r="X39" i="35" s="1"/>
  <c r="V37" i="35"/>
  <c r="W37" i="35" s="1"/>
  <c r="X37" i="35" s="1"/>
  <c r="BE12" i="30"/>
  <c r="M35" i="14"/>
  <c r="M34" i="14"/>
  <c r="M33" i="14"/>
  <c r="M32" i="14"/>
  <c r="M31" i="14"/>
  <c r="M30" i="14"/>
  <c r="M29" i="14"/>
  <c r="V29" i="14"/>
  <c r="AK29" i="14"/>
  <c r="AL29" i="14"/>
  <c r="AO24" i="30" l="1"/>
  <c r="S24" i="30" s="1"/>
  <c r="AC24" i="30"/>
  <c r="BE43" i="30"/>
  <c r="Z24" i="30"/>
  <c r="AF24" i="30"/>
  <c r="V24" i="30"/>
  <c r="BE48" i="30"/>
  <c r="Q39" i="30"/>
  <c r="R39" i="30" s="1"/>
  <c r="Z39" i="30" s="1"/>
  <c r="Q29" i="30"/>
  <c r="R29" i="30" s="1"/>
  <c r="V29" i="30" s="1"/>
  <c r="Q25" i="30"/>
  <c r="R25" i="30" s="1"/>
  <c r="Q35" i="30"/>
  <c r="R35" i="30" s="1"/>
  <c r="Q30" i="30"/>
  <c r="R30" i="30" s="1"/>
  <c r="T36" i="30"/>
  <c r="V36" i="30"/>
  <c r="AO36" i="30"/>
  <c r="Z36" i="30"/>
  <c r="AF36" i="30"/>
  <c r="AC36" i="30"/>
  <c r="AC31" i="30"/>
  <c r="AF31" i="30"/>
  <c r="V31" i="30"/>
  <c r="T31" i="30"/>
  <c r="AO31" i="30"/>
  <c r="S31" i="30" s="1"/>
  <c r="Z31" i="30"/>
  <c r="BA38" i="30"/>
  <c r="AY38" i="30"/>
  <c r="AS38" i="30"/>
  <c r="AP38" i="30" s="1"/>
  <c r="AW38" i="30"/>
  <c r="AU38" i="30"/>
  <c r="Q34" i="30"/>
  <c r="R34" i="30" s="1"/>
  <c r="S28" i="30"/>
  <c r="AW28" i="30"/>
  <c r="AS28" i="30"/>
  <c r="AP28" i="30" s="1"/>
  <c r="AU28" i="30"/>
  <c r="AY28" i="30"/>
  <c r="BA28" i="30"/>
  <c r="BE23" i="30"/>
  <c r="Y34" i="35"/>
  <c r="Q20" i="30"/>
  <c r="R20" i="30" s="1"/>
  <c r="P15" i="30"/>
  <c r="V34" i="35"/>
  <c r="W34" i="35" s="1"/>
  <c r="P16" i="30"/>
  <c r="AW33" i="30"/>
  <c r="AS33" i="30"/>
  <c r="AP33" i="30" s="1"/>
  <c r="AU33" i="30"/>
  <c r="BA33" i="30"/>
  <c r="AY33" i="30"/>
  <c r="AU24" i="30"/>
  <c r="S38" i="30"/>
  <c r="Q26" i="30"/>
  <c r="R26" i="30" s="1"/>
  <c r="O23" i="35"/>
  <c r="O24" i="35"/>
  <c r="O25" i="35"/>
  <c r="O26" i="35"/>
  <c r="AF29" i="30" l="1"/>
  <c r="AW24" i="30"/>
  <c r="AS24" i="30"/>
  <c r="AP24" i="30" s="1"/>
  <c r="AY24" i="30"/>
  <c r="BA24" i="30"/>
  <c r="BE24" i="30" s="1"/>
  <c r="AO29" i="30"/>
  <c r="AS29" i="30" s="1"/>
  <c r="AC29" i="30"/>
  <c r="AO25" i="30"/>
  <c r="AW25" i="30" s="1"/>
  <c r="Z25" i="30"/>
  <c r="AF25" i="30"/>
  <c r="AC25" i="30"/>
  <c r="AO35" i="30"/>
  <c r="AY35" i="30" s="1"/>
  <c r="AC35" i="30"/>
  <c r="AF35" i="30"/>
  <c r="Z35" i="30"/>
  <c r="AF39" i="30"/>
  <c r="V35" i="30"/>
  <c r="V39" i="30"/>
  <c r="AO39" i="30"/>
  <c r="S39" i="30" s="1"/>
  <c r="AC39" i="30"/>
  <c r="T25" i="30"/>
  <c r="V25" i="30"/>
  <c r="AO30" i="30"/>
  <c r="AU30" i="30" s="1"/>
  <c r="AF30" i="30"/>
  <c r="AC30" i="30"/>
  <c r="Z30" i="30"/>
  <c r="AF20" i="30"/>
  <c r="AC20" i="30"/>
  <c r="Z20" i="30"/>
  <c r="Z29" i="30"/>
  <c r="V30" i="30"/>
  <c r="T35" i="30"/>
  <c r="T30" i="30"/>
  <c r="Q15" i="30"/>
  <c r="R15" i="30" s="1"/>
  <c r="Q16" i="30"/>
  <c r="R16" i="30" s="1"/>
  <c r="Z16" i="30" s="1"/>
  <c r="BE38" i="30"/>
  <c r="Q21" i="30"/>
  <c r="R21" i="30" s="1"/>
  <c r="AO20" i="30"/>
  <c r="T20" i="30"/>
  <c r="V20" i="30"/>
  <c r="AU29" i="30"/>
  <c r="AW29" i="30"/>
  <c r="AF34" i="30"/>
  <c r="Z34" i="30"/>
  <c r="AO34" i="30"/>
  <c r="V34" i="30"/>
  <c r="AC34" i="30"/>
  <c r="S36" i="30"/>
  <c r="AY36" i="30"/>
  <c r="AW36" i="30"/>
  <c r="AS36" i="30"/>
  <c r="AP36" i="30" s="1"/>
  <c r="BA36" i="30"/>
  <c r="AU36" i="30"/>
  <c r="BE28" i="30"/>
  <c r="V26" i="30"/>
  <c r="AF26" i="30"/>
  <c r="AO26" i="30"/>
  <c r="AC26" i="30"/>
  <c r="T26" i="30"/>
  <c r="Z26" i="30"/>
  <c r="BA31" i="30"/>
  <c r="AU31" i="30"/>
  <c r="AY31" i="30"/>
  <c r="AW31" i="30"/>
  <c r="AS31" i="30"/>
  <c r="AP31" i="30" s="1"/>
  <c r="BE33" i="30"/>
  <c r="X34" i="35"/>
  <c r="AD23" i="35"/>
  <c r="AB9" i="35"/>
  <c r="AE12" i="35"/>
  <c r="AD12" i="35"/>
  <c r="V28" i="14"/>
  <c r="V27" i="14"/>
  <c r="V26" i="14"/>
  <c r="V25" i="14"/>
  <c r="V24" i="14"/>
  <c r="V23" i="14"/>
  <c r="M25" i="35"/>
  <c r="P25" i="35"/>
  <c r="R25" i="35"/>
  <c r="S25" i="35"/>
  <c r="T25" i="35" s="1"/>
  <c r="Z25" i="35"/>
  <c r="M26" i="35"/>
  <c r="P26" i="35"/>
  <c r="R26" i="35"/>
  <c r="S26" i="35"/>
  <c r="T26" i="35" s="1"/>
  <c r="Z26" i="35"/>
  <c r="M27" i="35"/>
  <c r="O27" i="35"/>
  <c r="P27" i="35"/>
  <c r="R27" i="35"/>
  <c r="S27" i="35"/>
  <c r="T27" i="35" s="1"/>
  <c r="Z27" i="35"/>
  <c r="M28" i="35"/>
  <c r="O28" i="35"/>
  <c r="P28" i="35"/>
  <c r="R28" i="35"/>
  <c r="S28" i="35"/>
  <c r="T28" i="35" s="1"/>
  <c r="Z28" i="35"/>
  <c r="M29" i="35"/>
  <c r="O29" i="35"/>
  <c r="P29" i="35"/>
  <c r="R29" i="35"/>
  <c r="S29" i="35"/>
  <c r="T29" i="35" s="1"/>
  <c r="Z29" i="35"/>
  <c r="M30" i="35"/>
  <c r="O30" i="35"/>
  <c r="P30" i="35"/>
  <c r="R30" i="35"/>
  <c r="S30" i="35"/>
  <c r="T30" i="35" s="1"/>
  <c r="Z30" i="35"/>
  <c r="S23" i="35"/>
  <c r="T23" i="35" s="1"/>
  <c r="S24" i="35"/>
  <c r="AS25" i="30" l="1"/>
  <c r="AP25" i="30" s="1"/>
  <c r="S35" i="30"/>
  <c r="AY29" i="30"/>
  <c r="BA29" i="30"/>
  <c r="S29" i="30"/>
  <c r="AU25" i="30"/>
  <c r="AY30" i="30"/>
  <c r="BA35" i="30"/>
  <c r="AS35" i="30"/>
  <c r="AP35" i="30" s="1"/>
  <c r="AU35" i="30"/>
  <c r="AY25" i="30"/>
  <c r="AW35" i="30"/>
  <c r="AY39" i="30"/>
  <c r="AS39" i="30"/>
  <c r="AW39" i="30"/>
  <c r="S25" i="30"/>
  <c r="BA25" i="30"/>
  <c r="BA39" i="30"/>
  <c r="AC16" i="30"/>
  <c r="AU39" i="30"/>
  <c r="AS30" i="30"/>
  <c r="AP30" i="30" s="1"/>
  <c r="AW30" i="30"/>
  <c r="S30" i="30"/>
  <c r="AF15" i="30"/>
  <c r="AC15" i="30"/>
  <c r="Z15" i="30"/>
  <c r="V16" i="30"/>
  <c r="BA30" i="30"/>
  <c r="AO16" i="30"/>
  <c r="S16" i="30" s="1"/>
  <c r="T16" i="30"/>
  <c r="T15" i="30"/>
  <c r="V15" i="30"/>
  <c r="AO15" i="30"/>
  <c r="AS15" i="30" s="1"/>
  <c r="AP15" i="30" s="1"/>
  <c r="AF16" i="30"/>
  <c r="AY20" i="30"/>
  <c r="AW20" i="30"/>
  <c r="AS20" i="30"/>
  <c r="AP20" i="30" s="1"/>
  <c r="BA20" i="30"/>
  <c r="AU20" i="30"/>
  <c r="AP29" i="30"/>
  <c r="S26" i="30"/>
  <c r="AS26" i="30"/>
  <c r="AP26" i="30" s="1"/>
  <c r="BA26" i="30"/>
  <c r="AU26" i="30"/>
  <c r="AW26" i="30"/>
  <c r="AY26" i="30"/>
  <c r="S34" i="30"/>
  <c r="BA34" i="30"/>
  <c r="AY34" i="30"/>
  <c r="AW34" i="30"/>
  <c r="AU34" i="30"/>
  <c r="AS34" i="30"/>
  <c r="S20" i="30"/>
  <c r="AO21" i="30"/>
  <c r="AC21" i="30"/>
  <c r="Z21" i="30"/>
  <c r="T21" i="30"/>
  <c r="AF21" i="30"/>
  <c r="V21" i="30"/>
  <c r="BE31" i="30"/>
  <c r="BE36" i="30"/>
  <c r="O20" i="35"/>
  <c r="B31" i="35"/>
  <c r="Q27" i="35"/>
  <c r="AD27" i="35"/>
  <c r="Q26" i="35"/>
  <c r="AD26" i="35"/>
  <c r="Q28" i="35"/>
  <c r="AD28" i="35"/>
  <c r="Q25" i="35"/>
  <c r="AD25" i="35"/>
  <c r="Q29" i="35"/>
  <c r="AD29" i="35"/>
  <c r="Q30" i="35"/>
  <c r="AD30" i="35"/>
  <c r="C23" i="35"/>
  <c r="M90" i="14"/>
  <c r="M89" i="14"/>
  <c r="M88" i="14"/>
  <c r="M87" i="14"/>
  <c r="M76" i="14"/>
  <c r="M75" i="14"/>
  <c r="M74" i="14"/>
  <c r="M86" i="14"/>
  <c r="M85" i="14"/>
  <c r="M84" i="14"/>
  <c r="M73" i="14"/>
  <c r="M61" i="14"/>
  <c r="M62" i="14"/>
  <c r="M60" i="14"/>
  <c r="M129" i="14"/>
  <c r="M128" i="14"/>
  <c r="M127" i="14"/>
  <c r="M126" i="14"/>
  <c r="M125" i="14"/>
  <c r="M124" i="14"/>
  <c r="M83" i="14"/>
  <c r="M82" i="14"/>
  <c r="M81" i="14"/>
  <c r="M80" i="14"/>
  <c r="M72" i="14"/>
  <c r="M71" i="14"/>
  <c r="M70" i="14"/>
  <c r="M123" i="14"/>
  <c r="M122" i="14"/>
  <c r="M121" i="14"/>
  <c r="M120" i="14"/>
  <c r="M119" i="14"/>
  <c r="M118" i="14"/>
  <c r="M117" i="14"/>
  <c r="M116" i="14"/>
  <c r="M55" i="14"/>
  <c r="M54" i="14"/>
  <c r="M53" i="14"/>
  <c r="M52" i="14"/>
  <c r="M115" i="14"/>
  <c r="M114" i="14"/>
  <c r="M113" i="14"/>
  <c r="M112" i="14"/>
  <c r="M111" i="14"/>
  <c r="M110" i="14"/>
  <c r="M109" i="14"/>
  <c r="M108" i="14"/>
  <c r="M107" i="14"/>
  <c r="M106" i="14"/>
  <c r="M105" i="14"/>
  <c r="M104" i="14"/>
  <c r="M103" i="14"/>
  <c r="M102" i="14"/>
  <c r="M101" i="14"/>
  <c r="M100" i="14"/>
  <c r="M99" i="14"/>
  <c r="M98" i="14"/>
  <c r="M97" i="14"/>
  <c r="M96" i="14"/>
  <c r="M95" i="14"/>
  <c r="M94" i="14"/>
  <c r="M93" i="14"/>
  <c r="M92" i="14"/>
  <c r="M91" i="14"/>
  <c r="M65" i="14"/>
  <c r="M64" i="14"/>
  <c r="M63" i="14"/>
  <c r="M59" i="14"/>
  <c r="M58" i="14"/>
  <c r="M57" i="14"/>
  <c r="M56" i="14"/>
  <c r="M68" i="14"/>
  <c r="M51" i="14"/>
  <c r="M50" i="14"/>
  <c r="O81" i="35"/>
  <c r="O82" i="35"/>
  <c r="O83" i="35"/>
  <c r="O84" i="35"/>
  <c r="O85" i="35"/>
  <c r="O86" i="35"/>
  <c r="O87" i="35"/>
  <c r="O88" i="35"/>
  <c r="O89" i="35"/>
  <c r="O90" i="35"/>
  <c r="O91" i="35"/>
  <c r="O92" i="35"/>
  <c r="O93" i="35"/>
  <c r="O94" i="35"/>
  <c r="O95" i="35"/>
  <c r="O99" i="35"/>
  <c r="O100" i="35"/>
  <c r="O101" i="35"/>
  <c r="O102" i="35"/>
  <c r="O103" i="35"/>
  <c r="O104" i="35"/>
  <c r="O105" i="35"/>
  <c r="O106" i="35"/>
  <c r="O107" i="35"/>
  <c r="O108" i="35"/>
  <c r="O109" i="35"/>
  <c r="O110" i="35"/>
  <c r="O111" i="35"/>
  <c r="O112" i="35"/>
  <c r="O113" i="35"/>
  <c r="O114" i="35"/>
  <c r="O115" i="35"/>
  <c r="O116" i="35"/>
  <c r="O117" i="35"/>
  <c r="O118" i="35"/>
  <c r="AJ23" i="14"/>
  <c r="U28" i="35" s="1"/>
  <c r="AK23" i="14"/>
  <c r="V28" i="35" s="1"/>
  <c r="AL23" i="14"/>
  <c r="Y28" i="35" s="1"/>
  <c r="U137" i="35"/>
  <c r="V137" i="35"/>
  <c r="Y137" i="35"/>
  <c r="U138" i="35"/>
  <c r="V138" i="35"/>
  <c r="Y138" i="35"/>
  <c r="P81" i="35"/>
  <c r="P82" i="35"/>
  <c r="P83" i="35"/>
  <c r="P84" i="35"/>
  <c r="P85" i="35"/>
  <c r="P86" i="35"/>
  <c r="P87" i="35"/>
  <c r="P88" i="35"/>
  <c r="P89" i="35"/>
  <c r="P90" i="35"/>
  <c r="P91" i="35"/>
  <c r="P92" i="35"/>
  <c r="P93" i="35"/>
  <c r="P94" i="35"/>
  <c r="P95" i="35"/>
  <c r="P99" i="35"/>
  <c r="P100" i="35"/>
  <c r="P101" i="35"/>
  <c r="P102" i="35"/>
  <c r="M108" i="35"/>
  <c r="M109" i="35"/>
  <c r="M110" i="35"/>
  <c r="M111" i="35"/>
  <c r="M112" i="35"/>
  <c r="M113" i="35"/>
  <c r="M114" i="35"/>
  <c r="M115" i="35"/>
  <c r="M116" i="35"/>
  <c r="D106" i="35"/>
  <c r="D107" i="35"/>
  <c r="D108" i="35"/>
  <c r="D109" i="35"/>
  <c r="D110" i="35"/>
  <c r="D111" i="35"/>
  <c r="D112" i="35"/>
  <c r="D113" i="35"/>
  <c r="D114" i="35"/>
  <c r="D115" i="35"/>
  <c r="D116" i="35"/>
  <c r="D117" i="35"/>
  <c r="D118" i="35"/>
  <c r="D119" i="35"/>
  <c r="D120" i="35"/>
  <c r="D121" i="35"/>
  <c r="D122" i="35"/>
  <c r="D123" i="35"/>
  <c r="D124" i="35"/>
  <c r="D125" i="35"/>
  <c r="BE29" i="30" l="1"/>
  <c r="BE35" i="30"/>
  <c r="BE25" i="30"/>
  <c r="AY16" i="30"/>
  <c r="BA15" i="30"/>
  <c r="AS16" i="30"/>
  <c r="AP16" i="30" s="1"/>
  <c r="BE30" i="30"/>
  <c r="AP39" i="30"/>
  <c r="AU15" i="30"/>
  <c r="AW15" i="30"/>
  <c r="BE39" i="30"/>
  <c r="BA16" i="30"/>
  <c r="AU16" i="30"/>
  <c r="AW16" i="30"/>
  <c r="S15" i="30"/>
  <c r="AY15" i="30"/>
  <c r="BE34" i="30"/>
  <c r="AP34" i="30"/>
  <c r="S21" i="30"/>
  <c r="AS21" i="30"/>
  <c r="AP21" i="30" s="1"/>
  <c r="AY21" i="30"/>
  <c r="AU21" i="30"/>
  <c r="AW21" i="30"/>
  <c r="BA21" i="30"/>
  <c r="BE20" i="30"/>
  <c r="BE26" i="30"/>
  <c r="B84" i="35"/>
  <c r="O69" i="35"/>
  <c r="O96" i="35"/>
  <c r="B119" i="35"/>
  <c r="C125" i="35"/>
  <c r="C110" i="35"/>
  <c r="C122" i="35"/>
  <c r="C138" i="35"/>
  <c r="C135" i="35"/>
  <c r="C134" i="35"/>
  <c r="C118" i="35"/>
  <c r="C116" i="35"/>
  <c r="C133" i="35"/>
  <c r="C114" i="35"/>
  <c r="C127" i="35"/>
  <c r="C124" i="35"/>
  <c r="C107" i="35"/>
  <c r="C112" i="35"/>
  <c r="C117" i="35"/>
  <c r="C132" i="35"/>
  <c r="C106" i="35"/>
  <c r="C129" i="35"/>
  <c r="C108" i="35"/>
  <c r="C119" i="35"/>
  <c r="C130" i="35"/>
  <c r="C109" i="35"/>
  <c r="C121" i="35"/>
  <c r="C137" i="35"/>
  <c r="C111" i="35"/>
  <c r="C128" i="35"/>
  <c r="C115" i="35"/>
  <c r="C131" i="35"/>
  <c r="C113" i="35"/>
  <c r="C136" i="35"/>
  <c r="C123" i="35"/>
  <c r="C126" i="35"/>
  <c r="C120" i="35"/>
  <c r="W28" i="35"/>
  <c r="X28" i="35" s="1"/>
  <c r="W137" i="35"/>
  <c r="W138" i="35"/>
  <c r="BE16" i="30" l="1"/>
  <c r="BE15" i="30"/>
  <c r="BE21" i="30"/>
  <c r="M17" i="14"/>
  <c r="M16" i="14"/>
  <c r="M15" i="14"/>
  <c r="M14" i="14"/>
  <c r="M13" i="14"/>
  <c r="M12" i="14"/>
  <c r="M9" i="14"/>
  <c r="M8" i="14"/>
  <c r="M7" i="14"/>
  <c r="M6" i="14"/>
  <c r="M5" i="14"/>
  <c r="M4" i="14"/>
  <c r="M3" i="14"/>
  <c r="M10" i="14"/>
  <c r="M28" i="14"/>
  <c r="M27" i="14"/>
  <c r="M26" i="14"/>
  <c r="M25" i="14"/>
  <c r="M24" i="14"/>
  <c r="M22" i="14"/>
  <c r="M21" i="14"/>
  <c r="M20" i="14"/>
  <c r="M19" i="14"/>
  <c r="M18" i="14"/>
  <c r="AG23" i="14"/>
  <c r="AI23" i="14" s="1"/>
  <c r="C53" i="35" l="1"/>
  <c r="C54" i="35"/>
  <c r="C45" i="35"/>
  <c r="C46" i="35"/>
  <c r="C47" i="35"/>
  <c r="C48" i="35"/>
  <c r="C49" i="35"/>
  <c r="C50" i="35"/>
  <c r="C51" i="35"/>
  <c r="C52" i="35"/>
  <c r="C44" i="35"/>
  <c r="B8" i="35"/>
  <c r="AG24" i="14"/>
  <c r="AI24" i="14" s="1"/>
  <c r="P89" i="30" s="1"/>
  <c r="Q89" i="30" s="1"/>
  <c r="R89" i="30" s="1"/>
  <c r="AJ24" i="14"/>
  <c r="AK24" i="14"/>
  <c r="AL24" i="14"/>
  <c r="AG25" i="14"/>
  <c r="AI25" i="14" s="1"/>
  <c r="P94" i="30" s="1"/>
  <c r="Q94" i="30" s="1"/>
  <c r="R94" i="30" s="1"/>
  <c r="AJ25" i="14"/>
  <c r="AK25" i="14"/>
  <c r="AL25" i="14"/>
  <c r="AG26" i="14"/>
  <c r="AI26" i="14" s="1"/>
  <c r="AJ26" i="14"/>
  <c r="U31" i="35" s="1"/>
  <c r="AK26" i="14"/>
  <c r="V31" i="35" s="1"/>
  <c r="AL26" i="14"/>
  <c r="Y31" i="35" s="1"/>
  <c r="AG27" i="14"/>
  <c r="AI27" i="14" s="1"/>
  <c r="P99" i="30" s="1"/>
  <c r="AJ27" i="14"/>
  <c r="AK27" i="14"/>
  <c r="AL27" i="14"/>
  <c r="AG28" i="14"/>
  <c r="AI28" i="14" s="1"/>
  <c r="P104" i="30" s="1"/>
  <c r="AJ28" i="14"/>
  <c r="AK28" i="14"/>
  <c r="AL28" i="14"/>
  <c r="Z31" i="35"/>
  <c r="Z24" i="35"/>
  <c r="T32" i="35"/>
  <c r="S31" i="35"/>
  <c r="T31" i="35" s="1"/>
  <c r="R31" i="35"/>
  <c r="P31" i="35"/>
  <c r="O31" i="35"/>
  <c r="T24" i="35"/>
  <c r="R24" i="35"/>
  <c r="P24" i="35"/>
  <c r="M31" i="35"/>
  <c r="M24" i="35"/>
  <c r="D24" i="35"/>
  <c r="V29" i="35" l="1"/>
  <c r="P86" i="30"/>
  <c r="Y29" i="35"/>
  <c r="P85" i="30"/>
  <c r="U29" i="35"/>
  <c r="P88" i="30"/>
  <c r="Q88" i="30" s="1"/>
  <c r="R88" i="30" s="1"/>
  <c r="V33" i="35"/>
  <c r="P101" i="30"/>
  <c r="Q101" i="30" s="1"/>
  <c r="R101" i="30" s="1"/>
  <c r="V89" i="30"/>
  <c r="AO89" i="30"/>
  <c r="Z89" i="30"/>
  <c r="AF89" i="30"/>
  <c r="AC89" i="30"/>
  <c r="U33" i="35"/>
  <c r="P103" i="30"/>
  <c r="Q103" i="30" s="1"/>
  <c r="R103" i="30" s="1"/>
  <c r="Y30" i="35"/>
  <c r="P90" i="30"/>
  <c r="Q90" i="30" s="1"/>
  <c r="R90" i="30" s="1"/>
  <c r="V30" i="35"/>
  <c r="P91" i="30"/>
  <c r="Q91" i="30" s="1"/>
  <c r="R91" i="30" s="1"/>
  <c r="U32" i="35"/>
  <c r="P98" i="30"/>
  <c r="Q98" i="30" s="1"/>
  <c r="R98" i="30" s="1"/>
  <c r="U30" i="35"/>
  <c r="W30" i="35" s="1"/>
  <c r="X30" i="35" s="1"/>
  <c r="P93" i="30"/>
  <c r="Q93" i="30" s="1"/>
  <c r="R93" i="30" s="1"/>
  <c r="Y33" i="35"/>
  <c r="P100" i="30"/>
  <c r="Q100" i="30" s="1"/>
  <c r="R100" i="30" s="1"/>
  <c r="Y32" i="35"/>
  <c r="P95" i="30"/>
  <c r="V32" i="35"/>
  <c r="P96" i="30"/>
  <c r="Q96" i="30" s="1"/>
  <c r="R96" i="30" s="1"/>
  <c r="AO94" i="30"/>
  <c r="AC94" i="30"/>
  <c r="AF94" i="30"/>
  <c r="V94" i="30"/>
  <c r="Z94" i="30"/>
  <c r="AF23" i="35"/>
  <c r="AG24" i="35" s="1"/>
  <c r="C40" i="35"/>
  <c r="C37" i="35"/>
  <c r="C36" i="35"/>
  <c r="C35" i="35"/>
  <c r="C34" i="35"/>
  <c r="C39" i="35"/>
  <c r="C38" i="35"/>
  <c r="Q31" i="35"/>
  <c r="AD31" i="35"/>
  <c r="W32" i="35"/>
  <c r="X32" i="35" s="1"/>
  <c r="Q24" i="35"/>
  <c r="AD24" i="35"/>
  <c r="W33" i="35"/>
  <c r="C33" i="35"/>
  <c r="W31" i="35"/>
  <c r="X31" i="35" s="1"/>
  <c r="R21" i="35"/>
  <c r="C25" i="35"/>
  <c r="C27" i="35"/>
  <c r="C26" i="35"/>
  <c r="C28" i="35"/>
  <c r="C29" i="35"/>
  <c r="C30" i="35"/>
  <c r="C31" i="35"/>
  <c r="C24" i="35"/>
  <c r="C32" i="35"/>
  <c r="W29" i="35" l="1"/>
  <c r="X29" i="35" s="1"/>
  <c r="T101" i="30"/>
  <c r="V101" i="30"/>
  <c r="AO101" i="30"/>
  <c r="Z101" i="30"/>
  <c r="AF101" i="30"/>
  <c r="AC101" i="30"/>
  <c r="V93" i="30"/>
  <c r="T93" i="30"/>
  <c r="AO93" i="30"/>
  <c r="S93" i="30" s="1"/>
  <c r="T103" i="30"/>
  <c r="AO103" i="30"/>
  <c r="S103" i="30" s="1"/>
  <c r="V103" i="30"/>
  <c r="AC96" i="30"/>
  <c r="Z96" i="30"/>
  <c r="V96" i="30"/>
  <c r="AO96" i="30"/>
  <c r="AF96" i="30"/>
  <c r="T96" i="30"/>
  <c r="S96" i="30"/>
  <c r="T98" i="30"/>
  <c r="AO98" i="30"/>
  <c r="V98" i="30"/>
  <c r="Q85" i="30"/>
  <c r="R85" i="30" s="1"/>
  <c r="V88" i="30"/>
  <c r="T88" i="30"/>
  <c r="AO88" i="30"/>
  <c r="Q95" i="30"/>
  <c r="R95" i="30" s="1"/>
  <c r="T91" i="30"/>
  <c r="V91" i="30"/>
  <c r="AC91" i="30"/>
  <c r="AF91" i="30"/>
  <c r="Z91" i="30"/>
  <c r="AO91" i="30"/>
  <c r="S89" i="30"/>
  <c r="AU89" i="30"/>
  <c r="AS89" i="30"/>
  <c r="BA89" i="30"/>
  <c r="AY89" i="30"/>
  <c r="AW89" i="30"/>
  <c r="Q86" i="30"/>
  <c r="R86" i="30" s="1"/>
  <c r="S94" i="30"/>
  <c r="BA94" i="30"/>
  <c r="AY94" i="30"/>
  <c r="AW94" i="30"/>
  <c r="AU94" i="30"/>
  <c r="AS94" i="30"/>
  <c r="Z100" i="30"/>
  <c r="AF100" i="30"/>
  <c r="AC100" i="30"/>
  <c r="V100" i="30"/>
  <c r="T100" i="30"/>
  <c r="AO100" i="30"/>
  <c r="S100" i="30" s="1"/>
  <c r="T90" i="30"/>
  <c r="AC90" i="30"/>
  <c r="AF90" i="30"/>
  <c r="Z90" i="30"/>
  <c r="V90" i="30"/>
  <c r="AO90" i="30"/>
  <c r="AF25" i="35"/>
  <c r="AI23" i="35"/>
  <c r="AI25" i="35" s="1"/>
  <c r="AB28" i="35" s="1"/>
  <c r="AB29" i="35" s="1"/>
  <c r="AD41" i="35"/>
  <c r="AD42" i="35" s="1"/>
  <c r="X33" i="35"/>
  <c r="L165" i="30"/>
  <c r="L160" i="30"/>
  <c r="K165" i="30"/>
  <c r="J165" i="30"/>
  <c r="U165" i="30"/>
  <c r="AT165" i="30"/>
  <c r="AV165" i="30"/>
  <c r="W165" i="30"/>
  <c r="AQ166" i="30"/>
  <c r="AV166" i="30"/>
  <c r="U167" i="30"/>
  <c r="AT167" i="30"/>
  <c r="AV167" i="30"/>
  <c r="W168" i="30"/>
  <c r="AB168" i="30"/>
  <c r="AQ168" i="30" s="1"/>
  <c r="AV168" i="30"/>
  <c r="AV169" i="30"/>
  <c r="P224" i="31"/>
  <c r="P225" i="31"/>
  <c r="P226" i="31"/>
  <c r="P227" i="31"/>
  <c r="P228" i="31"/>
  <c r="R6" i="1"/>
  <c r="R5" i="1"/>
  <c r="R4" i="1"/>
  <c r="R3" i="1"/>
  <c r="AP94" i="30" l="1"/>
  <c r="AF95" i="30"/>
  <c r="Z95" i="30"/>
  <c r="AC95" i="30"/>
  <c r="V95" i="30"/>
  <c r="AO95" i="30"/>
  <c r="S95" i="30" s="1"/>
  <c r="T95" i="30"/>
  <c r="S88" i="30"/>
  <c r="BA88" i="30"/>
  <c r="AS88" i="30"/>
  <c r="AP88" i="30"/>
  <c r="AY88" i="30"/>
  <c r="AU88" i="30"/>
  <c r="AW88" i="30"/>
  <c r="AY103" i="30"/>
  <c r="AS103" i="30"/>
  <c r="BA103" i="30"/>
  <c r="AU103" i="30"/>
  <c r="AW103" i="30"/>
  <c r="AP103" i="30"/>
  <c r="Z85" i="30"/>
  <c r="AF85" i="30"/>
  <c r="AC85" i="30"/>
  <c r="AO85" i="30"/>
  <c r="T85" i="30"/>
  <c r="V85" i="30"/>
  <c r="S101" i="30"/>
  <c r="AP101" i="30"/>
  <c r="BA101" i="30"/>
  <c r="AW101" i="30"/>
  <c r="AU101" i="30"/>
  <c r="AS101" i="30"/>
  <c r="AY101" i="30"/>
  <c r="V86" i="30"/>
  <c r="Z86" i="30"/>
  <c r="AC86" i="30"/>
  <c r="AO86" i="30"/>
  <c r="AF86" i="30"/>
  <c r="T86" i="30"/>
  <c r="S91" i="30"/>
  <c r="AP91" i="30"/>
  <c r="AS91" i="30"/>
  <c r="BA91" i="30"/>
  <c r="AY91" i="30"/>
  <c r="AW91" i="30"/>
  <c r="AU91" i="30"/>
  <c r="AY100" i="30"/>
  <c r="AS100" i="30"/>
  <c r="AW100" i="30"/>
  <c r="AU100" i="30"/>
  <c r="AP100" i="30"/>
  <c r="BA100" i="30"/>
  <c r="AP96" i="30"/>
  <c r="AU96" i="30"/>
  <c r="AW96" i="30"/>
  <c r="BA96" i="30"/>
  <c r="AY96" i="30"/>
  <c r="AS96" i="30"/>
  <c r="AY98" i="30"/>
  <c r="AW98" i="30"/>
  <c r="AU98" i="30"/>
  <c r="AS98" i="30"/>
  <c r="AP98" i="30"/>
  <c r="BA98" i="30"/>
  <c r="S90" i="30"/>
  <c r="AW90" i="30"/>
  <c r="AU90" i="30"/>
  <c r="AS90" i="30"/>
  <c r="AP90" i="30"/>
  <c r="BA90" i="30"/>
  <c r="AY90" i="30"/>
  <c r="AP89" i="30"/>
  <c r="S98" i="30"/>
  <c r="AU93" i="30"/>
  <c r="AP93" i="30"/>
  <c r="AS93" i="30"/>
  <c r="BA93" i="30"/>
  <c r="AW93" i="30"/>
  <c r="AY93" i="30"/>
  <c r="AJ25" i="35"/>
  <c r="D225" i="31"/>
  <c r="D226" i="31" s="1"/>
  <c r="D227" i="31" s="1"/>
  <c r="D228" i="31" s="1"/>
  <c r="AQ165" i="30"/>
  <c r="AB165" i="30"/>
  <c r="AH166" i="30" s="1"/>
  <c r="AE168" i="30"/>
  <c r="M23" i="14"/>
  <c r="Z6" i="35"/>
  <c r="Z7" i="35"/>
  <c r="Z8" i="35"/>
  <c r="Z9" i="35"/>
  <c r="Z10" i="35"/>
  <c r="Z11" i="35"/>
  <c r="Z12" i="35"/>
  <c r="Z13" i="35"/>
  <c r="Z14" i="35"/>
  <c r="Z15" i="35"/>
  <c r="Z16" i="35"/>
  <c r="Z17" i="35"/>
  <c r="Z18" i="35"/>
  <c r="Z19" i="35"/>
  <c r="Z5" i="35"/>
  <c r="C8" i="35"/>
  <c r="C9" i="35"/>
  <c r="BE98" i="30" l="1"/>
  <c r="BE96" i="30"/>
  <c r="BE90" i="30"/>
  <c r="S85" i="30"/>
  <c r="AU85" i="30"/>
  <c r="AP85" i="30"/>
  <c r="AY85" i="30"/>
  <c r="AW85" i="30"/>
  <c r="AS85" i="30"/>
  <c r="BA85" i="30"/>
  <c r="BE93" i="30"/>
  <c r="AY95" i="30"/>
  <c r="AW95" i="30"/>
  <c r="AU95" i="30"/>
  <c r="AP95" i="30"/>
  <c r="AS95" i="30"/>
  <c r="BA95" i="30"/>
  <c r="BE100" i="30"/>
  <c r="BE91" i="30"/>
  <c r="S86" i="30"/>
  <c r="AW86" i="30"/>
  <c r="BA86" i="30"/>
  <c r="AY86" i="30"/>
  <c r="AS86" i="30"/>
  <c r="AP86" i="30"/>
  <c r="AU86" i="30"/>
  <c r="BE101" i="30"/>
  <c r="BE103" i="30"/>
  <c r="BE88" i="30"/>
  <c r="P167" i="30"/>
  <c r="R167" i="30" s="1"/>
  <c r="AO167" i="30" s="1"/>
  <c r="AW167" i="30" s="1"/>
  <c r="AH165" i="30"/>
  <c r="AK165" i="30"/>
  <c r="AH168" i="30"/>
  <c r="AE165" i="30"/>
  <c r="D214" i="31"/>
  <c r="D209" i="31"/>
  <c r="D210" i="31" s="1"/>
  <c r="J160" i="30"/>
  <c r="U160" i="30"/>
  <c r="AT160" i="30"/>
  <c r="AV160" i="30"/>
  <c r="U161" i="30"/>
  <c r="AE163" i="30"/>
  <c r="AQ161" i="30"/>
  <c r="AT161" i="30"/>
  <c r="AV161" i="30"/>
  <c r="U162" i="30"/>
  <c r="AT162" i="30"/>
  <c r="AV162" i="30"/>
  <c r="U163" i="30"/>
  <c r="W163" i="30"/>
  <c r="AB163" i="30"/>
  <c r="AQ163" i="30" s="1"/>
  <c r="AT163" i="30"/>
  <c r="AV163" i="30"/>
  <c r="AT164" i="30"/>
  <c r="AV164" i="30"/>
  <c r="C219" i="31"/>
  <c r="C214" i="31"/>
  <c r="C209" i="31"/>
  <c r="P219" i="31"/>
  <c r="P220" i="31"/>
  <c r="P221" i="31"/>
  <c r="P222" i="31"/>
  <c r="P223" i="31"/>
  <c r="P214" i="31"/>
  <c r="P215" i="31"/>
  <c r="P216" i="31"/>
  <c r="P217" i="31"/>
  <c r="P218" i="31"/>
  <c r="P209" i="31"/>
  <c r="P210" i="31"/>
  <c r="P211" i="31"/>
  <c r="P212" i="31"/>
  <c r="P213" i="31"/>
  <c r="V22" i="14"/>
  <c r="AG22" i="14"/>
  <c r="AI22" i="14" s="1"/>
  <c r="AJ22" i="14"/>
  <c r="AK22" i="14"/>
  <c r="AL22" i="14"/>
  <c r="BE85" i="30" l="1"/>
  <c r="BE95" i="30"/>
  <c r="Y27" i="35"/>
  <c r="P80" i="30"/>
  <c r="Q80" i="30" s="1"/>
  <c r="R80" i="30" s="1"/>
  <c r="BE86" i="30"/>
  <c r="U27" i="35"/>
  <c r="P83" i="30"/>
  <c r="V27" i="35"/>
  <c r="P81" i="30"/>
  <c r="F223" i="31"/>
  <c r="P84" i="30"/>
  <c r="Q84" i="30" s="1"/>
  <c r="R84" i="30" s="1"/>
  <c r="AY167" i="30"/>
  <c r="AU167" i="30"/>
  <c r="V167" i="30"/>
  <c r="T167" i="30"/>
  <c r="S167" i="30"/>
  <c r="AP167" i="30"/>
  <c r="AS167" i="30"/>
  <c r="AF167" i="30"/>
  <c r="Z167" i="30"/>
  <c r="BA167" i="30"/>
  <c r="AC167" i="30"/>
  <c r="W160" i="30"/>
  <c r="AO22" i="14"/>
  <c r="D211" i="31"/>
  <c r="D215" i="31"/>
  <c r="D220" i="31"/>
  <c r="X81" i="30" s="1"/>
  <c r="P67" i="30"/>
  <c r="M110" i="30"/>
  <c r="L110" i="30"/>
  <c r="M155" i="30"/>
  <c r="L155" i="30"/>
  <c r="M145" i="30"/>
  <c r="L145" i="30"/>
  <c r="M140" i="30"/>
  <c r="L140" i="30"/>
  <c r="M135" i="30"/>
  <c r="L135" i="30"/>
  <c r="M130" i="30"/>
  <c r="L130" i="30"/>
  <c r="M120" i="30"/>
  <c r="L120" i="30"/>
  <c r="M115" i="30"/>
  <c r="L115" i="30"/>
  <c r="M65" i="30"/>
  <c r="L65" i="30"/>
  <c r="L7" i="30"/>
  <c r="L5" i="30"/>
  <c r="M5" i="30"/>
  <c r="Q119" i="35"/>
  <c r="Q120" i="35"/>
  <c r="Q121" i="35"/>
  <c r="Q122" i="35"/>
  <c r="Q123" i="35"/>
  <c r="Q124" i="35"/>
  <c r="Q125" i="35"/>
  <c r="X137" i="35"/>
  <c r="X138" i="35"/>
  <c r="Q138" i="35"/>
  <c r="Q86" i="35"/>
  <c r="Q87" i="35"/>
  <c r="Q88" i="35"/>
  <c r="Q89" i="35"/>
  <c r="Q90" i="35"/>
  <c r="Q91" i="35"/>
  <c r="Q92" i="35"/>
  <c r="Q93" i="35"/>
  <c r="Q94" i="35"/>
  <c r="Q95" i="35"/>
  <c r="Q99" i="35"/>
  <c r="Q100" i="35"/>
  <c r="Q101" i="35"/>
  <c r="Q102" i="35"/>
  <c r="Q103" i="35"/>
  <c r="Q104" i="35"/>
  <c r="Q105" i="35"/>
  <c r="Q106" i="35"/>
  <c r="Q107" i="35"/>
  <c r="Q108" i="35"/>
  <c r="Q109" i="35"/>
  <c r="Q110" i="35"/>
  <c r="Q111" i="35"/>
  <c r="Q112" i="35"/>
  <c r="Q113" i="35"/>
  <c r="Q114" i="35"/>
  <c r="Q115" i="35"/>
  <c r="Q116" i="35"/>
  <c r="Q117" i="35"/>
  <c r="Q118" i="35"/>
  <c r="Q81" i="35"/>
  <c r="Q82" i="35"/>
  <c r="Q83" i="35"/>
  <c r="Q84" i="35"/>
  <c r="Q85" i="35"/>
  <c r="W27" i="35" l="1"/>
  <c r="X27" i="35" s="1"/>
  <c r="AF80" i="30"/>
  <c r="AC80" i="30"/>
  <c r="Z80" i="30"/>
  <c r="V80" i="30"/>
  <c r="AO80" i="30"/>
  <c r="S80" i="30" s="1"/>
  <c r="T80" i="30"/>
  <c r="Q81" i="30"/>
  <c r="R81" i="30" s="1"/>
  <c r="V84" i="30"/>
  <c r="Z84" i="30"/>
  <c r="AO84" i="30"/>
  <c r="AF84" i="30"/>
  <c r="AC84" i="30"/>
  <c r="BE167" i="30"/>
  <c r="AB160" i="30"/>
  <c r="AH161" i="30" s="1"/>
  <c r="AQ160" i="30"/>
  <c r="D216" i="31"/>
  <c r="D221" i="31"/>
  <c r="D212" i="31"/>
  <c r="P162" i="30"/>
  <c r="R162" i="30" s="1"/>
  <c r="Z162" i="30" s="1"/>
  <c r="AV159" i="30"/>
  <c r="AT159" i="30"/>
  <c r="AV154" i="30"/>
  <c r="AT154" i="30"/>
  <c r="AV149" i="30"/>
  <c r="AT149" i="30"/>
  <c r="AV144" i="30"/>
  <c r="AT144" i="30"/>
  <c r="AV139" i="30"/>
  <c r="AT139" i="30"/>
  <c r="AV138" i="30"/>
  <c r="AV134" i="30"/>
  <c r="AT134" i="30"/>
  <c r="AV124" i="30"/>
  <c r="AT124" i="30"/>
  <c r="AV119" i="30"/>
  <c r="AT119" i="30"/>
  <c r="AV114" i="30"/>
  <c r="AT114" i="30"/>
  <c r="AV69" i="30"/>
  <c r="AT69" i="30"/>
  <c r="AV64" i="30"/>
  <c r="AT64" i="30"/>
  <c r="AV9" i="30"/>
  <c r="AT9" i="30"/>
  <c r="W68" i="30"/>
  <c r="W63" i="30"/>
  <c r="W62" i="30"/>
  <c r="W8" i="30"/>
  <c r="P73" i="31"/>
  <c r="D73" i="31"/>
  <c r="P68" i="31"/>
  <c r="D68" i="31"/>
  <c r="P63" i="31"/>
  <c r="D63" i="31"/>
  <c r="P58" i="31"/>
  <c r="D58" i="31"/>
  <c r="P53" i="31"/>
  <c r="D53" i="31"/>
  <c r="P48" i="31"/>
  <c r="D48" i="31"/>
  <c r="P43" i="31"/>
  <c r="D43" i="31"/>
  <c r="P38" i="31"/>
  <c r="D38" i="31"/>
  <c r="P33" i="31"/>
  <c r="D33" i="31"/>
  <c r="P28" i="31"/>
  <c r="D28" i="31"/>
  <c r="P23" i="31"/>
  <c r="D23" i="31"/>
  <c r="P18" i="31"/>
  <c r="D18" i="31"/>
  <c r="P13" i="31"/>
  <c r="D13" i="31"/>
  <c r="P8" i="31"/>
  <c r="D8" i="31"/>
  <c r="P208" i="31"/>
  <c r="D208" i="31"/>
  <c r="P203" i="31"/>
  <c r="D203" i="31"/>
  <c r="P198" i="31"/>
  <c r="D198" i="31"/>
  <c r="P193" i="31"/>
  <c r="P188" i="31"/>
  <c r="D188" i="31"/>
  <c r="P183" i="31"/>
  <c r="D183" i="31"/>
  <c r="P178" i="31"/>
  <c r="D178" i="31"/>
  <c r="P173" i="31"/>
  <c r="D173" i="31"/>
  <c r="P168" i="31"/>
  <c r="D168" i="31"/>
  <c r="P163" i="31"/>
  <c r="P108" i="31"/>
  <c r="P103" i="31"/>
  <c r="D103" i="31"/>
  <c r="P98" i="31"/>
  <c r="A144" i="35"/>
  <c r="A150" i="35"/>
  <c r="C145" i="35"/>
  <c r="C146" i="35"/>
  <c r="C147" i="35"/>
  <c r="C148" i="35"/>
  <c r="C149" i="35"/>
  <c r="C150" i="35"/>
  <c r="C151" i="35"/>
  <c r="C152" i="35"/>
  <c r="C153" i="35"/>
  <c r="C154" i="35"/>
  <c r="C155" i="35"/>
  <c r="C144" i="35"/>
  <c r="Q148" i="35"/>
  <c r="L148" i="35"/>
  <c r="Q147" i="35"/>
  <c r="L147" i="35"/>
  <c r="Q146" i="35"/>
  <c r="L146" i="35"/>
  <c r="L145" i="35"/>
  <c r="L144" i="35"/>
  <c r="AW80" i="30" l="1"/>
  <c r="AP80" i="30"/>
  <c r="AU80" i="30"/>
  <c r="AS80" i="30"/>
  <c r="AY80" i="30"/>
  <c r="BA80" i="30"/>
  <c r="U81" i="30"/>
  <c r="AT81" i="30"/>
  <c r="V81" i="30"/>
  <c r="AF81" i="30"/>
  <c r="AC81" i="30"/>
  <c r="AO81" i="30"/>
  <c r="Z81" i="30"/>
  <c r="S84" i="30"/>
  <c r="AS84" i="30"/>
  <c r="AU84" i="30"/>
  <c r="AY84" i="30"/>
  <c r="AW84" i="30"/>
  <c r="BA84" i="30"/>
  <c r="AH160" i="30"/>
  <c r="AE160" i="30"/>
  <c r="AH163" i="30"/>
  <c r="AK160" i="30"/>
  <c r="AO162" i="30"/>
  <c r="S162" i="30" s="1"/>
  <c r="AC162" i="30"/>
  <c r="T162" i="30"/>
  <c r="D217" i="31"/>
  <c r="AF162" i="30"/>
  <c r="V162" i="30"/>
  <c r="D213" i="31"/>
  <c r="D222" i="31"/>
  <c r="X83" i="30" s="1"/>
  <c r="BE80" i="30" l="1"/>
  <c r="Q83" i="30"/>
  <c r="R83" i="30" s="1"/>
  <c r="AO83" i="30" s="1"/>
  <c r="S81" i="30"/>
  <c r="AU81" i="30"/>
  <c r="AY81" i="30"/>
  <c r="BA81" i="30"/>
  <c r="AP81" i="30"/>
  <c r="AW81" i="30"/>
  <c r="AS81" i="30"/>
  <c r="T81" i="30"/>
  <c r="AP84" i="30"/>
  <c r="BA162" i="30"/>
  <c r="AU162" i="30"/>
  <c r="AW162" i="30"/>
  <c r="AS162" i="30"/>
  <c r="AY162" i="30"/>
  <c r="AP162" i="30"/>
  <c r="D218" i="31"/>
  <c r="D223" i="31"/>
  <c r="V12" i="35"/>
  <c r="BE81" i="30" l="1"/>
  <c r="U83" i="30"/>
  <c r="AT83" i="30"/>
  <c r="V83" i="30"/>
  <c r="S83" i="30"/>
  <c r="BA83" i="30"/>
  <c r="AS83" i="30"/>
  <c r="AU83" i="30"/>
  <c r="AY83" i="30"/>
  <c r="AW83" i="30"/>
  <c r="AP83" i="30"/>
  <c r="BE162" i="30"/>
  <c r="AJ11" i="14"/>
  <c r="K65" i="30"/>
  <c r="K115" i="30"/>
  <c r="K120" i="30"/>
  <c r="K130" i="30"/>
  <c r="K135" i="30"/>
  <c r="K140" i="30"/>
  <c r="K145" i="30"/>
  <c r="K150" i="30"/>
  <c r="K155" i="30"/>
  <c r="P154" i="30" l="1"/>
  <c r="Q154" i="30" s="1"/>
  <c r="R154" i="30" s="1"/>
  <c r="AF154" i="30" s="1"/>
  <c r="P149" i="30"/>
  <c r="BE83" i="30"/>
  <c r="T83" i="30"/>
  <c r="U13" i="35"/>
  <c r="P13" i="30"/>
  <c r="Z154" i="30"/>
  <c r="AO154" i="30"/>
  <c r="V154" i="30"/>
  <c r="AC154" i="30" l="1"/>
  <c r="Q149" i="30"/>
  <c r="R149" i="30" s="1"/>
  <c r="Q13" i="30"/>
  <c r="R13" i="30" s="1"/>
  <c r="AO13" i="30" s="1"/>
  <c r="AO149" i="30"/>
  <c r="AF149" i="30"/>
  <c r="AC149" i="30"/>
  <c r="Z149" i="30"/>
  <c r="V149" i="30"/>
  <c r="BA154" i="30"/>
  <c r="AW154" i="30"/>
  <c r="AU154" i="30"/>
  <c r="AY154" i="30"/>
  <c r="AS154" i="30"/>
  <c r="S154" i="30"/>
  <c r="U12" i="35"/>
  <c r="C6" i="35"/>
  <c r="C7" i="35"/>
  <c r="S18" i="35"/>
  <c r="T18" i="35" s="1"/>
  <c r="C5" i="35"/>
  <c r="M18" i="35"/>
  <c r="M19" i="35"/>
  <c r="M8" i="35"/>
  <c r="M9" i="35"/>
  <c r="M7" i="35"/>
  <c r="M16" i="35"/>
  <c r="M17" i="35"/>
  <c r="M13" i="35"/>
  <c r="M5" i="35"/>
  <c r="M14" i="35"/>
  <c r="M6" i="35"/>
  <c r="M15" i="35"/>
  <c r="M10" i="35"/>
  <c r="M4" i="35"/>
  <c r="T14" i="14"/>
  <c r="T15" i="14"/>
  <c r="T16" i="14"/>
  <c r="T9" i="14"/>
  <c r="T10" i="14"/>
  <c r="T11" i="14"/>
  <c r="T3" i="14"/>
  <c r="L138" i="35"/>
  <c r="L125" i="35"/>
  <c r="L124" i="35"/>
  <c r="L123" i="35"/>
  <c r="L122" i="35"/>
  <c r="L121" i="35"/>
  <c r="L120" i="35"/>
  <c r="L119" i="35"/>
  <c r="L118" i="35"/>
  <c r="L117" i="35"/>
  <c r="L116" i="35"/>
  <c r="L115" i="35"/>
  <c r="L114" i="35"/>
  <c r="L113" i="35"/>
  <c r="L112" i="35"/>
  <c r="L111" i="35"/>
  <c r="L110" i="35"/>
  <c r="L109" i="35"/>
  <c r="L108" i="35"/>
  <c r="L107" i="35"/>
  <c r="L106" i="35"/>
  <c r="L105" i="35"/>
  <c r="L104" i="35"/>
  <c r="L103" i="35"/>
  <c r="L102" i="35"/>
  <c r="L101" i="35"/>
  <c r="L100" i="35"/>
  <c r="L99" i="35"/>
  <c r="L95" i="35"/>
  <c r="L94" i="35"/>
  <c r="L93" i="35"/>
  <c r="L92" i="35"/>
  <c r="L91" i="35"/>
  <c r="L90" i="35"/>
  <c r="L89" i="35"/>
  <c r="L88" i="35"/>
  <c r="L87" i="35"/>
  <c r="L86" i="35"/>
  <c r="L85" i="35"/>
  <c r="L84" i="35"/>
  <c r="L83" i="35"/>
  <c r="L82" i="35"/>
  <c r="L81" i="35"/>
  <c r="L80" i="35"/>
  <c r="L79" i="35"/>
  <c r="L18" i="35"/>
  <c r="L17" i="35"/>
  <c r="L16" i="35"/>
  <c r="L7" i="35"/>
  <c r="L9" i="35"/>
  <c r="L8" i="35"/>
  <c r="L19" i="35"/>
  <c r="L15" i="35"/>
  <c r="L6" i="35"/>
  <c r="L10" i="35"/>
  <c r="L14" i="35"/>
  <c r="L5" i="35"/>
  <c r="K11" i="14"/>
  <c r="L13" i="35" s="1"/>
  <c r="K10" i="14"/>
  <c r="L12" i="35" s="1"/>
  <c r="K9" i="14"/>
  <c r="L11" i="35" s="1"/>
  <c r="V11" i="14"/>
  <c r="AV63" i="30"/>
  <c r="AT63" i="30"/>
  <c r="AB63" i="30"/>
  <c r="Q63" i="30"/>
  <c r="AV62" i="30"/>
  <c r="AT62" i="30"/>
  <c r="R62" i="30"/>
  <c r="AV61" i="30"/>
  <c r="AT61" i="30"/>
  <c r="AE61" i="30"/>
  <c r="AE63" i="30" s="1"/>
  <c r="Q61" i="30"/>
  <c r="AV60" i="30"/>
  <c r="AT60" i="30"/>
  <c r="Q60" i="30"/>
  <c r="R60" i="30" s="1"/>
  <c r="AE66" i="30"/>
  <c r="AE68" i="30" s="1"/>
  <c r="W65" i="30" s="1"/>
  <c r="AB65" i="30" s="1"/>
  <c r="AK65" i="30" l="1"/>
  <c r="AH65" i="30"/>
  <c r="AE65" i="30"/>
  <c r="V13" i="30"/>
  <c r="Z13" i="30"/>
  <c r="T13" i="30"/>
  <c r="AC13" i="30"/>
  <c r="AF13" i="30"/>
  <c r="S13" i="30"/>
  <c r="AP154" i="30"/>
  <c r="AU13" i="30"/>
  <c r="BA13" i="30"/>
  <c r="AS13" i="30"/>
  <c r="AP13" i="30" s="1"/>
  <c r="AW13" i="30"/>
  <c r="AY13" i="30"/>
  <c r="AU149" i="30"/>
  <c r="AY149" i="30"/>
  <c r="BA149" i="30"/>
  <c r="AS149" i="30"/>
  <c r="AW149" i="30"/>
  <c r="S149" i="30"/>
  <c r="V60" i="30"/>
  <c r="AF62" i="30"/>
  <c r="V62" i="30"/>
  <c r="T62" i="30"/>
  <c r="AO60" i="30"/>
  <c r="S60" i="30" s="1"/>
  <c r="AF60" i="30"/>
  <c r="Z60" i="30"/>
  <c r="T60" i="30"/>
  <c r="AC60" i="30"/>
  <c r="R61" i="30"/>
  <c r="AB60" i="30"/>
  <c r="Z62" i="30"/>
  <c r="R63" i="30"/>
  <c r="AC62" i="30"/>
  <c r="AO62" i="30"/>
  <c r="S62" i="30" s="1"/>
  <c r="O5" i="35"/>
  <c r="P5" i="35"/>
  <c r="O14" i="35"/>
  <c r="P14" i="35"/>
  <c r="O10" i="35"/>
  <c r="P10" i="35"/>
  <c r="O6" i="35"/>
  <c r="P6" i="35"/>
  <c r="O15" i="35"/>
  <c r="P15" i="35"/>
  <c r="O19" i="35"/>
  <c r="P19" i="35"/>
  <c r="O8" i="35"/>
  <c r="P8" i="35"/>
  <c r="O9" i="35"/>
  <c r="P9" i="35"/>
  <c r="O7" i="35"/>
  <c r="P7" i="35"/>
  <c r="BE13" i="30" l="1"/>
  <c r="AP149" i="30"/>
  <c r="V63" i="30"/>
  <c r="V61" i="30"/>
  <c r="AF63" i="30"/>
  <c r="T63" i="30"/>
  <c r="AO63" i="30"/>
  <c r="S63" i="30" s="1"/>
  <c r="AC63" i="30"/>
  <c r="Z63" i="30"/>
  <c r="Z61" i="30"/>
  <c r="T61" i="30"/>
  <c r="AO61" i="30"/>
  <c r="S61" i="30" s="1"/>
  <c r="AF61" i="30"/>
  <c r="AC61" i="30"/>
  <c r="AY62" i="30"/>
  <c r="AS62" i="30"/>
  <c r="AP62" i="30" s="1"/>
  <c r="AU62" i="30"/>
  <c r="BA62" i="30"/>
  <c r="AW62" i="30"/>
  <c r="AH60" i="30"/>
  <c r="AE60" i="30"/>
  <c r="AK60" i="30"/>
  <c r="AH61" i="30"/>
  <c r="AH63" i="30" s="1"/>
  <c r="BA60" i="30"/>
  <c r="AY60" i="30"/>
  <c r="AU60" i="30"/>
  <c r="AS60" i="30"/>
  <c r="AP60" i="30" s="1"/>
  <c r="AW60" i="30"/>
  <c r="B8" i="15"/>
  <c r="AS3" i="1"/>
  <c r="BA63" i="30" l="1"/>
  <c r="AW63" i="30"/>
  <c r="AU63" i="30"/>
  <c r="AS63" i="30"/>
  <c r="AP63" i="30" s="1"/>
  <c r="AY63" i="30"/>
  <c r="AW61" i="30"/>
  <c r="AU61" i="30"/>
  <c r="AS61" i="30"/>
  <c r="AP61" i="30" s="1"/>
  <c r="BA61" i="30"/>
  <c r="AY61" i="30"/>
  <c r="AV7" i="15"/>
  <c r="AV6" i="15"/>
  <c r="AV5" i="15"/>
  <c r="AV4" i="15"/>
  <c r="AV3" i="15"/>
  <c r="AQ20" i="1"/>
  <c r="AQ19" i="1"/>
  <c r="AQ18" i="1"/>
  <c r="AQ17" i="1"/>
  <c r="AQ16" i="1"/>
  <c r="AQ15" i="1"/>
  <c r="AQ13" i="1"/>
  <c r="AQ12" i="1"/>
  <c r="AQ11" i="1"/>
  <c r="AQ14" i="1"/>
  <c r="AR17" i="1"/>
  <c r="T20" i="1"/>
  <c r="T19" i="1"/>
  <c r="T18" i="1"/>
  <c r="T17" i="1"/>
  <c r="T16" i="1"/>
  <c r="T15" i="1"/>
  <c r="T14" i="1"/>
  <c r="T13" i="1"/>
  <c r="T12" i="1"/>
  <c r="T11" i="1"/>
  <c r="W44" i="35" l="1"/>
  <c r="S13" i="35"/>
  <c r="T13" i="35" s="1"/>
  <c r="S5" i="35"/>
  <c r="T5" i="35" s="1"/>
  <c r="R14" i="35"/>
  <c r="R10" i="35"/>
  <c r="R6" i="35"/>
  <c r="R15" i="35"/>
  <c r="R19" i="35"/>
  <c r="R8" i="35"/>
  <c r="R9" i="35"/>
  <c r="R7" i="35"/>
  <c r="R16" i="35"/>
  <c r="R17" i="35"/>
  <c r="R18" i="35"/>
  <c r="R13" i="35"/>
  <c r="R5" i="35"/>
  <c r="AB8" i="30"/>
  <c r="AE6" i="30"/>
  <c r="AB68" i="30"/>
  <c r="D13" i="35"/>
  <c r="D16" i="35"/>
  <c r="D17" i="35"/>
  <c r="D18" i="35"/>
  <c r="S7" i="35"/>
  <c r="T7" i="35" s="1"/>
  <c r="S16" i="35"/>
  <c r="T16" i="35" s="1"/>
  <c r="S17" i="35"/>
  <c r="T17" i="35" s="1"/>
  <c r="AG11" i="14"/>
  <c r="AK11" i="14"/>
  <c r="V13" i="35" l="1"/>
  <c r="W13" i="35" s="1"/>
  <c r="P11" i="30"/>
  <c r="C19" i="35"/>
  <c r="AO11" i="14"/>
  <c r="C15" i="35"/>
  <c r="C16" i="35"/>
  <c r="C17" i="35"/>
  <c r="C13" i="35"/>
  <c r="C14" i="35"/>
  <c r="C18" i="35"/>
  <c r="AE8" i="30"/>
  <c r="W5" i="30" s="1"/>
  <c r="AB5" i="30" s="1"/>
  <c r="P12" i="35"/>
  <c r="P16" i="35"/>
  <c r="P17" i="35"/>
  <c r="P18" i="35"/>
  <c r="P11" i="35"/>
  <c r="R12" i="35"/>
  <c r="R11" i="35"/>
  <c r="AL3" i="14"/>
  <c r="AL12" i="14"/>
  <c r="AL6" i="14"/>
  <c r="Y10" i="35" s="1"/>
  <c r="AD10" i="35" s="1"/>
  <c r="AL4" i="14"/>
  <c r="AL13" i="14"/>
  <c r="Y15" i="35" s="1"/>
  <c r="AD15" i="35" s="1"/>
  <c r="AL17" i="14"/>
  <c r="AL7" i="14"/>
  <c r="Y8" i="35" s="1"/>
  <c r="AD8" i="35" s="1"/>
  <c r="AL8" i="14"/>
  <c r="AL5" i="14"/>
  <c r="AL14" i="14"/>
  <c r="Y16" i="35" s="1"/>
  <c r="AL15" i="14"/>
  <c r="Y17" i="35" s="1"/>
  <c r="AL16" i="14"/>
  <c r="Y18" i="35" s="1"/>
  <c r="AL50" i="14"/>
  <c r="Y50" i="35" s="1"/>
  <c r="AL51" i="14"/>
  <c r="Y51" i="35" s="1"/>
  <c r="AL18" i="14"/>
  <c r="AL19" i="14"/>
  <c r="AL68" i="14"/>
  <c r="Y68" i="35" s="1"/>
  <c r="AL21" i="14"/>
  <c r="AL56" i="14"/>
  <c r="Y56" i="35" s="1"/>
  <c r="AL57" i="14"/>
  <c r="Y57" i="35" s="1"/>
  <c r="AL58" i="14"/>
  <c r="Y58" i="35" s="1"/>
  <c r="AL59" i="14"/>
  <c r="Y59" i="35" s="1"/>
  <c r="AL63" i="14"/>
  <c r="Y63" i="35" s="1"/>
  <c r="AL64" i="14"/>
  <c r="Y64" i="35" s="1"/>
  <c r="AL20" i="14"/>
  <c r="P170" i="30" s="1"/>
  <c r="Q170" i="30" s="1"/>
  <c r="R170" i="30" s="1"/>
  <c r="AL65" i="14"/>
  <c r="Y65" i="35" s="1"/>
  <c r="AL91" i="14"/>
  <c r="Y72" i="35" s="1"/>
  <c r="AL92" i="14"/>
  <c r="Y73" i="35" s="1"/>
  <c r="AL93" i="14"/>
  <c r="Y74" i="35" s="1"/>
  <c r="AL94" i="14"/>
  <c r="Y75" i="35" s="1"/>
  <c r="AL95" i="14"/>
  <c r="Y76" i="35" s="1"/>
  <c r="AL96" i="14"/>
  <c r="Y77" i="35" s="1"/>
  <c r="AL97" i="14"/>
  <c r="Y78" i="35" s="1"/>
  <c r="AL98" i="14"/>
  <c r="Y79" i="35" s="1"/>
  <c r="AL99" i="14"/>
  <c r="Y80" i="35" s="1"/>
  <c r="AL100" i="14"/>
  <c r="Y81" i="35" s="1"/>
  <c r="AL101" i="14"/>
  <c r="Y82" i="35" s="1"/>
  <c r="AL102" i="14"/>
  <c r="Y83" i="35" s="1"/>
  <c r="AL103" i="14"/>
  <c r="Y84" i="35" s="1"/>
  <c r="AL104" i="14"/>
  <c r="Y85" i="35" s="1"/>
  <c r="AL105" i="14"/>
  <c r="Y86" i="35" s="1"/>
  <c r="AL106" i="14"/>
  <c r="Y87" i="35" s="1"/>
  <c r="AL107" i="14"/>
  <c r="Y88" i="35" s="1"/>
  <c r="AL108" i="14"/>
  <c r="Y89" i="35" s="1"/>
  <c r="AL109" i="14"/>
  <c r="Y90" i="35" s="1"/>
  <c r="AL110" i="14"/>
  <c r="Y91" i="35" s="1"/>
  <c r="AL111" i="14"/>
  <c r="Y92" i="35" s="1"/>
  <c r="AL112" i="14"/>
  <c r="Y93" i="35" s="1"/>
  <c r="AL113" i="14"/>
  <c r="Y94" i="35" s="1"/>
  <c r="AL114" i="14"/>
  <c r="Y95" i="35" s="1"/>
  <c r="AL115" i="14"/>
  <c r="Y99" i="35" s="1"/>
  <c r="AL52" i="14"/>
  <c r="Y52" i="35" s="1"/>
  <c r="AL53" i="14"/>
  <c r="Y53" i="35" s="1"/>
  <c r="AL54" i="14"/>
  <c r="Y54" i="35" s="1"/>
  <c r="AL55" i="14"/>
  <c r="Y55" i="35" s="1"/>
  <c r="AL116" i="14"/>
  <c r="Y104" i="35" s="1"/>
  <c r="AL117" i="14"/>
  <c r="Y105" i="35" s="1"/>
  <c r="AL118" i="14"/>
  <c r="Y106" i="35" s="1"/>
  <c r="AL119" i="14"/>
  <c r="Y107" i="35" s="1"/>
  <c r="AL120" i="14"/>
  <c r="Y108" i="35" s="1"/>
  <c r="AL121" i="14"/>
  <c r="Y109" i="35" s="1"/>
  <c r="AL122" i="14"/>
  <c r="Y110" i="35" s="1"/>
  <c r="AL123" i="14"/>
  <c r="Y111" i="35" s="1"/>
  <c r="AL70" i="14"/>
  <c r="Y112" i="35" s="1"/>
  <c r="AL71" i="14"/>
  <c r="Y113" i="35" s="1"/>
  <c r="AL72" i="14"/>
  <c r="Y114" i="35" s="1"/>
  <c r="AL80" i="14"/>
  <c r="Y115" i="35" s="1"/>
  <c r="AL81" i="14"/>
  <c r="Y116" i="35" s="1"/>
  <c r="AL82" i="14"/>
  <c r="Y117" i="35" s="1"/>
  <c r="AL83" i="14"/>
  <c r="Y118" i="35" s="1"/>
  <c r="AL124" i="14"/>
  <c r="Y119" i="35" s="1"/>
  <c r="AL125" i="14"/>
  <c r="Y120" i="35" s="1"/>
  <c r="AL126" i="14"/>
  <c r="Y121" i="35" s="1"/>
  <c r="AL127" i="14"/>
  <c r="Y122" i="35" s="1"/>
  <c r="AL128" i="14"/>
  <c r="Y123" i="35" s="1"/>
  <c r="AL129" i="14"/>
  <c r="Y124" i="35" s="1"/>
  <c r="AL60" i="14"/>
  <c r="Y60" i="35" s="1"/>
  <c r="AL62" i="14"/>
  <c r="Y62" i="35" s="1"/>
  <c r="AL73" i="14"/>
  <c r="Y128" i="35" s="1"/>
  <c r="AL11" i="14"/>
  <c r="AL9" i="14"/>
  <c r="W7" i="15"/>
  <c r="P107" i="31"/>
  <c r="P106" i="31"/>
  <c r="P105" i="31"/>
  <c r="P104" i="31"/>
  <c r="P102" i="31"/>
  <c r="P101" i="31"/>
  <c r="P100" i="31"/>
  <c r="P99" i="31"/>
  <c r="O11" i="35"/>
  <c r="O13" i="35"/>
  <c r="AF44" i="35"/>
  <c r="O18" i="35"/>
  <c r="O16" i="35"/>
  <c r="O17" i="35"/>
  <c r="AJ9" i="14"/>
  <c r="AK73" i="14"/>
  <c r="V128" i="35" s="1"/>
  <c r="AJ73" i="14"/>
  <c r="U128" i="35" s="1"/>
  <c r="AG73" i="14"/>
  <c r="AI73" i="14" s="1"/>
  <c r="AK62" i="14"/>
  <c r="V62" i="35" s="1"/>
  <c r="AJ62" i="14"/>
  <c r="U62" i="35" s="1"/>
  <c r="AG62" i="14"/>
  <c r="AI62" i="14" s="1"/>
  <c r="AK60" i="14"/>
  <c r="V60" i="35" s="1"/>
  <c r="AJ60" i="14"/>
  <c r="U60" i="35" s="1"/>
  <c r="AG60" i="14"/>
  <c r="AI60" i="14" s="1"/>
  <c r="AA60" i="35" s="1"/>
  <c r="AK129" i="14"/>
  <c r="V124" i="35" s="1"/>
  <c r="AJ129" i="14"/>
  <c r="U124" i="35" s="1"/>
  <c r="AG129" i="14"/>
  <c r="AI129" i="14" s="1"/>
  <c r="AK128" i="14"/>
  <c r="V123" i="35" s="1"/>
  <c r="AJ128" i="14"/>
  <c r="U123" i="35" s="1"/>
  <c r="AG128" i="14"/>
  <c r="AI128" i="14" s="1"/>
  <c r="AK127" i="14"/>
  <c r="V122" i="35" s="1"/>
  <c r="AJ127" i="14"/>
  <c r="U122" i="35" s="1"/>
  <c r="AG127" i="14"/>
  <c r="AI127" i="14" s="1"/>
  <c r="AK126" i="14"/>
  <c r="V121" i="35" s="1"/>
  <c r="AJ126" i="14"/>
  <c r="U121" i="35" s="1"/>
  <c r="AG126" i="14"/>
  <c r="AI126" i="14" s="1"/>
  <c r="AK125" i="14"/>
  <c r="V120" i="35" s="1"/>
  <c r="AJ125" i="14"/>
  <c r="U120" i="35" s="1"/>
  <c r="AG125" i="14"/>
  <c r="AI125" i="14" s="1"/>
  <c r="AK124" i="14"/>
  <c r="V119" i="35" s="1"/>
  <c r="AJ124" i="14"/>
  <c r="U119" i="35" s="1"/>
  <c r="AG124" i="14"/>
  <c r="AI124" i="14" s="1"/>
  <c r="AK83" i="14"/>
  <c r="V118" i="35" s="1"/>
  <c r="AJ83" i="14"/>
  <c r="U118" i="35" s="1"/>
  <c r="AG83" i="14"/>
  <c r="AI83" i="14" s="1"/>
  <c r="AK82" i="14"/>
  <c r="V117" i="35" s="1"/>
  <c r="AJ82" i="14"/>
  <c r="U117" i="35" s="1"/>
  <c r="AG82" i="14"/>
  <c r="AI82" i="14" s="1"/>
  <c r="AK81" i="14"/>
  <c r="V116" i="35" s="1"/>
  <c r="AJ81" i="14"/>
  <c r="U116" i="35" s="1"/>
  <c r="AG81" i="14"/>
  <c r="AI81" i="14" s="1"/>
  <c r="AK80" i="14"/>
  <c r="V115" i="35" s="1"/>
  <c r="AJ80" i="14"/>
  <c r="U115" i="35" s="1"/>
  <c r="AG80" i="14"/>
  <c r="AI80" i="14" s="1"/>
  <c r="AK72" i="14"/>
  <c r="V114" i="35" s="1"/>
  <c r="AJ72" i="14"/>
  <c r="U114" i="35" s="1"/>
  <c r="AG72" i="14"/>
  <c r="AI72" i="14" s="1"/>
  <c r="AK71" i="14"/>
  <c r="V113" i="35" s="1"/>
  <c r="AJ71" i="14"/>
  <c r="U113" i="35" s="1"/>
  <c r="AG71" i="14"/>
  <c r="AI71" i="14" s="1"/>
  <c r="AK70" i="14"/>
  <c r="V112" i="35" s="1"/>
  <c r="AJ70" i="14"/>
  <c r="U112" i="35" s="1"/>
  <c r="AG70" i="14"/>
  <c r="AI70" i="14" s="1"/>
  <c r="AA138" i="35" s="1"/>
  <c r="AK123" i="14"/>
  <c r="V111" i="35" s="1"/>
  <c r="AJ123" i="14"/>
  <c r="U111" i="35" s="1"/>
  <c r="AG123" i="14"/>
  <c r="AI123" i="14" s="1"/>
  <c r="AA137" i="35" s="1"/>
  <c r="AK122" i="14"/>
  <c r="V110" i="35" s="1"/>
  <c r="AJ122" i="14"/>
  <c r="U110" i="35" s="1"/>
  <c r="AG122" i="14"/>
  <c r="AI122" i="14" s="1"/>
  <c r="AA133" i="35" s="1"/>
  <c r="AK121" i="14"/>
  <c r="V109" i="35" s="1"/>
  <c r="AJ121" i="14"/>
  <c r="U109" i="35" s="1"/>
  <c r="AG121" i="14"/>
  <c r="AI121" i="14" s="1"/>
  <c r="AA132" i="35" s="1"/>
  <c r="AK120" i="14"/>
  <c r="V108" i="35" s="1"/>
  <c r="AJ120" i="14"/>
  <c r="U108" i="35" s="1"/>
  <c r="AG120" i="14"/>
  <c r="AI120" i="14" s="1"/>
  <c r="AA131" i="35" s="1"/>
  <c r="AK119" i="14"/>
  <c r="V107" i="35" s="1"/>
  <c r="AJ119" i="14"/>
  <c r="U107" i="35" s="1"/>
  <c r="AG119" i="14"/>
  <c r="AI119" i="14" s="1"/>
  <c r="AA130" i="35" s="1"/>
  <c r="AK118" i="14"/>
  <c r="V106" i="35" s="1"/>
  <c r="AJ118" i="14"/>
  <c r="U106" i="35" s="1"/>
  <c r="AG118" i="14"/>
  <c r="AI118" i="14" s="1"/>
  <c r="AA129" i="35" s="1"/>
  <c r="AK117" i="14"/>
  <c r="V105" i="35" s="1"/>
  <c r="AJ117" i="14"/>
  <c r="U105" i="35" s="1"/>
  <c r="AG117" i="14"/>
  <c r="AI117" i="14" s="1"/>
  <c r="AA128" i="35" s="1"/>
  <c r="AK116" i="14"/>
  <c r="V104" i="35" s="1"/>
  <c r="AJ116" i="14"/>
  <c r="U104" i="35" s="1"/>
  <c r="AG116" i="14"/>
  <c r="AI116" i="14" s="1"/>
  <c r="AA127" i="35" s="1"/>
  <c r="AK55" i="14"/>
  <c r="V55" i="35" s="1"/>
  <c r="AJ55" i="14"/>
  <c r="U55" i="35" s="1"/>
  <c r="AG55" i="14"/>
  <c r="AI55" i="14" s="1"/>
  <c r="AK54" i="14"/>
  <c r="V54" i="35" s="1"/>
  <c r="AJ54" i="14"/>
  <c r="U54" i="35" s="1"/>
  <c r="AG54" i="14"/>
  <c r="AI54" i="14" s="1"/>
  <c r="AK53" i="14"/>
  <c r="V53" i="35" s="1"/>
  <c r="AJ53" i="14"/>
  <c r="U53" i="35" s="1"/>
  <c r="AG53" i="14"/>
  <c r="AI53" i="14" s="1"/>
  <c r="AK52" i="14"/>
  <c r="V52" i="35" s="1"/>
  <c r="AJ52" i="14"/>
  <c r="U52" i="35" s="1"/>
  <c r="AG52" i="14"/>
  <c r="AI52" i="14" s="1"/>
  <c r="AA52" i="35" s="1"/>
  <c r="AK115" i="14"/>
  <c r="V99" i="35" s="1"/>
  <c r="AJ115" i="14"/>
  <c r="U99" i="35" s="1"/>
  <c r="AG115" i="14"/>
  <c r="AI115" i="14" s="1"/>
  <c r="AA122" i="35" s="1"/>
  <c r="AK114" i="14"/>
  <c r="V95" i="35" s="1"/>
  <c r="AJ114" i="14"/>
  <c r="U95" i="35" s="1"/>
  <c r="AG114" i="14"/>
  <c r="AI114" i="14" s="1"/>
  <c r="AA121" i="35" s="1"/>
  <c r="AA120" i="35"/>
  <c r="AK113" i="14"/>
  <c r="V94" i="35" s="1"/>
  <c r="AJ113" i="14"/>
  <c r="U94" i="35" s="1"/>
  <c r="AG113" i="14"/>
  <c r="AI113" i="14" s="1"/>
  <c r="AA119" i="35" s="1"/>
  <c r="AK112" i="14"/>
  <c r="V93" i="35" s="1"/>
  <c r="AJ112" i="14"/>
  <c r="U93" i="35" s="1"/>
  <c r="AG112" i="14"/>
  <c r="AI112" i="14" s="1"/>
  <c r="AA118" i="35" s="1"/>
  <c r="AK111" i="14"/>
  <c r="V92" i="35" s="1"/>
  <c r="AJ111" i="14"/>
  <c r="U92" i="35" s="1"/>
  <c r="AG111" i="14"/>
  <c r="AI111" i="14" s="1"/>
  <c r="AA117" i="35" s="1"/>
  <c r="AK110" i="14"/>
  <c r="V91" i="35" s="1"/>
  <c r="AJ110" i="14"/>
  <c r="U91" i="35" s="1"/>
  <c r="AG110" i="14"/>
  <c r="AI110" i="14" s="1"/>
  <c r="AA116" i="35" s="1"/>
  <c r="AA115" i="35"/>
  <c r="AA114" i="35"/>
  <c r="AK109" i="14"/>
  <c r="V90" i="35" s="1"/>
  <c r="AJ109" i="14"/>
  <c r="U90" i="35" s="1"/>
  <c r="AG109" i="14"/>
  <c r="AI109" i="14" s="1"/>
  <c r="AA113" i="35" s="1"/>
  <c r="AK108" i="14"/>
  <c r="V89" i="35" s="1"/>
  <c r="AJ108" i="14"/>
  <c r="U89" i="35" s="1"/>
  <c r="AG108" i="14"/>
  <c r="AI108" i="14" s="1"/>
  <c r="AA112" i="35" s="1"/>
  <c r="AK107" i="14"/>
  <c r="V88" i="35" s="1"/>
  <c r="AJ107" i="14"/>
  <c r="U88" i="35" s="1"/>
  <c r="AG107" i="14"/>
  <c r="AI107" i="14" s="1"/>
  <c r="AA111" i="35" s="1"/>
  <c r="AA110" i="35"/>
  <c r="AK106" i="14"/>
  <c r="V87" i="35" s="1"/>
  <c r="AJ106" i="14"/>
  <c r="U87" i="35" s="1"/>
  <c r="AG106" i="14"/>
  <c r="AI106" i="14" s="1"/>
  <c r="AA109" i="35" s="1"/>
  <c r="AK105" i="14"/>
  <c r="V86" i="35" s="1"/>
  <c r="AJ105" i="14"/>
  <c r="U86" i="35" s="1"/>
  <c r="AG105" i="14"/>
  <c r="AI105" i="14" s="1"/>
  <c r="AA108" i="35" s="1"/>
  <c r="AK104" i="14"/>
  <c r="V85" i="35" s="1"/>
  <c r="AJ104" i="14"/>
  <c r="U85" i="35" s="1"/>
  <c r="AG104" i="14"/>
  <c r="AI104" i="14" s="1"/>
  <c r="AA107" i="35" s="1"/>
  <c r="AK103" i="14"/>
  <c r="V84" i="35" s="1"/>
  <c r="AJ103" i="14"/>
  <c r="U84" i="35" s="1"/>
  <c r="AG103" i="14"/>
  <c r="AI103" i="14" s="1"/>
  <c r="AA106" i="35" s="1"/>
  <c r="AK102" i="14"/>
  <c r="V83" i="35" s="1"/>
  <c r="AJ102" i="14"/>
  <c r="U83" i="35" s="1"/>
  <c r="AG102" i="14"/>
  <c r="AI102" i="14" s="1"/>
  <c r="AA105" i="35" s="1"/>
  <c r="AK101" i="14"/>
  <c r="V82" i="35" s="1"/>
  <c r="AJ101" i="14"/>
  <c r="U82" i="35" s="1"/>
  <c r="AG101" i="14"/>
  <c r="AI101" i="14" s="1"/>
  <c r="AA104" i="35" s="1"/>
  <c r="AK100" i="14"/>
  <c r="V81" i="35" s="1"/>
  <c r="AJ100" i="14"/>
  <c r="U81" i="35" s="1"/>
  <c r="AG100" i="14"/>
  <c r="AI100" i="14" s="1"/>
  <c r="AA103" i="35" s="1"/>
  <c r="AK99" i="14"/>
  <c r="V80" i="35" s="1"/>
  <c r="AJ99" i="14"/>
  <c r="U80" i="35" s="1"/>
  <c r="AG99" i="14"/>
  <c r="AI99" i="14" s="1"/>
  <c r="AA102" i="35" s="1"/>
  <c r="AK98" i="14"/>
  <c r="V79" i="35" s="1"/>
  <c r="AJ98" i="14"/>
  <c r="U79" i="35" s="1"/>
  <c r="AG98" i="14"/>
  <c r="AI98" i="14" s="1"/>
  <c r="AA101" i="35" s="1"/>
  <c r="AK97" i="14"/>
  <c r="V78" i="35" s="1"/>
  <c r="AJ97" i="14"/>
  <c r="U78" i="35" s="1"/>
  <c r="AG97" i="14"/>
  <c r="AI97" i="14" s="1"/>
  <c r="AA100" i="35" s="1"/>
  <c r="AK96" i="14"/>
  <c r="V77" i="35" s="1"/>
  <c r="AJ96" i="14"/>
  <c r="U77" i="35" s="1"/>
  <c r="AG96" i="14"/>
  <c r="AI96" i="14" s="1"/>
  <c r="AA99" i="35" s="1"/>
  <c r="AK95" i="14"/>
  <c r="V76" i="35" s="1"/>
  <c r="AJ95" i="14"/>
  <c r="U76" i="35" s="1"/>
  <c r="AG95" i="14"/>
  <c r="AI95" i="14" s="1"/>
  <c r="AA95" i="35" s="1"/>
  <c r="AA94" i="35"/>
  <c r="AA93" i="35"/>
  <c r="AA92" i="35"/>
  <c r="AK94" i="14"/>
  <c r="V75" i="35" s="1"/>
  <c r="AJ94" i="14"/>
  <c r="U75" i="35" s="1"/>
  <c r="AG94" i="14"/>
  <c r="AI94" i="14" s="1"/>
  <c r="AA91" i="35" s="1"/>
  <c r="AA90" i="35"/>
  <c r="AA89" i="35"/>
  <c r="AK93" i="14"/>
  <c r="V74" i="35" s="1"/>
  <c r="AJ93" i="14"/>
  <c r="U74" i="35" s="1"/>
  <c r="AG93" i="14"/>
  <c r="AI93" i="14" s="1"/>
  <c r="AA88" i="35" s="1"/>
  <c r="AA87" i="35"/>
  <c r="AA86" i="35"/>
  <c r="AA85" i="35"/>
  <c r="AA84" i="35"/>
  <c r="AA83" i="35"/>
  <c r="AA82" i="35"/>
  <c r="AK92" i="14"/>
  <c r="V73" i="35" s="1"/>
  <c r="AJ92" i="14"/>
  <c r="U73" i="35" s="1"/>
  <c r="AG92" i="14"/>
  <c r="AI92" i="14" s="1"/>
  <c r="AA81" i="35" s="1"/>
  <c r="AK91" i="14"/>
  <c r="V72" i="35" s="1"/>
  <c r="AJ91" i="14"/>
  <c r="U72" i="35" s="1"/>
  <c r="AG91" i="14"/>
  <c r="AI91" i="14" s="1"/>
  <c r="AA80" i="35" s="1"/>
  <c r="AA79" i="35"/>
  <c r="AK65" i="14"/>
  <c r="V65" i="35" s="1"/>
  <c r="AJ65" i="14"/>
  <c r="U65" i="35" s="1"/>
  <c r="AG65" i="14"/>
  <c r="AI65" i="14" s="1"/>
  <c r="AA65" i="35" s="1"/>
  <c r="AK20" i="14"/>
  <c r="AJ20" i="14"/>
  <c r="AG20" i="14"/>
  <c r="AI20" i="14" s="1"/>
  <c r="P174" i="30" s="1"/>
  <c r="Q174" i="30" s="1"/>
  <c r="R174" i="30" s="1"/>
  <c r="AK64" i="14"/>
  <c r="V64" i="35" s="1"/>
  <c r="AJ64" i="14"/>
  <c r="U64" i="35" s="1"/>
  <c r="AG64" i="14"/>
  <c r="AI64" i="14" s="1"/>
  <c r="AA64" i="35" s="1"/>
  <c r="AK63" i="14"/>
  <c r="V63" i="35" s="1"/>
  <c r="AJ63" i="14"/>
  <c r="U63" i="35" s="1"/>
  <c r="AG63" i="14"/>
  <c r="AI63" i="14" s="1"/>
  <c r="AA63" i="35" s="1"/>
  <c r="AK59" i="14"/>
  <c r="V59" i="35" s="1"/>
  <c r="AJ59" i="14"/>
  <c r="U59" i="35" s="1"/>
  <c r="AG59" i="14"/>
  <c r="AI59" i="14" s="1"/>
  <c r="AA59" i="35" s="1"/>
  <c r="AK58" i="14"/>
  <c r="V58" i="35" s="1"/>
  <c r="AJ58" i="14"/>
  <c r="U58" i="35" s="1"/>
  <c r="AG58" i="14"/>
  <c r="AI58" i="14" s="1"/>
  <c r="AA58" i="35" s="1"/>
  <c r="AK57" i="14"/>
  <c r="V57" i="35" s="1"/>
  <c r="AJ57" i="14"/>
  <c r="U57" i="35" s="1"/>
  <c r="AG57" i="14"/>
  <c r="AI57" i="14" s="1"/>
  <c r="AA57" i="35" s="1"/>
  <c r="S9" i="35"/>
  <c r="T9" i="35" s="1"/>
  <c r="S8" i="35"/>
  <c r="T8" i="35" s="1"/>
  <c r="S19" i="35"/>
  <c r="T19" i="35" s="1"/>
  <c r="S15" i="35"/>
  <c r="T15" i="35" s="1"/>
  <c r="S6" i="35"/>
  <c r="T6" i="35" s="1"/>
  <c r="S10" i="35"/>
  <c r="T10" i="35" s="1"/>
  <c r="S14" i="35"/>
  <c r="T14" i="35" s="1"/>
  <c r="S12" i="35"/>
  <c r="T12" i="35" s="1"/>
  <c r="S11" i="35"/>
  <c r="T11" i="35" s="1"/>
  <c r="AI11" i="14"/>
  <c r="AH5" i="30" l="1"/>
  <c r="AE5" i="30"/>
  <c r="AK5" i="30"/>
  <c r="AH6" i="30"/>
  <c r="AH8" i="30" s="1"/>
  <c r="W53" i="35"/>
  <c r="X53" i="35" s="1"/>
  <c r="U25" i="35"/>
  <c r="P173" i="30"/>
  <c r="Q173" i="30" s="1"/>
  <c r="R173" i="30" s="1"/>
  <c r="V25" i="35"/>
  <c r="P171" i="30"/>
  <c r="Q171" i="30" s="1"/>
  <c r="R171" i="30" s="1"/>
  <c r="W52" i="35"/>
  <c r="X52" i="35" s="1"/>
  <c r="Y26" i="35"/>
  <c r="P165" i="30"/>
  <c r="Y14" i="35"/>
  <c r="AD14" i="35" s="1"/>
  <c r="P155" i="30"/>
  <c r="W58" i="35"/>
  <c r="X58" i="35" s="1"/>
  <c r="AF170" i="30"/>
  <c r="Z170" i="30"/>
  <c r="AO170" i="30"/>
  <c r="AC170" i="30"/>
  <c r="V170" i="30"/>
  <c r="T170" i="30"/>
  <c r="Y5" i="35"/>
  <c r="AD5" i="35" s="1"/>
  <c r="P130" i="30"/>
  <c r="Y9" i="35"/>
  <c r="AD9" i="35" s="1"/>
  <c r="P120" i="30"/>
  <c r="Y23" i="35"/>
  <c r="P70" i="30"/>
  <c r="P160" i="30"/>
  <c r="Q160" i="30" s="1"/>
  <c r="R160" i="30" s="1"/>
  <c r="AO174" i="30"/>
  <c r="AF174" i="30"/>
  <c r="AC174" i="30"/>
  <c r="Z174" i="30"/>
  <c r="V174" i="30"/>
  <c r="T174" i="30"/>
  <c r="Y19" i="35"/>
  <c r="AD19" i="35" s="1"/>
  <c r="P110" i="30"/>
  <c r="Y6" i="35"/>
  <c r="AD6" i="35" s="1"/>
  <c r="P135" i="30"/>
  <c r="Y7" i="35"/>
  <c r="AD7" i="35" s="1"/>
  <c r="P140" i="30"/>
  <c r="Y24" i="35"/>
  <c r="P75" i="30"/>
  <c r="Q75" i="30" s="1"/>
  <c r="R75" i="30" s="1"/>
  <c r="W60" i="35"/>
  <c r="X60" i="35" s="1"/>
  <c r="W63" i="35"/>
  <c r="X63" i="35" s="1"/>
  <c r="W55" i="35"/>
  <c r="X55" i="35" s="1"/>
  <c r="P109" i="30"/>
  <c r="Q109" i="30" s="1"/>
  <c r="R109" i="30" s="1"/>
  <c r="AC109" i="30" s="1"/>
  <c r="AA62" i="35"/>
  <c r="W62" i="35"/>
  <c r="X62" i="35" s="1"/>
  <c r="W64" i="35"/>
  <c r="X64" i="35" s="1"/>
  <c r="W57" i="35"/>
  <c r="X57" i="35" s="1"/>
  <c r="AA124" i="35"/>
  <c r="AA53" i="35"/>
  <c r="AA125" i="35"/>
  <c r="AA54" i="35"/>
  <c r="W59" i="35"/>
  <c r="X59" i="35" s="1"/>
  <c r="W54" i="35"/>
  <c r="X54" i="35" s="1"/>
  <c r="W65" i="35"/>
  <c r="X65" i="35" s="1"/>
  <c r="AA126" i="35"/>
  <c r="AA55" i="35"/>
  <c r="Q104" i="30"/>
  <c r="R104" i="30" s="1"/>
  <c r="U100" i="35"/>
  <c r="Y125" i="35"/>
  <c r="Y101" i="35"/>
  <c r="V100" i="35"/>
  <c r="Y100" i="35"/>
  <c r="U103" i="35"/>
  <c r="V103" i="35"/>
  <c r="U125" i="35"/>
  <c r="U11" i="35"/>
  <c r="V101" i="35"/>
  <c r="V125" i="35"/>
  <c r="Y11" i="35"/>
  <c r="AD11" i="35" s="1"/>
  <c r="U101" i="35"/>
  <c r="P14" i="30"/>
  <c r="Q19" i="30"/>
  <c r="R19" i="30" s="1"/>
  <c r="Y13" i="35"/>
  <c r="AD13" i="35" s="1"/>
  <c r="P10" i="30"/>
  <c r="U102" i="35"/>
  <c r="U127" i="35"/>
  <c r="Y103" i="35"/>
  <c r="AA123" i="35"/>
  <c r="Q99" i="30"/>
  <c r="R99" i="30" s="1"/>
  <c r="V102" i="35"/>
  <c r="V127" i="35"/>
  <c r="Y127" i="35"/>
  <c r="Y102" i="35"/>
  <c r="Q45" i="30"/>
  <c r="R45" i="30" s="1"/>
  <c r="W73" i="35"/>
  <c r="X73" i="35" s="1"/>
  <c r="W128" i="35"/>
  <c r="X128" i="35" s="1"/>
  <c r="W72" i="35"/>
  <c r="X72" i="35" s="1"/>
  <c r="B11" i="35"/>
  <c r="W80" i="35"/>
  <c r="X80" i="35" s="1"/>
  <c r="W79" i="35"/>
  <c r="X79" i="35" s="1"/>
  <c r="W77" i="35"/>
  <c r="X77" i="35" s="1"/>
  <c r="W78" i="35"/>
  <c r="X78" i="35" s="1"/>
  <c r="W81" i="35"/>
  <c r="X81" i="35" s="1"/>
  <c r="W74" i="35"/>
  <c r="X74" i="35" s="1"/>
  <c r="W76" i="35"/>
  <c r="X76" i="35" s="1"/>
  <c r="W75" i="35"/>
  <c r="X75" i="35" s="1"/>
  <c r="W86" i="35"/>
  <c r="X86" i="35" s="1"/>
  <c r="AF46" i="35"/>
  <c r="AI44" i="35"/>
  <c r="AI46" i="35" s="1"/>
  <c r="AG45" i="35"/>
  <c r="Y25" i="35"/>
  <c r="AD17" i="35"/>
  <c r="AD16" i="35"/>
  <c r="AD18" i="35"/>
  <c r="X13" i="35"/>
  <c r="AE13" i="35"/>
  <c r="W25" i="35"/>
  <c r="X25" i="35" s="1"/>
  <c r="W110" i="35"/>
  <c r="X110" i="35" s="1"/>
  <c r="W93" i="35"/>
  <c r="X93" i="35" s="1"/>
  <c r="W109" i="35"/>
  <c r="X109" i="35" s="1"/>
  <c r="W82" i="35"/>
  <c r="X82" i="35" s="1"/>
  <c r="W118" i="35"/>
  <c r="X118" i="35" s="1"/>
  <c r="W113" i="35"/>
  <c r="X113" i="35" s="1"/>
  <c r="W108" i="35"/>
  <c r="X108" i="35" s="1"/>
  <c r="W84" i="35"/>
  <c r="X84" i="35" s="1"/>
  <c r="W89" i="35"/>
  <c r="X89" i="35" s="1"/>
  <c r="W91" i="35"/>
  <c r="X91" i="35" s="1"/>
  <c r="W99" i="35"/>
  <c r="X99" i="35" s="1"/>
  <c r="W107" i="35"/>
  <c r="X107" i="35" s="1"/>
  <c r="W115" i="35"/>
  <c r="X115" i="35" s="1"/>
  <c r="W123" i="35"/>
  <c r="X123" i="35" s="1"/>
  <c r="W92" i="35"/>
  <c r="X92" i="35" s="1"/>
  <c r="W87" i="35"/>
  <c r="X87" i="35" s="1"/>
  <c r="W94" i="35"/>
  <c r="X94" i="35" s="1"/>
  <c r="W111" i="35"/>
  <c r="X111" i="35" s="1"/>
  <c r="W119" i="35"/>
  <c r="X119" i="35" s="1"/>
  <c r="W104" i="35"/>
  <c r="X104" i="35" s="1"/>
  <c r="W112" i="35"/>
  <c r="X112" i="35" s="1"/>
  <c r="W117" i="35"/>
  <c r="X117" i="35" s="1"/>
  <c r="W120" i="35"/>
  <c r="X120" i="35" s="1"/>
  <c r="W105" i="35"/>
  <c r="X105" i="35" s="1"/>
  <c r="W121" i="35"/>
  <c r="X121" i="35" s="1"/>
  <c r="W85" i="35"/>
  <c r="X85" i="35" s="1"/>
  <c r="W90" i="35"/>
  <c r="X90" i="35" s="1"/>
  <c r="W116" i="35"/>
  <c r="X116" i="35" s="1"/>
  <c r="W124" i="35"/>
  <c r="X124" i="35" s="1"/>
  <c r="W83" i="35"/>
  <c r="X83" i="35" s="1"/>
  <c r="W88" i="35"/>
  <c r="X88" i="35" s="1"/>
  <c r="W95" i="35"/>
  <c r="X95" i="35" s="1"/>
  <c r="W106" i="35"/>
  <c r="X106" i="35" s="1"/>
  <c r="W114" i="35"/>
  <c r="X114" i="35" s="1"/>
  <c r="W122" i="35"/>
  <c r="X122" i="35" s="1"/>
  <c r="X44" i="35"/>
  <c r="F108" i="31"/>
  <c r="AA13" i="35"/>
  <c r="AO107" i="14"/>
  <c r="AO113" i="14"/>
  <c r="AO70" i="14"/>
  <c r="AO124" i="14"/>
  <c r="AO115" i="14"/>
  <c r="AO80" i="14"/>
  <c r="AO106" i="14"/>
  <c r="AO111" i="14"/>
  <c r="AO122" i="14"/>
  <c r="AO96" i="14"/>
  <c r="AO58" i="14"/>
  <c r="AO92" i="14"/>
  <c r="AO97" i="14"/>
  <c r="AO105" i="14"/>
  <c r="AO110" i="14"/>
  <c r="AO53" i="14"/>
  <c r="AO121" i="14"/>
  <c r="AO82" i="14"/>
  <c r="AO129" i="14"/>
  <c r="AO64" i="14"/>
  <c r="AO9" i="14"/>
  <c r="AO119" i="14"/>
  <c r="AO127" i="14"/>
  <c r="AO59" i="14"/>
  <c r="AO60" i="14"/>
  <c r="AO20" i="14"/>
  <c r="AO101" i="14"/>
  <c r="AO108" i="14"/>
  <c r="AO117" i="14"/>
  <c r="AO71" i="14"/>
  <c r="AO125" i="14"/>
  <c r="AO73" i="14"/>
  <c r="AO128" i="14"/>
  <c r="AO100" i="14"/>
  <c r="AO116" i="14"/>
  <c r="AO95" i="14"/>
  <c r="AO103" i="14"/>
  <c r="AO57" i="14"/>
  <c r="AO104" i="14"/>
  <c r="AO120" i="14"/>
  <c r="AO81" i="14"/>
  <c r="AO63" i="14"/>
  <c r="AO94" i="14"/>
  <c r="AO99" i="14"/>
  <c r="AO112" i="14"/>
  <c r="AO55" i="14"/>
  <c r="AO123" i="14"/>
  <c r="AO62" i="14"/>
  <c r="AO98" i="14"/>
  <c r="AO54" i="14"/>
  <c r="AO83" i="14"/>
  <c r="AO91" i="14"/>
  <c r="AO93" i="14"/>
  <c r="AO52" i="14"/>
  <c r="AO65" i="14"/>
  <c r="AO102" i="14"/>
  <c r="AO109" i="14"/>
  <c r="AO114" i="14"/>
  <c r="AO118" i="14"/>
  <c r="AO72" i="14"/>
  <c r="AO126" i="14"/>
  <c r="W100" i="35" l="1"/>
  <c r="X100" i="35" s="1"/>
  <c r="AC160" i="30"/>
  <c r="V160" i="30"/>
  <c r="AF160" i="30"/>
  <c r="Z160" i="30"/>
  <c r="AO160" i="30"/>
  <c r="T160" i="30"/>
  <c r="S160" i="30"/>
  <c r="Q70" i="30"/>
  <c r="R70" i="30" s="1"/>
  <c r="Q165" i="30"/>
  <c r="R165" i="30" s="1"/>
  <c r="Z45" i="30"/>
  <c r="AF45" i="30"/>
  <c r="AC45" i="30"/>
  <c r="AP170" i="30"/>
  <c r="AU170" i="30"/>
  <c r="AS170" i="30"/>
  <c r="AW170" i="30"/>
  <c r="BA170" i="30"/>
  <c r="AY170" i="30"/>
  <c r="W125" i="35"/>
  <c r="X125" i="35" s="1"/>
  <c r="AC171" i="30"/>
  <c r="Z171" i="30"/>
  <c r="AF171" i="30"/>
  <c r="AO171" i="30"/>
  <c r="V171" i="30"/>
  <c r="T171" i="30"/>
  <c r="AF173" i="30"/>
  <c r="T173" i="30"/>
  <c r="AO173" i="30"/>
  <c r="AC173" i="30"/>
  <c r="Z173" i="30"/>
  <c r="V173" i="30"/>
  <c r="S174" i="30"/>
  <c r="BA174" i="30"/>
  <c r="AY174" i="30"/>
  <c r="AS174" i="30"/>
  <c r="AW174" i="30"/>
  <c r="AU174" i="30"/>
  <c r="S170" i="30"/>
  <c r="AF75" i="30"/>
  <c r="AC75" i="30"/>
  <c r="Z75" i="30"/>
  <c r="AO75" i="30"/>
  <c r="V75" i="30"/>
  <c r="T75" i="30"/>
  <c r="Q10" i="30"/>
  <c r="R10" i="30" s="1"/>
  <c r="AO10" i="30" s="1"/>
  <c r="S10" i="30" s="1"/>
  <c r="Q14" i="30"/>
  <c r="R14" i="30" s="1"/>
  <c r="Z14" i="30" s="1"/>
  <c r="AF109" i="30"/>
  <c r="AO109" i="30"/>
  <c r="AY109" i="30" s="1"/>
  <c r="V109" i="30"/>
  <c r="Z109" i="30"/>
  <c r="W101" i="35"/>
  <c r="X101" i="35" s="1"/>
  <c r="W103" i="35"/>
  <c r="X103" i="35" s="1"/>
  <c r="W127" i="35"/>
  <c r="X127" i="35" s="1"/>
  <c r="W102" i="35"/>
  <c r="X102" i="35" s="1"/>
  <c r="Q40" i="30"/>
  <c r="R40" i="30" s="1"/>
  <c r="Z19" i="30"/>
  <c r="AO19" i="30"/>
  <c r="AC19" i="30"/>
  <c r="V19" i="30"/>
  <c r="AF19" i="30"/>
  <c r="AO99" i="30"/>
  <c r="AF99" i="30"/>
  <c r="Z99" i="30"/>
  <c r="V99" i="30"/>
  <c r="AC99" i="30"/>
  <c r="AO104" i="30"/>
  <c r="S104" i="30" s="1"/>
  <c r="AF104" i="30"/>
  <c r="AC104" i="30"/>
  <c r="V104" i="30"/>
  <c r="Z104" i="30"/>
  <c r="V45" i="30"/>
  <c r="AO45" i="30"/>
  <c r="T45" i="30"/>
  <c r="AJ46" i="35"/>
  <c r="AB26" i="35"/>
  <c r="AB27" i="35" s="1"/>
  <c r="Q64" i="30"/>
  <c r="R64" i="30" s="1"/>
  <c r="BE63" i="30"/>
  <c r="BE62" i="30"/>
  <c r="BE60" i="30"/>
  <c r="BA109" i="30" l="1"/>
  <c r="AS109" i="30"/>
  <c r="AP174" i="30"/>
  <c r="T10" i="30"/>
  <c r="AF14" i="30"/>
  <c r="Z70" i="30"/>
  <c r="AF70" i="30"/>
  <c r="AC70" i="30"/>
  <c r="T70" i="30"/>
  <c r="AO70" i="30"/>
  <c r="S70" i="30" s="1"/>
  <c r="V70" i="30"/>
  <c r="AF10" i="30"/>
  <c r="AC10" i="30"/>
  <c r="Z10" i="30"/>
  <c r="V14" i="30"/>
  <c r="S173" i="30"/>
  <c r="AW173" i="30"/>
  <c r="AU173" i="30"/>
  <c r="AP173" i="30"/>
  <c r="AS173" i="30"/>
  <c r="BA173" i="30"/>
  <c r="AY173" i="30"/>
  <c r="AU160" i="30"/>
  <c r="BA160" i="30"/>
  <c r="AS160" i="30"/>
  <c r="AY160" i="30"/>
  <c r="AW160" i="30"/>
  <c r="AP160" i="30"/>
  <c r="BE170" i="30"/>
  <c r="AF165" i="30"/>
  <c r="V165" i="30"/>
  <c r="AO165" i="30"/>
  <c r="S165" i="30" s="1"/>
  <c r="AC165" i="30"/>
  <c r="T165" i="30"/>
  <c r="Z165" i="30"/>
  <c r="V10" i="30"/>
  <c r="AC14" i="30"/>
  <c r="AF40" i="30"/>
  <c r="AC40" i="30"/>
  <c r="Z40" i="30"/>
  <c r="S171" i="30"/>
  <c r="AS171" i="30"/>
  <c r="AU171" i="30"/>
  <c r="BA171" i="30"/>
  <c r="AW171" i="30"/>
  <c r="AY171" i="30"/>
  <c r="AP171" i="30"/>
  <c r="S75" i="30"/>
  <c r="AU75" i="30"/>
  <c r="AS75" i="30"/>
  <c r="AP75" i="30"/>
  <c r="BA75" i="30"/>
  <c r="AY75" i="30"/>
  <c r="AW75" i="30"/>
  <c r="AU109" i="30"/>
  <c r="AW109" i="30"/>
  <c r="S109" i="30"/>
  <c r="AO14" i="30"/>
  <c r="S14" i="30" s="1"/>
  <c r="S19" i="30"/>
  <c r="AS19" i="30"/>
  <c r="BA19" i="30"/>
  <c r="AY19" i="30"/>
  <c r="AW19" i="30"/>
  <c r="AU19" i="30"/>
  <c r="S99" i="30"/>
  <c r="AY99" i="30"/>
  <c r="AW99" i="30"/>
  <c r="AS99" i="30"/>
  <c r="AU99" i="30"/>
  <c r="BA99" i="30"/>
  <c r="T40" i="30"/>
  <c r="V40" i="30"/>
  <c r="AO40" i="30"/>
  <c r="AS104" i="30"/>
  <c r="BA104" i="30"/>
  <c r="AY104" i="30"/>
  <c r="AU104" i="30"/>
  <c r="AW104" i="30"/>
  <c r="S45" i="30"/>
  <c r="AS45" i="30"/>
  <c r="AP45" i="30" s="1"/>
  <c r="AW45" i="30"/>
  <c r="AY45" i="30"/>
  <c r="BA45" i="30"/>
  <c r="AU45" i="30"/>
  <c r="BA10" i="30"/>
  <c r="AY10" i="30"/>
  <c r="AW10" i="30"/>
  <c r="AU10" i="30"/>
  <c r="AS10" i="30"/>
  <c r="AP10" i="30" s="1"/>
  <c r="AF64" i="30"/>
  <c r="V64" i="30"/>
  <c r="AO64" i="30"/>
  <c r="AC64" i="30"/>
  <c r="Z64" i="30"/>
  <c r="BE61" i="30"/>
  <c r="V73" i="14"/>
  <c r="Q18" i="35"/>
  <c r="Q17" i="35"/>
  <c r="Q16" i="35"/>
  <c r="Q7" i="35"/>
  <c r="Q9" i="35"/>
  <c r="Q8" i="35"/>
  <c r="Q19" i="35"/>
  <c r="Q15" i="35"/>
  <c r="Q6" i="35"/>
  <c r="Q10" i="35"/>
  <c r="Q14" i="35"/>
  <c r="Q5" i="35"/>
  <c r="Q12" i="35"/>
  <c r="Q11" i="35"/>
  <c r="AP109" i="30" l="1"/>
  <c r="AS14" i="30"/>
  <c r="AY14" i="30"/>
  <c r="AU70" i="30"/>
  <c r="AS70" i="30"/>
  <c r="AP70" i="30"/>
  <c r="AW70" i="30"/>
  <c r="BA70" i="30"/>
  <c r="AY70" i="30"/>
  <c r="BA14" i="30"/>
  <c r="AW165" i="30"/>
  <c r="AY165" i="30"/>
  <c r="AU165" i="30"/>
  <c r="BA165" i="30"/>
  <c r="AS165" i="30"/>
  <c r="AP165" i="30"/>
  <c r="BE160" i="30"/>
  <c r="AW14" i="30"/>
  <c r="AU14" i="30"/>
  <c r="BE171" i="30"/>
  <c r="BE173" i="30"/>
  <c r="BE75" i="30"/>
  <c r="AP19" i="30"/>
  <c r="AP99" i="30"/>
  <c r="AS40" i="30"/>
  <c r="AP40" i="30" s="1"/>
  <c r="AY40" i="30"/>
  <c r="BA40" i="30"/>
  <c r="AW40" i="30"/>
  <c r="AU40" i="30"/>
  <c r="AP104" i="30"/>
  <c r="BE10" i="30"/>
  <c r="BE45" i="30"/>
  <c r="S40" i="30"/>
  <c r="BE19" i="30"/>
  <c r="AW64" i="30"/>
  <c r="BA64" i="30"/>
  <c r="AU64" i="30"/>
  <c r="AS64" i="30"/>
  <c r="AY64" i="30"/>
  <c r="S64" i="30"/>
  <c r="V65" i="14"/>
  <c r="V20" i="14"/>
  <c r="V64" i="14"/>
  <c r="V63" i="14"/>
  <c r="V59" i="14"/>
  <c r="W155" i="30"/>
  <c r="AB155" i="30" s="1"/>
  <c r="W150" i="30"/>
  <c r="W145" i="30"/>
  <c r="AB145" i="30" s="1"/>
  <c r="G130" i="30"/>
  <c r="C204" i="31"/>
  <c r="C199" i="31"/>
  <c r="AK16" i="14"/>
  <c r="V18" i="35" s="1"/>
  <c r="AJ16" i="14"/>
  <c r="U18" i="35" s="1"/>
  <c r="AG16" i="14"/>
  <c r="AI16" i="14" s="1"/>
  <c r="AK15" i="14"/>
  <c r="V17" i="35" s="1"/>
  <c r="AJ15" i="14"/>
  <c r="U17" i="35" s="1"/>
  <c r="AG15" i="14"/>
  <c r="AI15" i="14" s="1"/>
  <c r="AK14" i="14"/>
  <c r="V16" i="35" s="1"/>
  <c r="AJ14" i="14"/>
  <c r="U16" i="35" s="1"/>
  <c r="AG14" i="14"/>
  <c r="AI14" i="14" s="1"/>
  <c r="AI9" i="14"/>
  <c r="P97" i="31"/>
  <c r="P96" i="31"/>
  <c r="P95" i="31"/>
  <c r="P94" i="31"/>
  <c r="G110" i="30"/>
  <c r="P153" i="30"/>
  <c r="P152" i="30"/>
  <c r="R152" i="30" s="1"/>
  <c r="P151" i="30"/>
  <c r="P150" i="30"/>
  <c r="P148" i="30"/>
  <c r="P147" i="30"/>
  <c r="R147" i="30" s="1"/>
  <c r="P146" i="30"/>
  <c r="P145" i="30"/>
  <c r="V62" i="14"/>
  <c r="V60" i="14"/>
  <c r="V58" i="14"/>
  <c r="V57" i="14"/>
  <c r="V129" i="14"/>
  <c r="V128" i="14"/>
  <c r="V127" i="14"/>
  <c r="V126" i="14"/>
  <c r="V125" i="14"/>
  <c r="V124" i="14"/>
  <c r="V83" i="14"/>
  <c r="V82" i="14"/>
  <c r="V81" i="14"/>
  <c r="V80" i="14"/>
  <c r="V72" i="14"/>
  <c r="V71" i="14"/>
  <c r="V70" i="14"/>
  <c r="V120" i="14"/>
  <c r="V119" i="14"/>
  <c r="V118" i="14"/>
  <c r="V117" i="14"/>
  <c r="V116" i="14"/>
  <c r="V115" i="14"/>
  <c r="V114" i="14"/>
  <c r="V113" i="14"/>
  <c r="V112" i="14"/>
  <c r="V111" i="14"/>
  <c r="V110" i="14"/>
  <c r="V109" i="14"/>
  <c r="V108" i="14"/>
  <c r="V107" i="14"/>
  <c r="V106" i="14"/>
  <c r="V105" i="14"/>
  <c r="V104" i="14"/>
  <c r="V103" i="14"/>
  <c r="V102" i="14"/>
  <c r="V101" i="14"/>
  <c r="V100" i="14"/>
  <c r="V99" i="14"/>
  <c r="V98" i="14"/>
  <c r="V97" i="14"/>
  <c r="V96" i="14"/>
  <c r="V95" i="14"/>
  <c r="V94" i="14"/>
  <c r="V93" i="14"/>
  <c r="V92" i="14"/>
  <c r="V91" i="14"/>
  <c r="V123" i="14"/>
  <c r="V122" i="14"/>
  <c r="V121" i="14"/>
  <c r="V55" i="14"/>
  <c r="V54" i="14"/>
  <c r="V53" i="14"/>
  <c r="V52" i="14"/>
  <c r="V16" i="14"/>
  <c r="V15" i="14"/>
  <c r="V14" i="14"/>
  <c r="V56" i="14"/>
  <c r="V21" i="14"/>
  <c r="V68" i="14"/>
  <c r="V19" i="14"/>
  <c r="V18" i="14"/>
  <c r="V51" i="14"/>
  <c r="V50" i="14"/>
  <c r="V6" i="14"/>
  <c r="V12" i="14"/>
  <c r="V5" i="14"/>
  <c r="V4" i="14"/>
  <c r="V13" i="14"/>
  <c r="V3" i="14"/>
  <c r="V8" i="14"/>
  <c r="V7" i="14"/>
  <c r="V17" i="14"/>
  <c r="AT150" i="30"/>
  <c r="AV150" i="30"/>
  <c r="AT152" i="30"/>
  <c r="AV152" i="30"/>
  <c r="AQ151" i="30"/>
  <c r="AB153" i="30"/>
  <c r="AQ153" i="30" s="1"/>
  <c r="W153" i="30"/>
  <c r="U150" i="30"/>
  <c r="U152" i="30"/>
  <c r="P202" i="31"/>
  <c r="P201" i="31"/>
  <c r="P200" i="31"/>
  <c r="P199" i="31"/>
  <c r="I48" i="33"/>
  <c r="I45" i="33"/>
  <c r="D90" i="33"/>
  <c r="I94" i="33" s="1"/>
  <c r="D35" i="33"/>
  <c r="I37" i="33" s="1"/>
  <c r="D38" i="33"/>
  <c r="I41" i="33" s="1"/>
  <c r="D98" i="33"/>
  <c r="I101" i="33" s="1"/>
  <c r="D120" i="33"/>
  <c r="J120" i="33" s="1"/>
  <c r="D119" i="33"/>
  <c r="J119" i="33" s="1"/>
  <c r="D18" i="33"/>
  <c r="I25" i="33" s="1"/>
  <c r="D116" i="33"/>
  <c r="I116" i="33" s="1"/>
  <c r="D123" i="33"/>
  <c r="I123" i="33" s="1"/>
  <c r="D127" i="33"/>
  <c r="I127" i="33" s="1"/>
  <c r="D51" i="33"/>
  <c r="I52" i="33" s="1"/>
  <c r="AE143" i="30"/>
  <c r="T6" i="14"/>
  <c r="T12" i="14"/>
  <c r="T4" i="14"/>
  <c r="T7" i="14"/>
  <c r="T8" i="14"/>
  <c r="T17" i="14"/>
  <c r="R14" i="1"/>
  <c r="AE13" i="14"/>
  <c r="J4" i="15"/>
  <c r="J5" i="15"/>
  <c r="J6" i="15"/>
  <c r="J7" i="15"/>
  <c r="J3" i="15"/>
  <c r="AU4" i="15"/>
  <c r="AU5" i="15"/>
  <c r="AU6" i="15"/>
  <c r="AU7" i="15"/>
  <c r="AU3" i="15"/>
  <c r="AT7" i="15"/>
  <c r="AT6" i="15"/>
  <c r="AT5" i="15"/>
  <c r="AT4" i="15"/>
  <c r="AG50" i="14"/>
  <c r="AJ50" i="14"/>
  <c r="U50" i="35" s="1"/>
  <c r="AK50" i="14"/>
  <c r="V50" i="35" s="1"/>
  <c r="AG51" i="14"/>
  <c r="AK51" i="14"/>
  <c r="V51" i="35" s="1"/>
  <c r="W51" i="35" s="1"/>
  <c r="X51" i="35" s="1"/>
  <c r="AG18" i="14"/>
  <c r="AJ18" i="14"/>
  <c r="AK18" i="14"/>
  <c r="AG19" i="14"/>
  <c r="AJ19" i="14"/>
  <c r="AK19" i="14"/>
  <c r="AG68" i="14"/>
  <c r="AJ68" i="14"/>
  <c r="U68" i="35" s="1"/>
  <c r="AK68" i="14"/>
  <c r="V68" i="35" s="1"/>
  <c r="AG21" i="14"/>
  <c r="AJ21" i="14"/>
  <c r="AK21" i="14"/>
  <c r="AG56" i="14"/>
  <c r="AJ56" i="14"/>
  <c r="U56" i="35" s="1"/>
  <c r="AK56" i="14"/>
  <c r="V56" i="35" s="1"/>
  <c r="AG7" i="14"/>
  <c r="AJ7" i="14"/>
  <c r="U8" i="35" s="1"/>
  <c r="AK7" i="14"/>
  <c r="V8" i="35" s="1"/>
  <c r="AG8" i="14"/>
  <c r="AJ8" i="14"/>
  <c r="AK8" i="14"/>
  <c r="AG3" i="14"/>
  <c r="AJ3" i="14"/>
  <c r="AK3" i="14"/>
  <c r="AG13" i="14"/>
  <c r="AJ13" i="14"/>
  <c r="U15" i="35" s="1"/>
  <c r="AK13" i="14"/>
  <c r="V15" i="35" s="1"/>
  <c r="AG4" i="14"/>
  <c r="AJ4" i="14"/>
  <c r="AK4" i="14"/>
  <c r="AG5" i="14"/>
  <c r="AJ5" i="14"/>
  <c r="AK5" i="14"/>
  <c r="AG6" i="14"/>
  <c r="AI6" i="14" s="1"/>
  <c r="AJ6" i="14"/>
  <c r="U10" i="35" s="1"/>
  <c r="AK6" i="14"/>
  <c r="V10" i="35" s="1"/>
  <c r="AG12" i="14"/>
  <c r="AI12" i="14" s="1"/>
  <c r="AJ12" i="14"/>
  <c r="AK12" i="14"/>
  <c r="P156" i="30" s="1"/>
  <c r="AG17" i="14"/>
  <c r="AQ4" i="15"/>
  <c r="AQ5" i="15"/>
  <c r="AQ6" i="15"/>
  <c r="AQ7" i="15"/>
  <c r="AQ3" i="15"/>
  <c r="AB158" i="30"/>
  <c r="AQ158" i="30" s="1"/>
  <c r="W158" i="30"/>
  <c r="AB148" i="30"/>
  <c r="AQ148" i="30" s="1"/>
  <c r="W148" i="30"/>
  <c r="AV157" i="30"/>
  <c r="AT157" i="30"/>
  <c r="AV155" i="30"/>
  <c r="AT155" i="30"/>
  <c r="AV147" i="30"/>
  <c r="AT147" i="30"/>
  <c r="AV145" i="30"/>
  <c r="AT145" i="30"/>
  <c r="P157" i="30"/>
  <c r="R157" i="30" s="1"/>
  <c r="C194" i="31"/>
  <c r="P207" i="31"/>
  <c r="P206" i="31"/>
  <c r="P205" i="31"/>
  <c r="P204" i="31"/>
  <c r="P197" i="31"/>
  <c r="P196" i="31"/>
  <c r="P195" i="31"/>
  <c r="P194" i="31"/>
  <c r="W143" i="30"/>
  <c r="AE6" i="14"/>
  <c r="AQ156" i="30"/>
  <c r="AQ146" i="30"/>
  <c r="U157" i="30"/>
  <c r="U155" i="30"/>
  <c r="U147" i="30"/>
  <c r="U145" i="30"/>
  <c r="AI7" i="15"/>
  <c r="AI6" i="15"/>
  <c r="AI5" i="15"/>
  <c r="AI4" i="15"/>
  <c r="AI3" i="15"/>
  <c r="R16" i="1"/>
  <c r="R15" i="1"/>
  <c r="R12" i="1"/>
  <c r="AU20" i="1"/>
  <c r="AU19" i="1"/>
  <c r="AU18" i="1"/>
  <c r="AU17" i="1"/>
  <c r="C34" i="32"/>
  <c r="C33" i="32"/>
  <c r="C35" i="32" s="1"/>
  <c r="N29" i="32"/>
  <c r="H22" i="32"/>
  <c r="H21" i="32"/>
  <c r="K20" i="32"/>
  <c r="K21" i="32" s="1"/>
  <c r="J20" i="32"/>
  <c r="J8" i="32" s="1"/>
  <c r="I20" i="32"/>
  <c r="I8" i="32" s="1"/>
  <c r="H20" i="32"/>
  <c r="H8" i="32" s="1"/>
  <c r="G20" i="32"/>
  <c r="G21" i="32" s="1"/>
  <c r="F20" i="32"/>
  <c r="F21" i="32" s="1"/>
  <c r="E20" i="32"/>
  <c r="D20" i="32"/>
  <c r="D21" i="32" s="1"/>
  <c r="C18" i="32"/>
  <c r="D9" i="32" s="1"/>
  <c r="C17" i="32"/>
  <c r="K16" i="32"/>
  <c r="H16" i="32"/>
  <c r="F16" i="32"/>
  <c r="D16" i="32"/>
  <c r="K15" i="32"/>
  <c r="F15" i="32"/>
  <c r="D15" i="32"/>
  <c r="K14" i="32"/>
  <c r="H14" i="32"/>
  <c r="F14" i="32"/>
  <c r="D14" i="32"/>
  <c r="D12" i="32"/>
  <c r="D10" i="32"/>
  <c r="J9" i="32"/>
  <c r="J12" i="32" s="1"/>
  <c r="G9" i="32"/>
  <c r="G12" i="32" s="1"/>
  <c r="F9" i="32"/>
  <c r="E9" i="32"/>
  <c r="K8" i="32"/>
  <c r="G8" i="32"/>
  <c r="F8" i="32"/>
  <c r="D8" i="32"/>
  <c r="L7" i="32"/>
  <c r="L6" i="32" s="1"/>
  <c r="K6" i="32"/>
  <c r="J6" i="32"/>
  <c r="J16" i="32" s="1"/>
  <c r="I6" i="32"/>
  <c r="I22" i="32" s="1"/>
  <c r="H6" i="32"/>
  <c r="G6" i="32"/>
  <c r="G22" i="32" s="1"/>
  <c r="F6" i="32"/>
  <c r="F22" i="32" s="1"/>
  <c r="E6" i="32"/>
  <c r="D6" i="32"/>
  <c r="D22" i="32" s="1"/>
  <c r="L5" i="32"/>
  <c r="L4" i="32"/>
  <c r="P192" i="31"/>
  <c r="P191" i="31"/>
  <c r="P190" i="31"/>
  <c r="P189" i="31"/>
  <c r="P187" i="31"/>
  <c r="P186" i="31"/>
  <c r="P185" i="31"/>
  <c r="P184" i="31"/>
  <c r="P182" i="31"/>
  <c r="P181" i="31"/>
  <c r="P180" i="31"/>
  <c r="P179" i="31"/>
  <c r="P177" i="31"/>
  <c r="P176" i="31"/>
  <c r="P175" i="31"/>
  <c r="P174" i="31"/>
  <c r="P172" i="31"/>
  <c r="P171" i="31"/>
  <c r="P170" i="31"/>
  <c r="P169" i="31"/>
  <c r="P167" i="31"/>
  <c r="P166" i="31"/>
  <c r="P165" i="31"/>
  <c r="P164" i="31"/>
  <c r="P162" i="31"/>
  <c r="P161" i="31"/>
  <c r="P160" i="31"/>
  <c r="P159" i="31"/>
  <c r="P72" i="31"/>
  <c r="P71" i="31"/>
  <c r="P70" i="31"/>
  <c r="P69" i="31"/>
  <c r="P67" i="31"/>
  <c r="P66" i="31"/>
  <c r="P65" i="31"/>
  <c r="P64" i="31"/>
  <c r="P62" i="31"/>
  <c r="P61" i="31"/>
  <c r="P60" i="31"/>
  <c r="P59" i="31"/>
  <c r="P57" i="31"/>
  <c r="P56" i="31"/>
  <c r="P55" i="31"/>
  <c r="P54" i="31"/>
  <c r="P52" i="31"/>
  <c r="P51" i="31"/>
  <c r="P50" i="31"/>
  <c r="P49" i="31"/>
  <c r="P47" i="31"/>
  <c r="P46" i="31"/>
  <c r="P45" i="31"/>
  <c r="P44" i="31"/>
  <c r="P42" i="31"/>
  <c r="P41" i="31"/>
  <c r="P40" i="31"/>
  <c r="P39" i="31"/>
  <c r="P37" i="31"/>
  <c r="P36" i="31"/>
  <c r="P35" i="31"/>
  <c r="P34" i="31"/>
  <c r="P32" i="31"/>
  <c r="P31" i="31"/>
  <c r="P30" i="31"/>
  <c r="P29" i="31"/>
  <c r="P27" i="31"/>
  <c r="P26" i="31"/>
  <c r="P25" i="31"/>
  <c r="P24" i="31"/>
  <c r="P22" i="31"/>
  <c r="P21" i="31"/>
  <c r="P20" i="31"/>
  <c r="P19" i="31"/>
  <c r="P17" i="31"/>
  <c r="P16" i="31"/>
  <c r="P15" i="31"/>
  <c r="P14" i="31"/>
  <c r="P12" i="31"/>
  <c r="P11" i="31"/>
  <c r="P10" i="31"/>
  <c r="P9" i="31"/>
  <c r="P7" i="31"/>
  <c r="P6" i="31"/>
  <c r="P5" i="31"/>
  <c r="P4" i="31"/>
  <c r="AV143" i="30"/>
  <c r="AB143" i="30"/>
  <c r="AQ143" i="30" s="1"/>
  <c r="AV142" i="30"/>
  <c r="AT142" i="30"/>
  <c r="U142" i="30"/>
  <c r="P142" i="30"/>
  <c r="R142" i="30" s="1"/>
  <c r="AV141" i="30"/>
  <c r="AQ141" i="30"/>
  <c r="AV140" i="30"/>
  <c r="AT140" i="30"/>
  <c r="U140" i="30"/>
  <c r="Q140" i="30"/>
  <c r="AQ138" i="30"/>
  <c r="AV137" i="30"/>
  <c r="AT137" i="30"/>
  <c r="U137" i="30"/>
  <c r="P137" i="30"/>
  <c r="R137" i="30" s="1"/>
  <c r="AV136" i="30"/>
  <c r="AQ136" i="30"/>
  <c r="AV135" i="30"/>
  <c r="AT135" i="30"/>
  <c r="U135" i="30"/>
  <c r="AV133" i="30"/>
  <c r="AB133" i="30"/>
  <c r="AQ133" i="30" s="1"/>
  <c r="AV132" i="30"/>
  <c r="AT132" i="30"/>
  <c r="U132" i="30"/>
  <c r="P132" i="30"/>
  <c r="R132" i="30" s="1"/>
  <c r="AV131" i="30"/>
  <c r="AQ131" i="30"/>
  <c r="AV130" i="30"/>
  <c r="AT130" i="30"/>
  <c r="U130" i="30"/>
  <c r="AV123" i="30"/>
  <c r="AB123" i="30"/>
  <c r="AQ123" i="30" s="1"/>
  <c r="AV122" i="30"/>
  <c r="AT122" i="30"/>
  <c r="U122" i="30"/>
  <c r="P122" i="30"/>
  <c r="R122" i="30" s="1"/>
  <c r="AV121" i="30"/>
  <c r="AQ121" i="30"/>
  <c r="AE123" i="30"/>
  <c r="AV120" i="30"/>
  <c r="AT120" i="30"/>
  <c r="U120" i="30"/>
  <c r="AV118" i="30"/>
  <c r="AB118" i="30"/>
  <c r="AQ118" i="30" s="1"/>
  <c r="P118" i="30"/>
  <c r="AV117" i="30"/>
  <c r="AT117" i="30"/>
  <c r="U117" i="30"/>
  <c r="P117" i="30"/>
  <c r="R117" i="30" s="1"/>
  <c r="AV116" i="30"/>
  <c r="AQ116" i="30"/>
  <c r="AE118" i="30"/>
  <c r="W115" i="30" s="1"/>
  <c r="P116" i="30"/>
  <c r="AV115" i="30"/>
  <c r="AT115" i="30"/>
  <c r="U115" i="30"/>
  <c r="P115" i="30"/>
  <c r="AV113" i="30"/>
  <c r="AB113" i="30"/>
  <c r="AQ113" i="30" s="1"/>
  <c r="AV112" i="30"/>
  <c r="AT112" i="30"/>
  <c r="U112" i="30"/>
  <c r="P112" i="30"/>
  <c r="R112" i="30" s="1"/>
  <c r="AV111" i="30"/>
  <c r="AQ111" i="30"/>
  <c r="AE113" i="30"/>
  <c r="W110" i="30" s="1"/>
  <c r="AB110" i="30" s="1"/>
  <c r="AV110" i="30"/>
  <c r="AT110" i="30"/>
  <c r="U110" i="30"/>
  <c r="Q110" i="30"/>
  <c r="AV68" i="30"/>
  <c r="AT68" i="30"/>
  <c r="AQ68" i="30"/>
  <c r="U68" i="30"/>
  <c r="P68" i="30"/>
  <c r="AV67" i="30"/>
  <c r="AT67" i="30"/>
  <c r="U67" i="30"/>
  <c r="R67" i="30"/>
  <c r="AV66" i="30"/>
  <c r="AT66" i="30"/>
  <c r="AQ66" i="30"/>
  <c r="U66" i="30"/>
  <c r="P66" i="30"/>
  <c r="AV65" i="30"/>
  <c r="AT65" i="30"/>
  <c r="U65" i="30"/>
  <c r="P65" i="30"/>
  <c r="AV8" i="30"/>
  <c r="AT8" i="30"/>
  <c r="U8" i="30"/>
  <c r="AV7" i="30"/>
  <c r="AT7" i="30"/>
  <c r="U7" i="30"/>
  <c r="R7" i="30"/>
  <c r="V7" i="30" s="1"/>
  <c r="AV6" i="30"/>
  <c r="AT6" i="30"/>
  <c r="U6" i="30"/>
  <c r="AV5" i="30"/>
  <c r="AT5" i="30"/>
  <c r="U5" i="30"/>
  <c r="AK110" i="30" l="1"/>
  <c r="AH110" i="30"/>
  <c r="AE110" i="30"/>
  <c r="BE14" i="30"/>
  <c r="AP14" i="30"/>
  <c r="W56" i="35"/>
  <c r="X56" i="35" s="1"/>
  <c r="BE70" i="30"/>
  <c r="U5" i="35"/>
  <c r="W5" i="35" s="1"/>
  <c r="P133" i="30"/>
  <c r="Q133" i="30" s="1"/>
  <c r="R133" i="30" s="1"/>
  <c r="AC133" i="30" s="1"/>
  <c r="U14" i="35"/>
  <c r="P158" i="30"/>
  <c r="Q158" i="30" s="1"/>
  <c r="R158" i="30" s="1"/>
  <c r="P159" i="30"/>
  <c r="Q159" i="30" s="1"/>
  <c r="R159" i="30" s="1"/>
  <c r="V9" i="35"/>
  <c r="P121" i="30"/>
  <c r="Q121" i="30" s="1"/>
  <c r="R121" i="30" s="1"/>
  <c r="BE165" i="30"/>
  <c r="U9" i="35"/>
  <c r="P123" i="30"/>
  <c r="Q123" i="30" s="1"/>
  <c r="R123" i="30" s="1"/>
  <c r="V26" i="35"/>
  <c r="P166" i="30"/>
  <c r="Q166" i="30" s="1"/>
  <c r="R166" i="30" s="1"/>
  <c r="U26" i="35"/>
  <c r="P168" i="30"/>
  <c r="Q168" i="30" s="1"/>
  <c r="R168" i="30" s="1"/>
  <c r="V23" i="35"/>
  <c r="P161" i="30"/>
  <c r="Q161" i="30" s="1"/>
  <c r="R161" i="30" s="1"/>
  <c r="P71" i="30"/>
  <c r="Q71" i="30" s="1"/>
  <c r="R71" i="30" s="1"/>
  <c r="U23" i="35"/>
  <c r="P73" i="30"/>
  <c r="Q73" i="30" s="1"/>
  <c r="R73" i="30" s="1"/>
  <c r="P163" i="30"/>
  <c r="Q163" i="30" s="1"/>
  <c r="R163" i="30" s="1"/>
  <c r="V5" i="35"/>
  <c r="P131" i="30"/>
  <c r="Q131" i="30" s="1"/>
  <c r="R131" i="30" s="1"/>
  <c r="V6" i="35"/>
  <c r="P136" i="30"/>
  <c r="Q136" i="30" s="1"/>
  <c r="R136" i="30" s="1"/>
  <c r="Z136" i="30" s="1"/>
  <c r="U6" i="35"/>
  <c r="P138" i="30"/>
  <c r="U7" i="35"/>
  <c r="P143" i="30"/>
  <c r="Q143" i="30" s="1"/>
  <c r="R143" i="30" s="1"/>
  <c r="X143" i="30" s="1"/>
  <c r="V7" i="35"/>
  <c r="P141" i="30"/>
  <c r="Q141" i="30" s="1"/>
  <c r="R141" i="30" s="1"/>
  <c r="X141" i="30" s="1"/>
  <c r="U24" i="35"/>
  <c r="P78" i="30"/>
  <c r="Q78" i="30" s="1"/>
  <c r="R78" i="30" s="1"/>
  <c r="V24" i="35"/>
  <c r="P76" i="30"/>
  <c r="Q76" i="30" s="1"/>
  <c r="R76" i="30" s="1"/>
  <c r="AK145" i="30"/>
  <c r="AH146" i="30"/>
  <c r="AH148" i="30" s="1"/>
  <c r="AK155" i="30"/>
  <c r="AH156" i="30"/>
  <c r="AH158" i="30" s="1"/>
  <c r="AH66" i="30"/>
  <c r="AH68" i="30" s="1"/>
  <c r="Q118" i="30"/>
  <c r="R118" i="30" s="1"/>
  <c r="AO118" i="30" s="1"/>
  <c r="S118" i="30" s="1"/>
  <c r="Q68" i="30"/>
  <c r="R68" i="30" s="1"/>
  <c r="V68" i="30" s="1"/>
  <c r="Q65" i="30"/>
  <c r="W50" i="35"/>
  <c r="X50" i="35" s="1"/>
  <c r="W68" i="35"/>
  <c r="X68" i="35" s="1"/>
  <c r="BE40" i="30"/>
  <c r="Q41" i="30"/>
  <c r="R41" i="30" s="1"/>
  <c r="Q46" i="30"/>
  <c r="R46" i="30" s="1"/>
  <c r="V14" i="35"/>
  <c r="W14" i="35" s="1"/>
  <c r="Q11" i="30"/>
  <c r="R11" i="30" s="1"/>
  <c r="AI44" i="30"/>
  <c r="AI42" i="30"/>
  <c r="AL43" i="30"/>
  <c r="AI43" i="30"/>
  <c r="AL41" i="30"/>
  <c r="AI41" i="30"/>
  <c r="AL40" i="30"/>
  <c r="AL42" i="30"/>
  <c r="AL45" i="30"/>
  <c r="AL38" i="30"/>
  <c r="AL36" i="30"/>
  <c r="AI47" i="30"/>
  <c r="AL47" i="30"/>
  <c r="AI38" i="30"/>
  <c r="AI36" i="30"/>
  <c r="AI49" i="30"/>
  <c r="AI37" i="30"/>
  <c r="AI39" i="30"/>
  <c r="AL48" i="30"/>
  <c r="AL35" i="30"/>
  <c r="AI48" i="30"/>
  <c r="AL46" i="30"/>
  <c r="AI46" i="30"/>
  <c r="AL37" i="30"/>
  <c r="AL27" i="30"/>
  <c r="AI23" i="30"/>
  <c r="AL20" i="30"/>
  <c r="AI24" i="30"/>
  <c r="AL25" i="30"/>
  <c r="AL17" i="30"/>
  <c r="AI21" i="30"/>
  <c r="AI17" i="30"/>
  <c r="AI18" i="30"/>
  <c r="AL31" i="30"/>
  <c r="AI33" i="30"/>
  <c r="AL21" i="30"/>
  <c r="AL18" i="30"/>
  <c r="AL22" i="30"/>
  <c r="AI16" i="30"/>
  <c r="AL33" i="30"/>
  <c r="AI31" i="30"/>
  <c r="AL23" i="30"/>
  <c r="AL15" i="30"/>
  <c r="AI27" i="30"/>
  <c r="AL26" i="30"/>
  <c r="AI34" i="30"/>
  <c r="AI26" i="30"/>
  <c r="AL16" i="30"/>
  <c r="AI29" i="30"/>
  <c r="AI19" i="30"/>
  <c r="AL28" i="30"/>
  <c r="AL30" i="30"/>
  <c r="AL32" i="30"/>
  <c r="AI32" i="30"/>
  <c r="AI28" i="30"/>
  <c r="AI22" i="30"/>
  <c r="AL11" i="30"/>
  <c r="AI13" i="30"/>
  <c r="AI12" i="30"/>
  <c r="AI14" i="30"/>
  <c r="AL10" i="30"/>
  <c r="AI11" i="30"/>
  <c r="AL12" i="30"/>
  <c r="AL13" i="30"/>
  <c r="Z157" i="30"/>
  <c r="V132" i="30"/>
  <c r="AF117" i="30"/>
  <c r="Z122" i="30"/>
  <c r="AO152" i="30"/>
  <c r="AP152" i="30" s="1"/>
  <c r="AC112" i="30"/>
  <c r="V112" i="30"/>
  <c r="Z142" i="30"/>
  <c r="AP64" i="30"/>
  <c r="AI167" i="30"/>
  <c r="AI165" i="30"/>
  <c r="AL165" i="30"/>
  <c r="AI166" i="30"/>
  <c r="AL167" i="30"/>
  <c r="AL166" i="30"/>
  <c r="AI169" i="30"/>
  <c r="AI168" i="30"/>
  <c r="AL168" i="30"/>
  <c r="AI164" i="30"/>
  <c r="AI162" i="30"/>
  <c r="AI160" i="30"/>
  <c r="AL160" i="30"/>
  <c r="AL161" i="30"/>
  <c r="AL163" i="30"/>
  <c r="AI161" i="30"/>
  <c r="AI163" i="30"/>
  <c r="AL162" i="30"/>
  <c r="Q9" i="30"/>
  <c r="R9" i="30" s="1"/>
  <c r="BE64" i="30"/>
  <c r="AF67" i="30"/>
  <c r="V67" i="30"/>
  <c r="AI154" i="30"/>
  <c r="AI139" i="30"/>
  <c r="AI124" i="30"/>
  <c r="AI64" i="30"/>
  <c r="AI114" i="30"/>
  <c r="AI159" i="30"/>
  <c r="AI134" i="30"/>
  <c r="AI69" i="30"/>
  <c r="AI144" i="30"/>
  <c r="AI149" i="30"/>
  <c r="AI119" i="30"/>
  <c r="AI9" i="30"/>
  <c r="W16" i="35"/>
  <c r="W17" i="35"/>
  <c r="W18" i="35"/>
  <c r="W10" i="35"/>
  <c r="W8" i="35"/>
  <c r="AA16" i="35"/>
  <c r="AA18" i="35"/>
  <c r="W15" i="35"/>
  <c r="AA10" i="35"/>
  <c r="F203" i="31"/>
  <c r="F198" i="31"/>
  <c r="AA17" i="35"/>
  <c r="AA14" i="35"/>
  <c r="F208" i="31"/>
  <c r="AA11" i="35"/>
  <c r="F98" i="31"/>
  <c r="R98" i="31" s="1"/>
  <c r="W140" i="30"/>
  <c r="AB140" i="30" s="1"/>
  <c r="AL60" i="30"/>
  <c r="AL61" i="30"/>
  <c r="AI60" i="30"/>
  <c r="AI62" i="30"/>
  <c r="AL63" i="30"/>
  <c r="AI63" i="30"/>
  <c r="AL62" i="30"/>
  <c r="AI61" i="30"/>
  <c r="AO51" i="14"/>
  <c r="AO12" i="14"/>
  <c r="AO16" i="14"/>
  <c r="AO4" i="14"/>
  <c r="AO19" i="14"/>
  <c r="AO6" i="14"/>
  <c r="AO21" i="14"/>
  <c r="AO56" i="14"/>
  <c r="AO8" i="14"/>
  <c r="AO50" i="14"/>
  <c r="AO13" i="14"/>
  <c r="AO18" i="14"/>
  <c r="AO14" i="14"/>
  <c r="AO7" i="14"/>
  <c r="AO15" i="14"/>
  <c r="AO3" i="14"/>
  <c r="AO5" i="14"/>
  <c r="AO68" i="14"/>
  <c r="AO7" i="30"/>
  <c r="AU7" i="30" s="1"/>
  <c r="Z7" i="30"/>
  <c r="AF7" i="30"/>
  <c r="AC7" i="30"/>
  <c r="AI6" i="30"/>
  <c r="AI8" i="30"/>
  <c r="AI7" i="30"/>
  <c r="AE158" i="30"/>
  <c r="AF152" i="30"/>
  <c r="Z152" i="30"/>
  <c r="AE153" i="30"/>
  <c r="V152" i="30"/>
  <c r="AE148" i="30"/>
  <c r="AO147" i="30"/>
  <c r="AW147" i="30" s="1"/>
  <c r="Z147" i="30"/>
  <c r="AC152" i="30"/>
  <c r="AK9" i="14"/>
  <c r="AG9" i="14"/>
  <c r="V9" i="14"/>
  <c r="AI150" i="30"/>
  <c r="AI151" i="30"/>
  <c r="AI152" i="30"/>
  <c r="AI153" i="30"/>
  <c r="AB150" i="30"/>
  <c r="AQ150" i="30"/>
  <c r="Q150" i="30"/>
  <c r="R150" i="30" s="1"/>
  <c r="Q151" i="30"/>
  <c r="R151" i="30" s="1"/>
  <c r="Q153" i="30"/>
  <c r="R153" i="30" s="1"/>
  <c r="Q145" i="30"/>
  <c r="Q146" i="30"/>
  <c r="Q148" i="30"/>
  <c r="T152" i="30"/>
  <c r="AF147" i="30"/>
  <c r="AC147" i="30"/>
  <c r="AF157" i="30"/>
  <c r="AC157" i="30"/>
  <c r="AH155" i="30"/>
  <c r="AE155" i="30"/>
  <c r="AH145" i="30"/>
  <c r="AE145" i="30"/>
  <c r="Q155" i="30"/>
  <c r="R155" i="30" s="1"/>
  <c r="Q156" i="30"/>
  <c r="R156" i="30" s="1"/>
  <c r="AO156" i="30" s="1"/>
  <c r="AL158" i="30"/>
  <c r="AI158" i="30"/>
  <c r="AI155" i="30"/>
  <c r="AL146" i="30"/>
  <c r="AL145" i="30"/>
  <c r="T122" i="30"/>
  <c r="AO137" i="30"/>
  <c r="BA137" i="30" s="1"/>
  <c r="T137" i="30"/>
  <c r="AL155" i="30"/>
  <c r="Z112" i="30"/>
  <c r="AI147" i="30"/>
  <c r="AI156" i="30"/>
  <c r="AL147" i="30"/>
  <c r="AL156" i="30"/>
  <c r="AI145" i="30"/>
  <c r="AI148" i="30"/>
  <c r="AI157" i="30"/>
  <c r="T112" i="30"/>
  <c r="AI146" i="30"/>
  <c r="AL148" i="30"/>
  <c r="AL157" i="30"/>
  <c r="AO157" i="30"/>
  <c r="S157" i="30" s="1"/>
  <c r="AQ145" i="30"/>
  <c r="T157" i="30"/>
  <c r="V157" i="30"/>
  <c r="V147" i="30"/>
  <c r="AQ155" i="30"/>
  <c r="T147" i="30"/>
  <c r="AB115" i="30"/>
  <c r="AH116" i="30" s="1"/>
  <c r="AH118" i="30" s="1"/>
  <c r="AQ115" i="30"/>
  <c r="Z133" i="30"/>
  <c r="AO133" i="30"/>
  <c r="AU133" i="30" s="1"/>
  <c r="AF133" i="30"/>
  <c r="AQ110" i="30"/>
  <c r="Z117" i="30"/>
  <c r="W120" i="30"/>
  <c r="AQ120" i="30" s="1"/>
  <c r="AF132" i="30"/>
  <c r="W135" i="30"/>
  <c r="R110" i="30"/>
  <c r="V122" i="30"/>
  <c r="AC142" i="30"/>
  <c r="Q135" i="30"/>
  <c r="R135" i="30" s="1"/>
  <c r="AC137" i="30"/>
  <c r="AO142" i="30"/>
  <c r="AU142" i="30" s="1"/>
  <c r="AQ65" i="30"/>
  <c r="AI137" i="30"/>
  <c r="AL141" i="30"/>
  <c r="AI135" i="30"/>
  <c r="AL123" i="30"/>
  <c r="AI121" i="30"/>
  <c r="AL120" i="30"/>
  <c r="AL113" i="30"/>
  <c r="AI111" i="30"/>
  <c r="AL66" i="30"/>
  <c r="AI143" i="30"/>
  <c r="AL142" i="30"/>
  <c r="AL133" i="30"/>
  <c r="AL131" i="30"/>
  <c r="AI122" i="30"/>
  <c r="AI120" i="30"/>
  <c r="AI112" i="30"/>
  <c r="AL67" i="30"/>
  <c r="AI142" i="30"/>
  <c r="AI140" i="30"/>
  <c r="AI133" i="30"/>
  <c r="AI131" i="30"/>
  <c r="AL116" i="30"/>
  <c r="AL136" i="30"/>
  <c r="AL132" i="30"/>
  <c r="AL130" i="30"/>
  <c r="AL140" i="30"/>
  <c r="AL135" i="30"/>
  <c r="AI123" i="30"/>
  <c r="AL5" i="30"/>
  <c r="AL137" i="30"/>
  <c r="AI136" i="30"/>
  <c r="AL118" i="30"/>
  <c r="AL110" i="30"/>
  <c r="AL68" i="30"/>
  <c r="AI118" i="30"/>
  <c r="AL115" i="30"/>
  <c r="AI68" i="30"/>
  <c r="AL6" i="30"/>
  <c r="AL7" i="30"/>
  <c r="AL138" i="30"/>
  <c r="AL121" i="30"/>
  <c r="AI113" i="30"/>
  <c r="AI67" i="30"/>
  <c r="AL65" i="30"/>
  <c r="AL8" i="30"/>
  <c r="AL117" i="30"/>
  <c r="AL112" i="30"/>
  <c r="AI138" i="30"/>
  <c r="AL111" i="30"/>
  <c r="AI132" i="30"/>
  <c r="AI130" i="30"/>
  <c r="AL122" i="30"/>
  <c r="AI66" i="30"/>
  <c r="AI116" i="30"/>
  <c r="AI115" i="30"/>
  <c r="AI141" i="30"/>
  <c r="AI117" i="30"/>
  <c r="AL143" i="30"/>
  <c r="Q5" i="30"/>
  <c r="R5" i="30" s="1"/>
  <c r="E16" i="32"/>
  <c r="E15" i="32"/>
  <c r="E14" i="32"/>
  <c r="E22" i="32"/>
  <c r="E10" i="32"/>
  <c r="Q116" i="30"/>
  <c r="R116" i="30" s="1"/>
  <c r="Q8" i="30"/>
  <c r="R8" i="30" s="1"/>
  <c r="V8" i="30" s="1"/>
  <c r="Q66" i="30"/>
  <c r="R66" i="30" s="1"/>
  <c r="Q115" i="30"/>
  <c r="R115" i="30" s="1"/>
  <c r="Q120" i="30"/>
  <c r="R120" i="30" s="1"/>
  <c r="AO67" i="30"/>
  <c r="AC67" i="30"/>
  <c r="Z67" i="30"/>
  <c r="AO123" i="30"/>
  <c r="S123" i="30" s="1"/>
  <c r="X123" i="30"/>
  <c r="AF123" i="30"/>
  <c r="AC123" i="30"/>
  <c r="E8" i="32"/>
  <c r="L8" i="32" s="1"/>
  <c r="E21" i="32"/>
  <c r="T142" i="30"/>
  <c r="T7" i="30"/>
  <c r="R65" i="30"/>
  <c r="AO112" i="30"/>
  <c r="S112" i="30" s="1"/>
  <c r="AF112" i="30"/>
  <c r="W130" i="30"/>
  <c r="AF137" i="30"/>
  <c r="Z137" i="30"/>
  <c r="V137" i="30"/>
  <c r="I21" i="32"/>
  <c r="AC117" i="30"/>
  <c r="V117" i="30"/>
  <c r="AO117" i="30"/>
  <c r="S117" i="30" s="1"/>
  <c r="AO122" i="30"/>
  <c r="S122" i="30" s="1"/>
  <c r="AF122" i="30"/>
  <c r="AC122" i="30"/>
  <c r="Q130" i="30"/>
  <c r="R130" i="30" s="1"/>
  <c r="H10" i="32"/>
  <c r="K9" i="32"/>
  <c r="K12" i="32" s="1"/>
  <c r="I9" i="32"/>
  <c r="I12" i="32" s="1"/>
  <c r="H9" i="32"/>
  <c r="H12" i="32" s="1"/>
  <c r="T67" i="30"/>
  <c r="T117" i="30"/>
  <c r="AC132" i="30"/>
  <c r="Z132" i="30"/>
  <c r="AO132" i="30"/>
  <c r="S132" i="30" s="1"/>
  <c r="T132" i="30"/>
  <c r="I16" i="32"/>
  <c r="I15" i="32"/>
  <c r="I14" i="32"/>
  <c r="E12" i="32"/>
  <c r="R140" i="30"/>
  <c r="V142" i="30"/>
  <c r="AF142" i="30"/>
  <c r="F12" i="32"/>
  <c r="F10" i="32"/>
  <c r="H15" i="32"/>
  <c r="J21" i="32"/>
  <c r="J22" i="32"/>
  <c r="Q138" i="30"/>
  <c r="R138" i="30" s="1"/>
  <c r="G10" i="32"/>
  <c r="E18" i="32"/>
  <c r="K22" i="32"/>
  <c r="G14" i="32"/>
  <c r="G15" i="32"/>
  <c r="G16" i="32"/>
  <c r="J10" i="32"/>
  <c r="J14" i="32"/>
  <c r="J15" i="32"/>
  <c r="F20" i="26"/>
  <c r="AO136" i="30" l="1"/>
  <c r="S136" i="30" s="1"/>
  <c r="AC118" i="30"/>
  <c r="AC136" i="30"/>
  <c r="X118" i="30"/>
  <c r="AT118" i="30" s="1"/>
  <c r="AF118" i="30"/>
  <c r="X136" i="30"/>
  <c r="AT136" i="30" s="1"/>
  <c r="AF136" i="30"/>
  <c r="W9" i="35"/>
  <c r="AC143" i="30"/>
  <c r="AO143" i="30"/>
  <c r="S143" i="30" s="1"/>
  <c r="AF143" i="30"/>
  <c r="W26" i="35"/>
  <c r="X26" i="35" s="1"/>
  <c r="W7" i="35"/>
  <c r="X7" i="35" s="1"/>
  <c r="W6" i="35"/>
  <c r="X6" i="35" s="1"/>
  <c r="W23" i="35"/>
  <c r="X23" i="35" s="1"/>
  <c r="AC159" i="30"/>
  <c r="Z159" i="30"/>
  <c r="V159" i="30"/>
  <c r="AO159" i="30"/>
  <c r="S159" i="30" s="1"/>
  <c r="AF159" i="30"/>
  <c r="V110" i="30"/>
  <c r="Z110" i="30"/>
  <c r="AF110" i="30"/>
  <c r="AC110" i="30"/>
  <c r="V163" i="30"/>
  <c r="AO163" i="30"/>
  <c r="Z163" i="30"/>
  <c r="AC163" i="30"/>
  <c r="T163" i="30"/>
  <c r="AF163" i="30"/>
  <c r="X166" i="30"/>
  <c r="AC166" i="30"/>
  <c r="Z166" i="30"/>
  <c r="AF166" i="30"/>
  <c r="AO166" i="30"/>
  <c r="T73" i="30"/>
  <c r="V73" i="30"/>
  <c r="AO73" i="30"/>
  <c r="X168" i="30"/>
  <c r="AF168" i="30"/>
  <c r="AC168" i="30"/>
  <c r="AO168" i="30"/>
  <c r="S168" i="30" s="1"/>
  <c r="Z168" i="30"/>
  <c r="V5" i="30"/>
  <c r="AF5" i="30"/>
  <c r="AC5" i="30"/>
  <c r="Z5" i="30"/>
  <c r="AF65" i="30"/>
  <c r="AC65" i="30"/>
  <c r="Z65" i="30"/>
  <c r="Z71" i="30"/>
  <c r="V71" i="30"/>
  <c r="T71" i="30"/>
  <c r="AO71" i="30"/>
  <c r="AC71" i="30"/>
  <c r="AF71" i="30"/>
  <c r="V161" i="30"/>
  <c r="AC161" i="30"/>
  <c r="AO161" i="30"/>
  <c r="Z161" i="30"/>
  <c r="AF161" i="30"/>
  <c r="T161" i="30"/>
  <c r="V78" i="30"/>
  <c r="T78" i="30"/>
  <c r="AO78" i="30"/>
  <c r="T76" i="30"/>
  <c r="AC76" i="30"/>
  <c r="AF76" i="30"/>
  <c r="V76" i="30"/>
  <c r="AO76" i="30"/>
  <c r="Z76" i="30"/>
  <c r="AH111" i="30"/>
  <c r="AH113" i="30" s="1"/>
  <c r="AK150" i="30"/>
  <c r="AH151" i="30"/>
  <c r="AH153" i="30" s="1"/>
  <c r="AK140" i="30"/>
  <c r="AH141" i="30"/>
  <c r="AH143" i="30" s="1"/>
  <c r="AF11" i="30"/>
  <c r="T11" i="30"/>
  <c r="AC11" i="30"/>
  <c r="AO11" i="30"/>
  <c r="S11" i="30" s="1"/>
  <c r="Z11" i="30"/>
  <c r="V11" i="30"/>
  <c r="Z46" i="30"/>
  <c r="AO46" i="30"/>
  <c r="S46" i="30" s="1"/>
  <c r="V46" i="30"/>
  <c r="T46" i="30"/>
  <c r="AF46" i="30"/>
  <c r="AC46" i="30"/>
  <c r="T41" i="30"/>
  <c r="AF41" i="30"/>
  <c r="Z41" i="30"/>
  <c r="AC41" i="30"/>
  <c r="AO41" i="30"/>
  <c r="V41" i="30"/>
  <c r="V11" i="35"/>
  <c r="W11" i="35" s="1"/>
  <c r="X11" i="35" s="1"/>
  <c r="AU152" i="30"/>
  <c r="S152" i="30"/>
  <c r="AV158" i="30"/>
  <c r="Z155" i="30"/>
  <c r="S142" i="30"/>
  <c r="AV153" i="30"/>
  <c r="S133" i="30"/>
  <c r="T65" i="30"/>
  <c r="V65" i="30"/>
  <c r="X156" i="30"/>
  <c r="AT156" i="30" s="1"/>
  <c r="S156" i="30"/>
  <c r="BA152" i="30"/>
  <c r="T66" i="30"/>
  <c r="V66" i="30"/>
  <c r="AY152" i="30"/>
  <c r="S137" i="30"/>
  <c r="AW152" i="30"/>
  <c r="AS152" i="30"/>
  <c r="T140" i="30"/>
  <c r="S147" i="30"/>
  <c r="X18" i="35"/>
  <c r="AE18" i="35"/>
  <c r="X14" i="35"/>
  <c r="AE14" i="35"/>
  <c r="X15" i="35"/>
  <c r="AE15" i="35"/>
  <c r="X10" i="35"/>
  <c r="AE10" i="35"/>
  <c r="X17" i="35"/>
  <c r="AE17" i="35"/>
  <c r="X9" i="35"/>
  <c r="AE9" i="35"/>
  <c r="X5" i="35"/>
  <c r="AE5" i="35"/>
  <c r="X16" i="35"/>
  <c r="AE16" i="35"/>
  <c r="X8" i="35"/>
  <c r="AE8" i="35"/>
  <c r="W24" i="35"/>
  <c r="AO9" i="30"/>
  <c r="S9" i="30" s="1"/>
  <c r="AF9" i="30"/>
  <c r="V9" i="30"/>
  <c r="AC9" i="30"/>
  <c r="Z9" i="30"/>
  <c r="AQ140" i="30"/>
  <c r="AE140" i="30"/>
  <c r="AH140" i="30"/>
  <c r="BA7" i="30"/>
  <c r="AW7" i="30"/>
  <c r="S7" i="30"/>
  <c r="AY7" i="30"/>
  <c r="AS7" i="30"/>
  <c r="AP7" i="30" s="1"/>
  <c r="AH150" i="30"/>
  <c r="AS147" i="30"/>
  <c r="T5" i="30"/>
  <c r="AP147" i="30"/>
  <c r="AE150" i="30"/>
  <c r="BA142" i="30"/>
  <c r="AY147" i="30"/>
  <c r="T8" i="30"/>
  <c r="AC8" i="30"/>
  <c r="Z8" i="30"/>
  <c r="AF8" i="30"/>
  <c r="BA147" i="30"/>
  <c r="AW133" i="30"/>
  <c r="AU147" i="30"/>
  <c r="AV156" i="30"/>
  <c r="Z156" i="30"/>
  <c r="AV151" i="30"/>
  <c r="Z151" i="30"/>
  <c r="T150" i="30"/>
  <c r="Z150" i="30"/>
  <c r="AP137" i="30"/>
  <c r="AS137" i="30"/>
  <c r="AW137" i="30"/>
  <c r="AU137" i="30"/>
  <c r="AB120" i="30"/>
  <c r="AY137" i="30"/>
  <c r="R148" i="30"/>
  <c r="R146" i="30"/>
  <c r="R145" i="30"/>
  <c r="AO153" i="30"/>
  <c r="S153" i="30" s="1"/>
  <c r="AC153" i="30"/>
  <c r="AF153" i="30"/>
  <c r="X153" i="30"/>
  <c r="AO151" i="30"/>
  <c r="S151" i="30" s="1"/>
  <c r="AC151" i="30"/>
  <c r="AF151" i="30"/>
  <c r="X151" i="30"/>
  <c r="AO150" i="30"/>
  <c r="S150" i="30" s="1"/>
  <c r="AC150" i="30"/>
  <c r="AF150" i="30"/>
  <c r="V150" i="30"/>
  <c r="S67" i="30"/>
  <c r="BA67" i="30"/>
  <c r="BA156" i="30"/>
  <c r="AY156" i="30"/>
  <c r="AW156" i="30"/>
  <c r="AU156" i="30"/>
  <c r="AS156" i="30"/>
  <c r="AP156" i="30"/>
  <c r="BA157" i="30"/>
  <c r="AY157" i="30"/>
  <c r="AW157" i="30"/>
  <c r="AU157" i="30"/>
  <c r="AS157" i="30"/>
  <c r="AP157" i="30"/>
  <c r="AF158" i="30"/>
  <c r="AC158" i="30"/>
  <c r="AF156" i="30"/>
  <c r="AC156" i="30"/>
  <c r="AF155" i="30"/>
  <c r="AC155" i="30"/>
  <c r="BA133" i="30"/>
  <c r="AS133" i="30"/>
  <c r="AP133" i="30"/>
  <c r="AY133" i="30"/>
  <c r="AO110" i="30"/>
  <c r="AU110" i="30" s="1"/>
  <c r="AO155" i="30"/>
  <c r="S155" i="30" s="1"/>
  <c r="V155" i="30"/>
  <c r="X158" i="30"/>
  <c r="AT158" i="30" s="1"/>
  <c r="AO158" i="30"/>
  <c r="S158" i="30" s="1"/>
  <c r="T155" i="30"/>
  <c r="U113" i="30"/>
  <c r="AF135" i="30"/>
  <c r="T135" i="30"/>
  <c r="V135" i="30"/>
  <c r="AC135" i="30"/>
  <c r="AO135" i="30"/>
  <c r="AW135" i="30" s="1"/>
  <c r="Z135" i="30"/>
  <c r="AW142" i="30"/>
  <c r="AP142" i="30"/>
  <c r="AO68" i="30"/>
  <c r="AS142" i="30"/>
  <c r="T110" i="30"/>
  <c r="AH115" i="30"/>
  <c r="AK115" i="30"/>
  <c r="AE115" i="30"/>
  <c r="AQ135" i="30"/>
  <c r="AB135" i="30"/>
  <c r="AY142" i="30"/>
  <c r="T68" i="30"/>
  <c r="AO141" i="30"/>
  <c r="S141" i="30" s="1"/>
  <c r="AF141" i="30"/>
  <c r="AC141" i="30"/>
  <c r="Z141" i="30"/>
  <c r="AF115" i="30"/>
  <c r="AC115" i="30"/>
  <c r="AO115" i="30"/>
  <c r="S115" i="30" s="1"/>
  <c r="Z115" i="30"/>
  <c r="V115" i="30"/>
  <c r="T115" i="30"/>
  <c r="AF138" i="30"/>
  <c r="AC138" i="30"/>
  <c r="AO138" i="30"/>
  <c r="X138" i="30"/>
  <c r="AT138" i="30" s="1"/>
  <c r="AF130" i="30"/>
  <c r="AC130" i="30"/>
  <c r="AO130" i="30"/>
  <c r="S130" i="30" s="1"/>
  <c r="Z130" i="30"/>
  <c r="T130" i="30"/>
  <c r="V130" i="30"/>
  <c r="AU117" i="30"/>
  <c r="AS117" i="30"/>
  <c r="AP117" i="30"/>
  <c r="AW117" i="30"/>
  <c r="BA117" i="30"/>
  <c r="AY117" i="30"/>
  <c r="U143" i="30"/>
  <c r="AT143" i="30"/>
  <c r="V143" i="30"/>
  <c r="V133" i="30"/>
  <c r="U133" i="30"/>
  <c r="AT133" i="30"/>
  <c r="K10" i="32"/>
  <c r="AS118" i="30"/>
  <c r="BA118" i="30"/>
  <c r="AP118" i="30"/>
  <c r="AY118" i="30"/>
  <c r="AU118" i="30"/>
  <c r="AW118" i="30"/>
  <c r="Z120" i="30"/>
  <c r="V120" i="30"/>
  <c r="AF120" i="30"/>
  <c r="T120" i="30"/>
  <c r="AO120" i="30"/>
  <c r="S120" i="30" s="1"/>
  <c r="AC120" i="30"/>
  <c r="Z116" i="30"/>
  <c r="AO116" i="30"/>
  <c r="S116" i="30" s="1"/>
  <c r="X116" i="30"/>
  <c r="AC116" i="30"/>
  <c r="AF116" i="30"/>
  <c r="AP122" i="30"/>
  <c r="BA122" i="30"/>
  <c r="AW122" i="30"/>
  <c r="AU122" i="30"/>
  <c r="AY122" i="30"/>
  <c r="AS122" i="30"/>
  <c r="AP67" i="30"/>
  <c r="AY67" i="30"/>
  <c r="AS67" i="30"/>
  <c r="AW67" i="30"/>
  <c r="AU67" i="30"/>
  <c r="AU132" i="30"/>
  <c r="AP132" i="30"/>
  <c r="BA132" i="30"/>
  <c r="AY132" i="30"/>
  <c r="AW132" i="30"/>
  <c r="AS132" i="30"/>
  <c r="U118" i="30"/>
  <c r="AC140" i="30"/>
  <c r="AO140" i="30"/>
  <c r="S140" i="30" s="1"/>
  <c r="V140" i="30"/>
  <c r="AF140" i="30"/>
  <c r="Z140" i="30"/>
  <c r="L9" i="32"/>
  <c r="L10" i="32" s="1"/>
  <c r="I10" i="32"/>
  <c r="AO65" i="30"/>
  <c r="AO5" i="30"/>
  <c r="S5" i="30" s="1"/>
  <c r="AB130" i="30"/>
  <c r="AQ130" i="30"/>
  <c r="AY123" i="30"/>
  <c r="AW123" i="30"/>
  <c r="AU123" i="30"/>
  <c r="AS123" i="30"/>
  <c r="BA123" i="30"/>
  <c r="AP123" i="30"/>
  <c r="Z66" i="30"/>
  <c r="AF66" i="30"/>
  <c r="AO66" i="30"/>
  <c r="S66" i="30" s="1"/>
  <c r="AC66" i="30"/>
  <c r="BA112" i="30"/>
  <c r="AW112" i="30"/>
  <c r="AY112" i="30"/>
  <c r="AU112" i="30"/>
  <c r="AP112" i="30"/>
  <c r="AS112" i="30"/>
  <c r="AC121" i="30"/>
  <c r="Z121" i="30"/>
  <c r="AO121" i="30"/>
  <c r="S121" i="30" s="1"/>
  <c r="X121" i="30"/>
  <c r="AF121" i="30"/>
  <c r="AC131" i="30"/>
  <c r="Z131" i="30"/>
  <c r="AO131" i="30"/>
  <c r="S131" i="30" s="1"/>
  <c r="AF131" i="30"/>
  <c r="V123" i="30"/>
  <c r="U123" i="30"/>
  <c r="AT123" i="30"/>
  <c r="AS136" i="30"/>
  <c r="BA136" i="30"/>
  <c r="AP136" i="30"/>
  <c r="AY136" i="30"/>
  <c r="AW136" i="30"/>
  <c r="AU136" i="30"/>
  <c r="AO8" i="30"/>
  <c r="AT111" i="30"/>
  <c r="U111" i="30"/>
  <c r="D8" i="26"/>
  <c r="D4" i="26"/>
  <c r="D20" i="26"/>
  <c r="D15" i="26"/>
  <c r="F15" i="26" s="1"/>
  <c r="AR12" i="1"/>
  <c r="AR15" i="1"/>
  <c r="AR13" i="1"/>
  <c r="AR16" i="1"/>
  <c r="AR14" i="1"/>
  <c r="AR11" i="1"/>
  <c r="V118" i="30" l="1"/>
  <c r="AS143" i="30"/>
  <c r="AW143" i="30"/>
  <c r="AU143" i="30"/>
  <c r="AY143" i="30"/>
  <c r="BE143" i="30" s="1"/>
  <c r="BA143" i="30"/>
  <c r="AP143" i="30"/>
  <c r="U136" i="30"/>
  <c r="T136" i="30" s="1"/>
  <c r="V136" i="30"/>
  <c r="AS159" i="30"/>
  <c r="AU159" i="30"/>
  <c r="BA159" i="30"/>
  <c r="AE7" i="35"/>
  <c r="AE6" i="35"/>
  <c r="AW159" i="30"/>
  <c r="AY159" i="30"/>
  <c r="AW71" i="30"/>
  <c r="AS71" i="30"/>
  <c r="AY71" i="30"/>
  <c r="AU71" i="30"/>
  <c r="AP71" i="30"/>
  <c r="BA71" i="30"/>
  <c r="V168" i="30"/>
  <c r="U168" i="30"/>
  <c r="AT168" i="30"/>
  <c r="AT166" i="30"/>
  <c r="U166" i="30"/>
  <c r="V166" i="30"/>
  <c r="S73" i="30"/>
  <c r="AU73" i="30"/>
  <c r="AS73" i="30"/>
  <c r="AY73" i="30"/>
  <c r="BA73" i="30"/>
  <c r="AW73" i="30"/>
  <c r="AP73" i="30"/>
  <c r="S161" i="30"/>
  <c r="AY161" i="30"/>
  <c r="BA161" i="30"/>
  <c r="AP161" i="30"/>
  <c r="AW161" i="30"/>
  <c r="AU161" i="30"/>
  <c r="AS161" i="30"/>
  <c r="S166" i="30"/>
  <c r="AY166" i="30"/>
  <c r="AP166" i="30"/>
  <c r="BA166" i="30"/>
  <c r="AU166" i="30"/>
  <c r="AW166" i="30"/>
  <c r="AS166" i="30"/>
  <c r="S71" i="30"/>
  <c r="AS168" i="30"/>
  <c r="AU168" i="30"/>
  <c r="AW168" i="30"/>
  <c r="AY168" i="30"/>
  <c r="AP168" i="30"/>
  <c r="BA168" i="30"/>
  <c r="S163" i="30"/>
  <c r="BA163" i="30"/>
  <c r="AP163" i="30"/>
  <c r="AS163" i="30"/>
  <c r="AY163" i="30"/>
  <c r="AU163" i="30"/>
  <c r="AW163" i="30"/>
  <c r="S78" i="30"/>
  <c r="BA78" i="30"/>
  <c r="AW78" i="30"/>
  <c r="AU78" i="30"/>
  <c r="AS78" i="30"/>
  <c r="AP78" i="30"/>
  <c r="AY78" i="30"/>
  <c r="S76" i="30"/>
  <c r="AW76" i="30"/>
  <c r="AU76" i="30"/>
  <c r="AY76" i="30"/>
  <c r="BA76" i="30"/>
  <c r="AS76" i="30"/>
  <c r="AP76" i="30"/>
  <c r="AH120" i="30"/>
  <c r="AH121" i="30"/>
  <c r="AH123" i="30" s="1"/>
  <c r="Q6" i="30"/>
  <c r="R6" i="30" s="1"/>
  <c r="V6" i="30" s="1"/>
  <c r="AE11" i="35"/>
  <c r="AS11" i="30"/>
  <c r="AP11" i="30" s="1"/>
  <c r="AW11" i="30"/>
  <c r="AU11" i="30"/>
  <c r="BA11" i="30"/>
  <c r="AY11" i="30"/>
  <c r="S41" i="30"/>
  <c r="AW41" i="30"/>
  <c r="AU41" i="30"/>
  <c r="BA41" i="30"/>
  <c r="AS41" i="30"/>
  <c r="AP41" i="30" s="1"/>
  <c r="AY41" i="30"/>
  <c r="AY46" i="30"/>
  <c r="AU46" i="30"/>
  <c r="AW46" i="30"/>
  <c r="BA46" i="30"/>
  <c r="AS46" i="30"/>
  <c r="AP46" i="30" s="1"/>
  <c r="X24" i="35"/>
  <c r="AB23" i="35"/>
  <c r="AB24" i="35" s="1"/>
  <c r="BE152" i="30"/>
  <c r="AU138" i="30"/>
  <c r="AW138" i="30"/>
  <c r="AY138" i="30"/>
  <c r="BA138" i="30"/>
  <c r="AS138" i="30"/>
  <c r="V156" i="30"/>
  <c r="T145" i="30"/>
  <c r="U156" i="30"/>
  <c r="AV148" i="30"/>
  <c r="S138" i="30"/>
  <c r="S135" i="30"/>
  <c r="AP159" i="30"/>
  <c r="AS9" i="30"/>
  <c r="AW9" i="30"/>
  <c r="AU9" i="30"/>
  <c r="AY9" i="30"/>
  <c r="BA9" i="30"/>
  <c r="BE7" i="30"/>
  <c r="BE147" i="30"/>
  <c r="AF145" i="30"/>
  <c r="Z145" i="30"/>
  <c r="AV146" i="30"/>
  <c r="Z146" i="30"/>
  <c r="AO145" i="30"/>
  <c r="AY145" i="30" s="1"/>
  <c r="V145" i="30"/>
  <c r="AS135" i="30"/>
  <c r="BE142" i="30"/>
  <c r="AT113" i="30"/>
  <c r="AW110" i="30"/>
  <c r="BA110" i="30"/>
  <c r="BE137" i="30"/>
  <c r="BE156" i="30"/>
  <c r="BE67" i="30"/>
  <c r="AC146" i="30"/>
  <c r="AC148" i="30"/>
  <c r="BE136" i="30"/>
  <c r="AF146" i="30"/>
  <c r="BE157" i="30"/>
  <c r="AY110" i="30"/>
  <c r="AE120" i="30"/>
  <c r="S110" i="30"/>
  <c r="X148" i="30"/>
  <c r="AT148" i="30" s="1"/>
  <c r="BE133" i="30"/>
  <c r="AF148" i="30"/>
  <c r="BE123" i="30"/>
  <c r="AK120" i="30"/>
  <c r="AO148" i="30"/>
  <c r="S148" i="30" s="1"/>
  <c r="BE117" i="30"/>
  <c r="AS110" i="30"/>
  <c r="BE112" i="30"/>
  <c r="AY135" i="30"/>
  <c r="X146" i="30"/>
  <c r="V146" i="30" s="1"/>
  <c r="AC145" i="30"/>
  <c r="AP110" i="30"/>
  <c r="BE118" i="30"/>
  <c r="BE132" i="30"/>
  <c r="BE122" i="30"/>
  <c r="BA135" i="30"/>
  <c r="AO146" i="30"/>
  <c r="S146" i="30" s="1"/>
  <c r="AS150" i="30"/>
  <c r="AU150" i="30"/>
  <c r="AW150" i="30"/>
  <c r="AY150" i="30"/>
  <c r="BA150" i="30"/>
  <c r="AP150" i="30"/>
  <c r="AT151" i="30"/>
  <c r="V151" i="30"/>
  <c r="U151" i="30"/>
  <c r="AS151" i="30"/>
  <c r="AU151" i="30"/>
  <c r="AW151" i="30"/>
  <c r="AY151" i="30"/>
  <c r="BA151" i="30"/>
  <c r="AP151" i="30"/>
  <c r="AT153" i="30"/>
  <c r="V153" i="30"/>
  <c r="U153" i="30"/>
  <c r="AS153" i="30"/>
  <c r="AU153" i="30"/>
  <c r="AW153" i="30"/>
  <c r="AY153" i="30"/>
  <c r="BA153" i="30"/>
  <c r="AP153" i="30"/>
  <c r="S68" i="30"/>
  <c r="BA68" i="30"/>
  <c r="BA158" i="30"/>
  <c r="AY158" i="30"/>
  <c r="AW158" i="30"/>
  <c r="AU158" i="30"/>
  <c r="AS158" i="30"/>
  <c r="AP158" i="30"/>
  <c r="BA155" i="30"/>
  <c r="AY155" i="30"/>
  <c r="AW155" i="30"/>
  <c r="AU155" i="30"/>
  <c r="AS155" i="30"/>
  <c r="AP155" i="30"/>
  <c r="U158" i="30"/>
  <c r="V158" i="30"/>
  <c r="AP135" i="30"/>
  <c r="AU135" i="30"/>
  <c r="AY68" i="30"/>
  <c r="AP68" i="30"/>
  <c r="AU68" i="30"/>
  <c r="AS68" i="30"/>
  <c r="AW68" i="30"/>
  <c r="AK135" i="30"/>
  <c r="AE135" i="30"/>
  <c r="AH135" i="30"/>
  <c r="V131" i="30"/>
  <c r="U131" i="30"/>
  <c r="AT131" i="30"/>
  <c r="V116" i="30"/>
  <c r="AT116" i="30"/>
  <c r="U116" i="30"/>
  <c r="BA140" i="30"/>
  <c r="AP140" i="30"/>
  <c r="AY140" i="30"/>
  <c r="AU140" i="30"/>
  <c r="AW140" i="30"/>
  <c r="AS140" i="30"/>
  <c r="AW8" i="30"/>
  <c r="AU8" i="30"/>
  <c r="BA8" i="30"/>
  <c r="AY8" i="30"/>
  <c r="AS8" i="30"/>
  <c r="BA131" i="30"/>
  <c r="AP131" i="30"/>
  <c r="AW131" i="30"/>
  <c r="AU131" i="30"/>
  <c r="AY131" i="30"/>
  <c r="AS131" i="30"/>
  <c r="AY5" i="30"/>
  <c r="AW5" i="30"/>
  <c r="AS5" i="30"/>
  <c r="AP5" i="30" s="1"/>
  <c r="BA5" i="30"/>
  <c r="AU5" i="30"/>
  <c r="AY116" i="30"/>
  <c r="AW116" i="30"/>
  <c r="AS116" i="30"/>
  <c r="AP116" i="30"/>
  <c r="BA116" i="30"/>
  <c r="AU116" i="30"/>
  <c r="T133" i="30"/>
  <c r="AS130" i="30"/>
  <c r="BA130" i="30"/>
  <c r="AP130" i="30"/>
  <c r="AY130" i="30"/>
  <c r="AW130" i="30"/>
  <c r="AU130" i="30"/>
  <c r="AW120" i="30"/>
  <c r="AU120" i="30"/>
  <c r="AS120" i="30"/>
  <c r="AP120" i="30"/>
  <c r="BA120" i="30"/>
  <c r="AY120" i="30"/>
  <c r="U138" i="30"/>
  <c r="V138" i="30"/>
  <c r="AY65" i="30"/>
  <c r="AW65" i="30"/>
  <c r="AU65" i="30"/>
  <c r="AP65" i="30"/>
  <c r="BA65" i="30"/>
  <c r="AS65" i="30"/>
  <c r="V141" i="30"/>
  <c r="AT141" i="30"/>
  <c r="U141" i="30"/>
  <c r="AH130" i="30"/>
  <c r="AK130" i="30"/>
  <c r="AE130" i="30"/>
  <c r="AW66" i="30"/>
  <c r="AU66" i="30"/>
  <c r="AS66" i="30"/>
  <c r="AP66" i="30"/>
  <c r="AY66" i="30"/>
  <c r="BA66" i="30"/>
  <c r="AS121" i="30"/>
  <c r="AU121" i="30"/>
  <c r="AP121" i="30"/>
  <c r="AW121" i="30"/>
  <c r="BA121" i="30"/>
  <c r="AY121" i="30"/>
  <c r="AS115" i="30"/>
  <c r="BA115" i="30"/>
  <c r="AP115" i="30"/>
  <c r="AY115" i="30"/>
  <c r="AU115" i="30"/>
  <c r="AW115" i="30"/>
  <c r="AP138" i="30"/>
  <c r="S8" i="30"/>
  <c r="T123" i="30"/>
  <c r="T143" i="30"/>
  <c r="T118" i="30"/>
  <c r="U121" i="30"/>
  <c r="AT121" i="30"/>
  <c r="V121" i="30"/>
  <c r="S65" i="30"/>
  <c r="AY141" i="30"/>
  <c r="AW141" i="30"/>
  <c r="AU141" i="30"/>
  <c r="AS141" i="30"/>
  <c r="BA141" i="30"/>
  <c r="AP141" i="30"/>
  <c r="BE71" i="30" l="1"/>
  <c r="BE168" i="30"/>
  <c r="T168" i="30"/>
  <c r="BE166" i="30"/>
  <c r="BE161" i="30"/>
  <c r="T6" i="30"/>
  <c r="Z6" i="30"/>
  <c r="T166" i="30"/>
  <c r="AO6" i="30"/>
  <c r="S6" i="30" s="1"/>
  <c r="BE163" i="30"/>
  <c r="BE73" i="30"/>
  <c r="BE76" i="30"/>
  <c r="BE78" i="30"/>
  <c r="AC6" i="30"/>
  <c r="AF6" i="30"/>
  <c r="BE41" i="30"/>
  <c r="BE46" i="30"/>
  <c r="BE11" i="30"/>
  <c r="S145" i="30"/>
  <c r="T156" i="30"/>
  <c r="AP9" i="30"/>
  <c r="BA145" i="30"/>
  <c r="AY148" i="30"/>
  <c r="AS145" i="30"/>
  <c r="AU145" i="30"/>
  <c r="AW145" i="30"/>
  <c r="AP145" i="30"/>
  <c r="BE155" i="30"/>
  <c r="BE131" i="30"/>
  <c r="BE138" i="30"/>
  <c r="BE150" i="30"/>
  <c r="BE120" i="30"/>
  <c r="AW148" i="30"/>
  <c r="BE135" i="30"/>
  <c r="BE110" i="30"/>
  <c r="BE5" i="30"/>
  <c r="BE141" i="30"/>
  <c r="BE65" i="30"/>
  <c r="BE140" i="30"/>
  <c r="V148" i="30"/>
  <c r="BA148" i="30"/>
  <c r="BE68" i="30"/>
  <c r="BE115" i="30"/>
  <c r="BE130" i="30"/>
  <c r="BE116" i="30"/>
  <c r="AP148" i="30"/>
  <c r="BE66" i="30"/>
  <c r="BE158" i="30"/>
  <c r="AS148" i="30"/>
  <c r="BE153" i="30"/>
  <c r="AT146" i="30"/>
  <c r="U146" i="30"/>
  <c r="U148" i="30"/>
  <c r="BE121" i="30"/>
  <c r="AU148" i="30"/>
  <c r="BE151" i="30"/>
  <c r="AP8" i="30"/>
  <c r="BE8" i="30"/>
  <c r="BA146" i="30"/>
  <c r="AY146" i="30"/>
  <c r="AW146" i="30"/>
  <c r="AU146" i="30"/>
  <c r="AS146" i="30"/>
  <c r="AP146" i="30"/>
  <c r="T153" i="30"/>
  <c r="T151" i="30"/>
  <c r="T158" i="30"/>
  <c r="T141" i="30"/>
  <c r="T121" i="30"/>
  <c r="T116" i="30"/>
  <c r="T131" i="30"/>
  <c r="T138" i="30"/>
  <c r="BA6" i="30" l="1"/>
  <c r="AU6" i="30"/>
  <c r="AS6" i="30"/>
  <c r="AP6" i="30" s="1"/>
  <c r="AW6" i="30"/>
  <c r="AY6" i="30"/>
  <c r="T148" i="30"/>
  <c r="BE145" i="30"/>
  <c r="BE148" i="30"/>
  <c r="BE146" i="30"/>
  <c r="T146" i="30"/>
  <c r="AI5" i="14"/>
  <c r="BE6" i="30" l="1"/>
  <c r="P144" i="30"/>
  <c r="Q144" i="30" s="1"/>
  <c r="R144" i="30" s="1"/>
  <c r="AA7" i="35"/>
  <c r="F193" i="31"/>
  <c r="AI4" i="14"/>
  <c r="P139" i="30" s="1"/>
  <c r="Q139" i="30" l="1"/>
  <c r="R139" i="30" s="1"/>
  <c r="Z144" i="30"/>
  <c r="AF144" i="30"/>
  <c r="V144" i="30"/>
  <c r="AO144" i="30"/>
  <c r="S144" i="30" s="1"/>
  <c r="AC144" i="30"/>
  <c r="AA6" i="35"/>
  <c r="F188" i="31"/>
  <c r="B57" i="1"/>
  <c r="AF139" i="30" l="1"/>
  <c r="V139" i="30"/>
  <c r="Z139" i="30"/>
  <c r="AO139" i="30"/>
  <c r="AC139" i="30"/>
  <c r="AW144" i="30"/>
  <c r="AY144" i="30"/>
  <c r="AU144" i="30"/>
  <c r="BA144" i="30"/>
  <c r="AS144" i="30"/>
  <c r="AI56" i="14"/>
  <c r="AA56" i="35" s="1"/>
  <c r="AI21" i="14"/>
  <c r="P169" i="30" s="1"/>
  <c r="AI3" i="14"/>
  <c r="P134" i="30" s="1"/>
  <c r="AI68" i="14"/>
  <c r="AA68" i="35" s="1"/>
  <c r="AI19" i="14"/>
  <c r="AI18" i="14"/>
  <c r="AI51" i="14"/>
  <c r="AA51" i="35" s="1"/>
  <c r="AI50" i="14"/>
  <c r="AA50" i="35" s="1"/>
  <c r="AI8" i="14"/>
  <c r="P124" i="30" s="1"/>
  <c r="AI7" i="14"/>
  <c r="P119" i="30" s="1"/>
  <c r="AI17" i="14"/>
  <c r="P114" i="30" s="1"/>
  <c r="AI13" i="14"/>
  <c r="AJ17" i="14"/>
  <c r="AK17" i="14"/>
  <c r="T108" i="14"/>
  <c r="A31" i="1"/>
  <c r="BB18" i="17"/>
  <c r="AT18" i="17"/>
  <c r="AS18" i="17"/>
  <c r="U18" i="17"/>
  <c r="BB17" i="17"/>
  <c r="AT17" i="17"/>
  <c r="AS17" i="17"/>
  <c r="U17" i="17"/>
  <c r="BB16" i="17"/>
  <c r="AT16" i="17"/>
  <c r="AS16" i="17"/>
  <c r="U16" i="17"/>
  <c r="BB15" i="17"/>
  <c r="AT15" i="17"/>
  <c r="AS15" i="17"/>
  <c r="U15" i="17"/>
  <c r="BB14" i="17"/>
  <c r="AT14" i="17"/>
  <c r="AS14" i="17"/>
  <c r="U14" i="17"/>
  <c r="BB13" i="17"/>
  <c r="AT13" i="17"/>
  <c r="AS13" i="17"/>
  <c r="AH13" i="17"/>
  <c r="U13" i="17"/>
  <c r="BB12" i="17"/>
  <c r="AT12" i="17"/>
  <c r="AS12" i="17"/>
  <c r="AH12" i="17"/>
  <c r="U12" i="17"/>
  <c r="T24" i="1"/>
  <c r="AE24" i="1"/>
  <c r="AQ24" i="1"/>
  <c r="AR24" i="1"/>
  <c r="AU24" i="1"/>
  <c r="T25" i="1"/>
  <c r="AE25" i="1"/>
  <c r="AQ25" i="1"/>
  <c r="AR25" i="1"/>
  <c r="AU25" i="1"/>
  <c r="T26" i="1"/>
  <c r="AQ26" i="1"/>
  <c r="AR26" i="1"/>
  <c r="AU26" i="1"/>
  <c r="T27" i="1"/>
  <c r="AQ27" i="1"/>
  <c r="AR27" i="1"/>
  <c r="AU27" i="1"/>
  <c r="T28" i="1"/>
  <c r="AQ28" i="1"/>
  <c r="AR28" i="1"/>
  <c r="AU28" i="1"/>
  <c r="T29" i="1"/>
  <c r="AQ29" i="1"/>
  <c r="AR29" i="1"/>
  <c r="AU29" i="1"/>
  <c r="T30" i="1"/>
  <c r="AQ30" i="1"/>
  <c r="AR30" i="1"/>
  <c r="AU30" i="1"/>
  <c r="R13" i="1"/>
  <c r="R21" i="1"/>
  <c r="R22" i="1"/>
  <c r="R23" i="1"/>
  <c r="R11" i="1"/>
  <c r="AU11" i="1"/>
  <c r="AU12" i="1"/>
  <c r="AU14" i="1"/>
  <c r="AU16" i="1"/>
  <c r="AU13" i="1"/>
  <c r="AU15" i="1"/>
  <c r="AU21" i="1"/>
  <c r="AU22" i="1"/>
  <c r="AU23"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40" i="1"/>
  <c r="A49" i="1"/>
  <c r="T56" i="1"/>
  <c r="T54" i="1"/>
  <c r="T55" i="1"/>
  <c r="T50" i="1"/>
  <c r="T51" i="1"/>
  <c r="T52" i="1"/>
  <c r="T53" i="1"/>
  <c r="T49" i="1"/>
  <c r="AC40" i="1"/>
  <c r="AC41" i="1"/>
  <c r="AC42" i="1"/>
  <c r="AC43" i="1"/>
  <c r="AC44" i="1"/>
  <c r="AC45" i="1"/>
  <c r="AC46" i="1"/>
  <c r="AC47" i="1"/>
  <c r="AC48" i="1"/>
  <c r="AA23" i="1"/>
  <c r="AB23" i="1" s="1"/>
  <c r="T33" i="1"/>
  <c r="T34" i="1"/>
  <c r="T35" i="1"/>
  <c r="T36" i="1"/>
  <c r="T37" i="1"/>
  <c r="T38" i="1"/>
  <c r="T39" i="1"/>
  <c r="T31" i="1"/>
  <c r="T32" i="1"/>
  <c r="T21" i="1"/>
  <c r="T22" i="1"/>
  <c r="T23" i="1"/>
  <c r="AR21" i="1"/>
  <c r="AR32" i="1"/>
  <c r="AR33" i="1"/>
  <c r="AR34" i="1"/>
  <c r="AR35" i="1"/>
  <c r="AR36" i="1"/>
  <c r="AR37" i="1"/>
  <c r="AR38" i="1"/>
  <c r="AR39" i="1"/>
  <c r="AR31" i="1"/>
  <c r="AO4" i="1"/>
  <c r="AO5" i="1"/>
  <c r="AO6" i="1"/>
  <c r="AO7" i="1"/>
  <c r="AO8" i="1"/>
  <c r="AO9" i="1"/>
  <c r="AO10" i="1"/>
  <c r="AO3" i="1"/>
  <c r="AQ4" i="1"/>
  <c r="AQ5" i="1"/>
  <c r="AQ6" i="1"/>
  <c r="AQ7" i="1"/>
  <c r="AQ8" i="1"/>
  <c r="AQ9" i="1"/>
  <c r="AQ10" i="1"/>
  <c r="AQ3" i="1"/>
  <c r="AR4" i="1"/>
  <c r="AR5" i="1"/>
  <c r="AR6" i="1"/>
  <c r="AR7" i="1"/>
  <c r="AR8" i="1"/>
  <c r="AR9" i="1"/>
  <c r="AR10" i="1"/>
  <c r="AR3" i="1"/>
  <c r="AU9" i="1"/>
  <c r="AU10" i="1"/>
  <c r="AU4" i="1"/>
  <c r="AU5" i="1"/>
  <c r="AU6" i="1"/>
  <c r="AU7" i="1"/>
  <c r="AU8" i="1"/>
  <c r="AU3" i="1"/>
  <c r="BB11" i="17"/>
  <c r="AT11" i="17"/>
  <c r="AS11" i="17"/>
  <c r="AQ11" i="17"/>
  <c r="AE11" i="17"/>
  <c r="AC11" i="17"/>
  <c r="AB11" i="17" s="1"/>
  <c r="U11" i="17"/>
  <c r="BB10" i="17"/>
  <c r="AT10" i="17"/>
  <c r="AS10" i="17"/>
  <c r="AQ10" i="17"/>
  <c r="AE10" i="17"/>
  <c r="AC10" i="17"/>
  <c r="AB10" i="17" s="1"/>
  <c r="U10" i="17"/>
  <c r="BB9" i="17"/>
  <c r="AT9" i="17"/>
  <c r="AS9" i="17"/>
  <c r="AQ9" i="17"/>
  <c r="AE9" i="17"/>
  <c r="AC9" i="17"/>
  <c r="AB9" i="17" s="1"/>
  <c r="U9" i="17"/>
  <c r="BB8" i="17"/>
  <c r="AS8" i="17"/>
  <c r="AE8" i="17"/>
  <c r="AC8" i="17"/>
  <c r="AB8" i="17" s="1"/>
  <c r="U8" i="17"/>
  <c r="BB7" i="17"/>
  <c r="AS7" i="17"/>
  <c r="AE7" i="17"/>
  <c r="AC7" i="17"/>
  <c r="AB7" i="17" s="1"/>
  <c r="U7" i="17"/>
  <c r="BB6" i="17"/>
  <c r="AS6" i="17"/>
  <c r="AE6" i="17"/>
  <c r="AC6" i="17"/>
  <c r="AB6" i="17" s="1"/>
  <c r="U6" i="17"/>
  <c r="BB5" i="17"/>
  <c r="AS5" i="17"/>
  <c r="AE5" i="17"/>
  <c r="AC5" i="17"/>
  <c r="AB5" i="17" s="1"/>
  <c r="U5" i="17"/>
  <c r="BB4" i="17"/>
  <c r="AS4" i="17"/>
  <c r="AD4" i="17"/>
  <c r="AE4" i="17" s="1"/>
  <c r="AC4" i="17"/>
  <c r="AB4" i="17" s="1"/>
  <c r="U4" i="17"/>
  <c r="AQ21" i="1"/>
  <c r="Y39" i="1"/>
  <c r="Y38" i="1"/>
  <c r="Y37" i="1"/>
  <c r="Y36" i="1"/>
  <c r="Y35" i="1"/>
  <c r="Y34" i="1"/>
  <c r="Y33" i="1"/>
  <c r="Y32" i="1"/>
  <c r="Y31" i="1"/>
  <c r="AB39" i="1"/>
  <c r="AB38" i="1"/>
  <c r="AB37" i="1"/>
  <c r="AB36" i="1"/>
  <c r="AB35" i="1"/>
  <c r="AB34" i="1"/>
  <c r="AB33" i="1"/>
  <c r="AB32" i="1"/>
  <c r="AB31" i="1"/>
  <c r="AG3" i="17"/>
  <c r="AD3" i="17"/>
  <c r="AE3" i="17" s="1"/>
  <c r="AB3" i="17"/>
  <c r="U3" i="17"/>
  <c r="AY15" i="16"/>
  <c r="AD15" i="16"/>
  <c r="AB15" i="16"/>
  <c r="AA15" i="16"/>
  <c r="T15" i="16"/>
  <c r="AY14" i="16"/>
  <c r="AD14" i="16"/>
  <c r="AB14" i="16"/>
  <c r="AA14" i="16" s="1"/>
  <c r="T14" i="16"/>
  <c r="AY13" i="16"/>
  <c r="AD13" i="16"/>
  <c r="AB13" i="16"/>
  <c r="AA13" i="16" s="1"/>
  <c r="T13" i="16"/>
  <c r="AY11" i="16"/>
  <c r="AD11" i="16"/>
  <c r="AB11" i="16"/>
  <c r="AA11" i="16" s="1"/>
  <c r="T11" i="16"/>
  <c r="AY12" i="16"/>
  <c r="AD12" i="16"/>
  <c r="AB12" i="16"/>
  <c r="AA12" i="16" s="1"/>
  <c r="T12" i="16"/>
  <c r="AY10" i="16"/>
  <c r="AF10" i="16"/>
  <c r="AD10" i="16"/>
  <c r="AB10" i="16"/>
  <c r="T10" i="16"/>
  <c r="AY9" i="16"/>
  <c r="AD9" i="16"/>
  <c r="AB9" i="16"/>
  <c r="AA9" i="16"/>
  <c r="T9" i="16"/>
  <c r="AY8" i="16"/>
  <c r="AD8" i="16"/>
  <c r="AB8" i="16"/>
  <c r="AA8" i="16" s="1"/>
  <c r="T8" i="16"/>
  <c r="AY7" i="16"/>
  <c r="AD7" i="16"/>
  <c r="AB7" i="16"/>
  <c r="AA7" i="16" s="1"/>
  <c r="T7" i="16"/>
  <c r="AY6" i="16"/>
  <c r="AD6" i="16"/>
  <c r="AB6" i="16"/>
  <c r="AA6" i="16" s="1"/>
  <c r="T6" i="16"/>
  <c r="AY5" i="16"/>
  <c r="AD5" i="16"/>
  <c r="AB5" i="16"/>
  <c r="AA5" i="16"/>
  <c r="T5" i="16"/>
  <c r="AY4" i="16"/>
  <c r="AD4" i="16"/>
  <c r="AB4" i="16"/>
  <c r="AA4" i="16" s="1"/>
  <c r="T4" i="16"/>
  <c r="AY3" i="16"/>
  <c r="AD3" i="16"/>
  <c r="AB3" i="16"/>
  <c r="AA3" i="16" s="1"/>
  <c r="T3" i="16"/>
  <c r="Z10" i="1"/>
  <c r="Z9" i="1"/>
  <c r="Y9" i="1" s="1"/>
  <c r="Z8" i="1"/>
  <c r="Y8" i="1" s="1"/>
  <c r="Z7" i="1"/>
  <c r="Y7" i="1" s="1"/>
  <c r="Z6" i="1"/>
  <c r="Y6" i="1" s="1"/>
  <c r="Z5" i="1"/>
  <c r="Y5" i="1" s="1"/>
  <c r="Z4" i="1"/>
  <c r="Y4" i="1" s="1"/>
  <c r="Z3" i="1"/>
  <c r="Y3" i="1" s="1"/>
  <c r="AB3" i="1"/>
  <c r="AB4" i="1"/>
  <c r="AB5" i="1"/>
  <c r="AB6" i="1"/>
  <c r="AB7" i="1"/>
  <c r="AB8" i="1"/>
  <c r="AB9" i="1"/>
  <c r="Z23" i="1"/>
  <c r="Y23" i="1" s="1"/>
  <c r="AE10" i="1"/>
  <c r="AB10" i="1" s="1"/>
  <c r="U19" i="35" l="1"/>
  <c r="P113" i="30"/>
  <c r="Q113" i="30" s="1"/>
  <c r="R113" i="30" s="1"/>
  <c r="P74" i="30"/>
  <c r="Q74" i="30" s="1"/>
  <c r="R74" i="30" s="1"/>
  <c r="P164" i="30"/>
  <c r="V19" i="35"/>
  <c r="W19" i="35" s="1"/>
  <c r="P111" i="30"/>
  <c r="Q111" i="30" s="1"/>
  <c r="R111" i="30" s="1"/>
  <c r="P79" i="30"/>
  <c r="Q79" i="30" s="1"/>
  <c r="R79" i="30" s="1"/>
  <c r="P69" i="30"/>
  <c r="P129" i="30"/>
  <c r="Q129" i="30" s="1"/>
  <c r="R129" i="30" s="1"/>
  <c r="Q44" i="30"/>
  <c r="R44" i="30" s="1"/>
  <c r="Q49" i="30"/>
  <c r="R49" i="30" s="1"/>
  <c r="F228" i="31"/>
  <c r="F213" i="31"/>
  <c r="F218" i="31"/>
  <c r="Q134" i="30"/>
  <c r="R134" i="30" s="1"/>
  <c r="AA5" i="35"/>
  <c r="Q124" i="30"/>
  <c r="R124" i="30" s="1"/>
  <c r="AY139" i="30"/>
  <c r="BA139" i="30"/>
  <c r="AU139" i="30"/>
  <c r="AS139" i="30"/>
  <c r="AW139" i="30"/>
  <c r="AP144" i="30"/>
  <c r="Q114" i="30"/>
  <c r="R114" i="30" s="1"/>
  <c r="S139" i="30"/>
  <c r="Q119" i="30"/>
  <c r="R119" i="30" s="1"/>
  <c r="AA15" i="35"/>
  <c r="F163" i="31"/>
  <c r="AA9" i="35"/>
  <c r="F178" i="31"/>
  <c r="AA19" i="35"/>
  <c r="F168" i="31"/>
  <c r="AA8" i="35"/>
  <c r="F173" i="31"/>
  <c r="F183" i="31"/>
  <c r="AO17" i="14"/>
  <c r="AA10" i="16"/>
  <c r="Y10" i="1"/>
  <c r="V111" i="30" l="1"/>
  <c r="AO111" i="30"/>
  <c r="S111" i="30" s="1"/>
  <c r="Z111" i="30"/>
  <c r="AF111" i="30"/>
  <c r="AC111" i="30"/>
  <c r="T111" i="30"/>
  <c r="V113" i="30"/>
  <c r="AF113" i="30"/>
  <c r="AC113" i="30"/>
  <c r="AO113" i="30"/>
  <c r="T113" i="30"/>
  <c r="AO79" i="30"/>
  <c r="S79" i="30" s="1"/>
  <c r="AF79" i="30"/>
  <c r="Z79" i="30"/>
  <c r="V79" i="30"/>
  <c r="AC79" i="30"/>
  <c r="Q69" i="30"/>
  <c r="R69" i="30" s="1"/>
  <c r="Z69" i="30" s="1"/>
  <c r="AC74" i="30"/>
  <c r="Z74" i="30"/>
  <c r="V74" i="30"/>
  <c r="AO74" i="30"/>
  <c r="AF74" i="30"/>
  <c r="AO49" i="30"/>
  <c r="AF49" i="30"/>
  <c r="AC49" i="30"/>
  <c r="Z49" i="30"/>
  <c r="V49" i="30"/>
  <c r="AO44" i="30"/>
  <c r="S44" i="30" s="1"/>
  <c r="AF44" i="30"/>
  <c r="AC44" i="30"/>
  <c r="Z44" i="30"/>
  <c r="V44" i="30"/>
  <c r="Z129" i="30"/>
  <c r="V129" i="30"/>
  <c r="AO129" i="30"/>
  <c r="S129" i="30" s="1"/>
  <c r="AC129" i="30"/>
  <c r="AF129" i="30"/>
  <c r="X19" i="35"/>
  <c r="AE19" i="35"/>
  <c r="Q164" i="30"/>
  <c r="R164" i="30" s="1"/>
  <c r="Q169" i="30"/>
  <c r="R169" i="30" s="1"/>
  <c r="AP139" i="30"/>
  <c r="V119" i="30"/>
  <c r="AO119" i="30"/>
  <c r="AC119" i="30"/>
  <c r="AF119" i="30"/>
  <c r="Z119" i="30"/>
  <c r="V114" i="30"/>
  <c r="AO114" i="30"/>
  <c r="S114" i="30" s="1"/>
  <c r="AF114" i="30"/>
  <c r="AC114" i="30"/>
  <c r="Z114" i="30"/>
  <c r="AO134" i="30"/>
  <c r="AF134" i="30"/>
  <c r="AC134" i="30"/>
  <c r="Z134" i="30"/>
  <c r="V134" i="30"/>
  <c r="AC69" i="30"/>
  <c r="AF124" i="30"/>
  <c r="AC124" i="30"/>
  <c r="AO124" i="30"/>
  <c r="Z124" i="30"/>
  <c r="V124" i="30"/>
  <c r="AF69" i="30" l="1"/>
  <c r="V69" i="30"/>
  <c r="AO69" i="30"/>
  <c r="S69" i="30" s="1"/>
  <c r="S113" i="30"/>
  <c r="AY113" i="30"/>
  <c r="AS113" i="30"/>
  <c r="AW113" i="30"/>
  <c r="BA113" i="30"/>
  <c r="AU113" i="30"/>
  <c r="AP113" i="30"/>
  <c r="AS111" i="30"/>
  <c r="AU111" i="30"/>
  <c r="AY111" i="30"/>
  <c r="AW111" i="30"/>
  <c r="AP111" i="30"/>
  <c r="BA111" i="30"/>
  <c r="AU79" i="30"/>
  <c r="AS79" i="30"/>
  <c r="AW79" i="30"/>
  <c r="AY79" i="30"/>
  <c r="BA79" i="30"/>
  <c r="U169" i="30"/>
  <c r="AT169" i="30"/>
  <c r="S74" i="30"/>
  <c r="AS74" i="30"/>
  <c r="AY74" i="30"/>
  <c r="AW74" i="30"/>
  <c r="BA74" i="30"/>
  <c r="AU74" i="30"/>
  <c r="S49" i="30"/>
  <c r="AU49" i="30"/>
  <c r="BA49" i="30"/>
  <c r="AW49" i="30"/>
  <c r="AY49" i="30"/>
  <c r="AS49" i="30"/>
  <c r="AS129" i="30"/>
  <c r="BA129" i="30"/>
  <c r="AY129" i="30"/>
  <c r="AW129" i="30"/>
  <c r="AU129" i="30"/>
  <c r="AY44" i="30"/>
  <c r="AW44" i="30"/>
  <c r="AS44" i="30"/>
  <c r="BA44" i="30"/>
  <c r="AU44" i="30"/>
  <c r="AC169" i="30"/>
  <c r="AF169" i="30"/>
  <c r="Z169" i="30"/>
  <c r="V169" i="30"/>
  <c r="AO169" i="30"/>
  <c r="S169" i="30" s="1"/>
  <c r="AO164" i="30"/>
  <c r="AS164" i="30" s="1"/>
  <c r="V164" i="30"/>
  <c r="AC164" i="30"/>
  <c r="AF164" i="30"/>
  <c r="Z164" i="30"/>
  <c r="AY69" i="30"/>
  <c r="BA69" i="30"/>
  <c r="AS134" i="30"/>
  <c r="BA134" i="30"/>
  <c r="AU134" i="30"/>
  <c r="AY134" i="30"/>
  <c r="AW134" i="30"/>
  <c r="S134" i="30"/>
  <c r="BA119" i="30"/>
  <c r="AY119" i="30"/>
  <c r="AW119" i="30"/>
  <c r="AS119" i="30"/>
  <c r="AU119" i="30"/>
  <c r="AS124" i="30"/>
  <c r="AY124" i="30"/>
  <c r="BA124" i="30"/>
  <c r="AU124" i="30"/>
  <c r="AW124" i="30"/>
  <c r="S124" i="30"/>
  <c r="BA114" i="30"/>
  <c r="AS114" i="30"/>
  <c r="AU114" i="30"/>
  <c r="AW114" i="30"/>
  <c r="AY114" i="30"/>
  <c r="S119" i="30"/>
  <c r="AW69" i="30" l="1"/>
  <c r="AS69" i="30"/>
  <c r="AU69" i="30"/>
  <c r="AP79" i="30"/>
  <c r="BE111" i="30"/>
  <c r="BE113" i="30"/>
  <c r="AP129" i="30"/>
  <c r="T169" i="30"/>
  <c r="AP49" i="30"/>
  <c r="BE44" i="30"/>
  <c r="AP74" i="30"/>
  <c r="AP44" i="30"/>
  <c r="BE49" i="30"/>
  <c r="AP134" i="30"/>
  <c r="AU164" i="30"/>
  <c r="AP164" i="30" s="1"/>
  <c r="S164" i="30"/>
  <c r="AY164" i="30"/>
  <c r="AY169" i="30"/>
  <c r="AS169" i="30"/>
  <c r="AW169" i="30"/>
  <c r="BA169" i="30"/>
  <c r="AU169" i="30"/>
  <c r="BA164" i="30"/>
  <c r="AW164" i="30"/>
  <c r="AP114" i="30"/>
  <c r="AP119" i="30"/>
  <c r="AP124" i="30"/>
  <c r="AP69" i="30"/>
  <c r="AP169" i="30" l="1"/>
  <c r="L11" i="14"/>
  <c r="P13" i="35" s="1"/>
  <c r="E5" i="55" l="1"/>
  <c r="D11" i="55"/>
  <c r="E7" i="55" l="1"/>
  <c r="G7" i="55" s="1"/>
  <c r="H7" i="55" s="1"/>
  <c r="E11" i="55"/>
  <c r="E13" i="55" s="1"/>
  <c r="J40" i="57" l="1"/>
  <c r="J39" i="57" l="1"/>
  <c r="J44" i="57"/>
  <c r="J43" i="57" l="1"/>
  <c r="J46" i="57"/>
  <c r="K23" i="58" s="1"/>
  <c r="J45" i="57" l="1"/>
  <c r="J22" i="54"/>
  <c r="J21" i="54" s="1"/>
  <c r="H6" i="59" l="1"/>
  <c r="H27" i="59"/>
  <c r="H28" i="59"/>
  <c r="H29" i="59"/>
  <c r="H30" i="59"/>
  <c r="BR15" i="48" l="1"/>
  <c r="O15" i="48"/>
  <c r="H16" i="48"/>
  <c r="J15" i="48"/>
  <c r="I39" i="48"/>
  <c r="AJ39" i="48" s="1"/>
  <c r="V39" i="48" l="1"/>
  <c r="BR39" i="48"/>
  <c r="AX39" i="48"/>
  <c r="I40" i="48"/>
  <c r="AC39" i="48"/>
  <c r="BE39" i="48"/>
  <c r="AQ39" i="48"/>
  <c r="BL39" i="48"/>
  <c r="O39" i="48"/>
  <c r="V40" i="48" l="1"/>
  <c r="O40" i="48"/>
  <c r="AQ40" i="48"/>
  <c r="AX40" i="48"/>
  <c r="BE40" i="48"/>
  <c r="BL40" i="48"/>
  <c r="AJ40" i="48"/>
  <c r="J40" i="48"/>
  <c r="AC40" i="48"/>
  <c r="F21" i="63" l="1"/>
  <c r="E59" i="6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tc={E3E51F13-EE4B-414C-A330-2122D79C1878}</author>
  </authors>
  <commentList>
    <comment ref="C58" authorId="0" shapeId="0" xr:uid="{E3E51F13-EE4B-414C-A330-2122D79C1878}">
      <text>
        <t xml:space="preserve">[스레드 댓글]
사용 중인 버전의 Excel에서 이 스레드 댓글을 읽을 수 있지만 파일을 이후 버전의 Excel에서 열면 편집 내용이 모두 제거됩니다. 자세한 정보: https://go.microsoft.com/fwlink/?linkid=870924.
댓글:
    The remaining available grid connection capacity has decreased, reducing the initial capacity from 406kW to 300kW, which has been reflected in the figures.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distributed generation</author>
  </authors>
  <commentList>
    <comment ref="E60" authorId="0" shapeId="0" xr:uid="{EB3837BE-F7F5-4504-BF89-B4A46D21AB36}">
      <text>
        <r>
          <rPr>
            <b/>
            <sz val="9"/>
            <color indexed="81"/>
            <rFont val="Tahoma"/>
            <family val="2"/>
          </rPr>
          <t>KRW</t>
        </r>
      </text>
    </comment>
    <comment ref="J60" authorId="0" shapeId="0" xr:uid="{9914448F-5DD7-4F76-A7DD-6EB4626679F7}">
      <text>
        <r>
          <rPr>
            <b/>
            <sz val="9"/>
            <color indexed="81"/>
            <rFont val="Tahoma"/>
            <family val="2"/>
          </rPr>
          <t>KRW</t>
        </r>
      </text>
    </comment>
    <comment ref="K60" authorId="0" shapeId="0" xr:uid="{1C34937B-71A5-40D8-AE8C-01853688DC12}">
      <text>
        <r>
          <rPr>
            <b/>
            <sz val="9"/>
            <color indexed="81"/>
            <rFont val="Tahoma"/>
            <family val="2"/>
          </rPr>
          <t>KRW</t>
        </r>
      </text>
    </comment>
    <comment ref="L60" authorId="0" shapeId="0" xr:uid="{952F4F58-779A-4616-8A42-98545E0A4BBF}">
      <text>
        <r>
          <rPr>
            <b/>
            <sz val="9"/>
            <color indexed="81"/>
            <rFont val="Tahoma"/>
            <family val="2"/>
          </rPr>
          <t>KRW</t>
        </r>
      </text>
    </comment>
    <comment ref="M60" authorId="0" shapeId="0" xr:uid="{1FCB4541-0339-479E-AC98-7BA8DEC0D6DA}">
      <text>
        <r>
          <rPr>
            <b/>
            <sz val="9"/>
            <color indexed="81"/>
            <rFont val="Tahoma"/>
            <family val="2"/>
          </rPr>
          <t>KRW</t>
        </r>
      </text>
    </comment>
    <comment ref="N60" authorId="0" shapeId="0" xr:uid="{D8A78A3C-A638-428F-958C-63E7B12903EA}">
      <text>
        <r>
          <rPr>
            <b/>
            <sz val="9"/>
            <color indexed="81"/>
            <rFont val="Tahoma"/>
            <family val="2"/>
          </rPr>
          <t>KRW</t>
        </r>
      </text>
    </comment>
    <comment ref="O60" authorId="0" shapeId="0" xr:uid="{BD9A0ACB-B627-43BD-ACEB-1998AAF3DB0D}">
      <text>
        <r>
          <rPr>
            <b/>
            <sz val="9"/>
            <color indexed="81"/>
            <rFont val="Tahoma"/>
            <family val="2"/>
          </rPr>
          <t>KRW</t>
        </r>
      </text>
    </comment>
    <comment ref="R60" authorId="0" shapeId="0" xr:uid="{7ED36D74-9680-419B-B646-325F8B555FA2}">
      <text>
        <r>
          <rPr>
            <b/>
            <sz val="9"/>
            <color indexed="81"/>
            <rFont val="Tahoma"/>
            <family val="2"/>
          </rPr>
          <t>KRW</t>
        </r>
      </text>
    </comment>
    <comment ref="W60" authorId="0" shapeId="0" xr:uid="{82AD4220-5AC5-4866-9BAC-08E9799559F3}">
      <text>
        <r>
          <rPr>
            <b/>
            <sz val="9"/>
            <color indexed="81"/>
            <rFont val="Tahoma"/>
            <family val="2"/>
          </rPr>
          <t>KRW</t>
        </r>
      </text>
    </comment>
    <comment ref="E69" authorId="0" shapeId="0" xr:uid="{5E05909C-E98D-43DC-9900-A369C65C0204}">
      <text>
        <r>
          <rPr>
            <b/>
            <sz val="9"/>
            <color indexed="81"/>
            <rFont val="Tahoma"/>
            <family val="2"/>
          </rPr>
          <t>KRW</t>
        </r>
      </text>
    </comment>
    <comment ref="J69" authorId="0" shapeId="0" xr:uid="{DB3CB7DA-C013-4CAF-B0C0-77B840BE198E}">
      <text>
        <r>
          <rPr>
            <b/>
            <sz val="9"/>
            <color indexed="81"/>
            <rFont val="Tahoma"/>
            <family val="2"/>
          </rPr>
          <t>KRW</t>
        </r>
      </text>
    </comment>
    <comment ref="K69" authorId="0" shapeId="0" xr:uid="{DF72785E-57BE-42BF-AEBE-9B55B06D3B7F}">
      <text>
        <r>
          <rPr>
            <b/>
            <sz val="9"/>
            <color indexed="81"/>
            <rFont val="Tahoma"/>
            <family val="2"/>
          </rPr>
          <t>KRW</t>
        </r>
      </text>
    </comment>
    <comment ref="L69" authorId="0" shapeId="0" xr:uid="{19C3B832-5784-4D4B-A1D6-DFD2BE924BFF}">
      <text>
        <r>
          <rPr>
            <b/>
            <sz val="9"/>
            <color indexed="81"/>
            <rFont val="Tahoma"/>
            <family val="2"/>
          </rPr>
          <t>KRW</t>
        </r>
      </text>
    </comment>
    <comment ref="M69" authorId="0" shapeId="0" xr:uid="{BFD0135E-52AC-4BB4-B85E-40C042D6353E}">
      <text>
        <r>
          <rPr>
            <b/>
            <sz val="9"/>
            <color indexed="81"/>
            <rFont val="Tahoma"/>
            <family val="2"/>
          </rPr>
          <t>KRW</t>
        </r>
      </text>
    </comment>
    <comment ref="N69" authorId="0" shapeId="0" xr:uid="{426A7E8E-A85A-47F2-8B57-238D5707F164}">
      <text>
        <r>
          <rPr>
            <b/>
            <sz val="9"/>
            <color indexed="81"/>
            <rFont val="Tahoma"/>
            <family val="2"/>
          </rPr>
          <t>KRW</t>
        </r>
      </text>
    </comment>
    <comment ref="O69" authorId="0" shapeId="0" xr:uid="{35E2A65F-17C6-40F4-9C30-9108EAC2110F}">
      <text>
        <r>
          <rPr>
            <b/>
            <sz val="9"/>
            <color indexed="81"/>
            <rFont val="Tahoma"/>
            <family val="2"/>
          </rPr>
          <t>KRW</t>
        </r>
      </text>
    </comment>
    <comment ref="R69" authorId="0" shapeId="0" xr:uid="{0593BEEC-E8FA-4F94-A78A-1F461F4233AB}">
      <text>
        <r>
          <rPr>
            <b/>
            <sz val="9"/>
            <color indexed="81"/>
            <rFont val="Tahoma"/>
            <family val="2"/>
          </rPr>
          <t>KRW</t>
        </r>
      </text>
    </comment>
    <comment ref="W69" authorId="0" shapeId="0" xr:uid="{8DF5772F-5E56-4040-A8DC-4DB9997A7CA7}">
      <text>
        <r>
          <rPr>
            <b/>
            <sz val="9"/>
            <color indexed="81"/>
            <rFont val="Tahoma"/>
            <family val="2"/>
          </rPr>
          <t>KRW</t>
        </r>
      </text>
    </comment>
    <comment ref="E87" authorId="0" shapeId="0" xr:uid="{EB32D8CB-A0E5-443B-94FF-5D8E7FDDAA84}">
      <text>
        <r>
          <rPr>
            <b/>
            <sz val="9"/>
            <color indexed="81"/>
            <rFont val="Tahoma"/>
            <family val="2"/>
          </rPr>
          <t>KRW</t>
        </r>
      </text>
    </comment>
    <comment ref="F87" authorId="0" shapeId="0" xr:uid="{C1463E41-264A-4860-888E-424039FB6138}">
      <text>
        <r>
          <rPr>
            <b/>
            <sz val="9"/>
            <color indexed="81"/>
            <rFont val="Tahoma"/>
            <family val="2"/>
          </rPr>
          <t>KRW</t>
        </r>
      </text>
    </comment>
    <comment ref="G87" authorId="0" shapeId="0" xr:uid="{81CAF453-A16E-485B-855F-D135FFDEEC22}">
      <text>
        <r>
          <rPr>
            <b/>
            <sz val="9"/>
            <color indexed="81"/>
            <rFont val="Tahoma"/>
            <family val="2"/>
          </rPr>
          <t>KRW</t>
        </r>
      </text>
    </comment>
    <comment ref="H87" authorId="0" shapeId="0" xr:uid="{49783993-E814-4503-B4EF-B21A54BD35AD}">
      <text>
        <r>
          <rPr>
            <b/>
            <sz val="9"/>
            <color indexed="81"/>
            <rFont val="Tahoma"/>
            <family val="2"/>
          </rPr>
          <t>KRW</t>
        </r>
      </text>
    </comment>
    <comment ref="I87" authorId="0" shapeId="0" xr:uid="{21CE4D2C-37EF-417D-B1AA-7D83F35579A8}">
      <text>
        <r>
          <rPr>
            <b/>
            <sz val="9"/>
            <color indexed="81"/>
            <rFont val="Tahoma"/>
            <family val="2"/>
          </rPr>
          <t>KRW</t>
        </r>
      </text>
    </comment>
    <comment ref="J87" authorId="0" shapeId="0" xr:uid="{2578B07C-9C78-4D01-B9F6-2DCB3F66CC8E}">
      <text>
        <r>
          <rPr>
            <b/>
            <sz val="9"/>
            <color indexed="81"/>
            <rFont val="Tahoma"/>
            <family val="2"/>
          </rPr>
          <t>KRW</t>
        </r>
      </text>
    </comment>
    <comment ref="K87" authorId="0" shapeId="0" xr:uid="{DB67D565-6FBE-452B-B3FE-1A04D844F00D}">
      <text>
        <r>
          <rPr>
            <b/>
            <sz val="9"/>
            <color indexed="81"/>
            <rFont val="Tahoma"/>
            <family val="2"/>
          </rPr>
          <t>KRW</t>
        </r>
      </text>
    </comment>
    <comment ref="L87" authorId="0" shapeId="0" xr:uid="{8A094AA4-DEAF-4B4A-9F77-75C9CAFD7251}">
      <text>
        <r>
          <rPr>
            <b/>
            <sz val="9"/>
            <color indexed="81"/>
            <rFont val="Tahoma"/>
            <family val="2"/>
          </rPr>
          <t>KRW</t>
        </r>
      </text>
    </comment>
    <comment ref="M87" authorId="0" shapeId="0" xr:uid="{AA9FB17E-7D9E-428A-BED5-1C4770E14F9B}">
      <text>
        <r>
          <rPr>
            <b/>
            <sz val="9"/>
            <color indexed="81"/>
            <rFont val="Tahoma"/>
            <family val="2"/>
          </rPr>
          <t>KRW</t>
        </r>
      </text>
    </comment>
    <comment ref="N87" authorId="0" shapeId="0" xr:uid="{0844C754-AC28-4CB6-9964-CCA6153F0BDF}">
      <text>
        <r>
          <rPr>
            <b/>
            <sz val="9"/>
            <color indexed="81"/>
            <rFont val="Tahoma"/>
            <family val="2"/>
          </rPr>
          <t>KRW</t>
        </r>
      </text>
    </comment>
    <comment ref="O87" authorId="0" shapeId="0" xr:uid="{232F9A88-1505-40EC-8C16-5174A3DEEEDE}">
      <text>
        <r>
          <rPr>
            <b/>
            <sz val="9"/>
            <color indexed="81"/>
            <rFont val="Tahoma"/>
            <family val="2"/>
          </rPr>
          <t>KRW</t>
        </r>
      </text>
    </comment>
    <comment ref="R87" authorId="0" shapeId="0" xr:uid="{555B5ED9-F143-4E7E-907E-78ED45B7145E}">
      <text>
        <r>
          <rPr>
            <b/>
            <sz val="9"/>
            <color indexed="81"/>
            <rFont val="Tahoma"/>
            <family val="2"/>
          </rPr>
          <t>KRW</t>
        </r>
      </text>
    </comment>
    <comment ref="S87" authorId="0" shapeId="0" xr:uid="{F56E42C4-6C6A-4C5F-A503-55FE7D28851E}">
      <text>
        <r>
          <rPr>
            <b/>
            <sz val="9"/>
            <color indexed="81"/>
            <rFont val="Tahoma"/>
            <family val="2"/>
          </rPr>
          <t>KRW</t>
        </r>
      </text>
    </comment>
    <comment ref="T87" authorId="0" shapeId="0" xr:uid="{F6D8A5FC-5C2E-48E6-BD5A-35AAE9E9F804}">
      <text>
        <r>
          <rPr>
            <b/>
            <sz val="9"/>
            <color indexed="81"/>
            <rFont val="Tahoma"/>
            <family val="2"/>
          </rPr>
          <t>KRW</t>
        </r>
      </text>
    </comment>
    <comment ref="U87" authorId="0" shapeId="0" xr:uid="{C2A7457A-3AEB-4871-9281-BED245C34DA7}">
      <text>
        <r>
          <rPr>
            <b/>
            <sz val="9"/>
            <color indexed="81"/>
            <rFont val="Tahoma"/>
            <family val="2"/>
          </rPr>
          <t>KRW</t>
        </r>
      </text>
    </comment>
    <comment ref="V87" authorId="0" shapeId="0" xr:uid="{ACB6E769-CB57-48B0-A88F-1C2245F88E4D}">
      <text>
        <r>
          <rPr>
            <b/>
            <sz val="9"/>
            <color indexed="81"/>
            <rFont val="Tahoma"/>
            <family val="2"/>
          </rPr>
          <t>KRW</t>
        </r>
      </text>
    </comment>
    <comment ref="W87" authorId="0" shapeId="0" xr:uid="{63BD21A5-B569-418C-BE3B-8E05F73BD5CB}">
      <text>
        <r>
          <rPr>
            <b/>
            <sz val="9"/>
            <color indexed="81"/>
            <rFont val="Tahoma"/>
            <family val="2"/>
          </rPr>
          <t>KRW</t>
        </r>
      </text>
    </comment>
    <comment ref="E105" authorId="0" shapeId="0" xr:uid="{B26844FB-5201-437B-A22A-E3B08D0525D3}">
      <text>
        <r>
          <rPr>
            <b/>
            <sz val="9"/>
            <color indexed="81"/>
            <rFont val="Tahoma"/>
            <family val="2"/>
          </rPr>
          <t>KRW</t>
        </r>
      </text>
    </comment>
    <comment ref="J105" authorId="0" shapeId="0" xr:uid="{CBDAA156-1E38-46E5-A5B9-A071043567D2}">
      <text>
        <r>
          <rPr>
            <b/>
            <sz val="9"/>
            <color indexed="81"/>
            <rFont val="Tahoma"/>
            <family val="2"/>
          </rPr>
          <t>KRW</t>
        </r>
      </text>
    </comment>
    <comment ref="K105" authorId="0" shapeId="0" xr:uid="{EEBD62BE-0C29-4A4D-BCB1-06059812C945}">
      <text>
        <r>
          <rPr>
            <b/>
            <sz val="9"/>
            <color indexed="81"/>
            <rFont val="Tahoma"/>
            <family val="2"/>
          </rPr>
          <t>KRW</t>
        </r>
      </text>
    </comment>
    <comment ref="L105" authorId="0" shapeId="0" xr:uid="{9D2C19ED-C981-4A2C-8494-AC8021267527}">
      <text>
        <r>
          <rPr>
            <b/>
            <sz val="9"/>
            <color indexed="81"/>
            <rFont val="Tahoma"/>
            <family val="2"/>
          </rPr>
          <t>KRW</t>
        </r>
      </text>
    </comment>
    <comment ref="M105" authorId="0" shapeId="0" xr:uid="{F36A7B8C-1006-4371-A2CD-0AE6BC0E629A}">
      <text>
        <r>
          <rPr>
            <b/>
            <sz val="9"/>
            <color indexed="81"/>
            <rFont val="Tahoma"/>
            <family val="2"/>
          </rPr>
          <t>KRW</t>
        </r>
      </text>
    </comment>
    <comment ref="N105" authorId="0" shapeId="0" xr:uid="{11716FBD-C317-4FA8-81B8-101EBCB51AAC}">
      <text>
        <r>
          <rPr>
            <b/>
            <sz val="9"/>
            <color indexed="81"/>
            <rFont val="Tahoma"/>
            <family val="2"/>
          </rPr>
          <t>KRW</t>
        </r>
      </text>
    </comment>
    <comment ref="O105" authorId="0" shapeId="0" xr:uid="{CAD34DC5-60AE-4D63-A21F-120DDE99B657}">
      <text>
        <r>
          <rPr>
            <b/>
            <sz val="9"/>
            <color indexed="81"/>
            <rFont val="Tahoma"/>
            <family val="2"/>
          </rPr>
          <t>KRW</t>
        </r>
      </text>
    </comment>
    <comment ref="R105" authorId="0" shapeId="0" xr:uid="{E0A8F1B9-9D37-4932-989C-A161BFDDAC0F}">
      <text>
        <r>
          <rPr>
            <b/>
            <sz val="9"/>
            <color indexed="81"/>
            <rFont val="Tahoma"/>
            <family val="2"/>
          </rPr>
          <t>KRW</t>
        </r>
      </text>
    </comment>
    <comment ref="W105" authorId="0" shapeId="0" xr:uid="{D61E4D47-BA52-40D0-81FF-4DD05E11539B}">
      <text>
        <r>
          <rPr>
            <b/>
            <sz val="9"/>
            <color indexed="81"/>
            <rFont val="Tahoma"/>
            <family val="2"/>
          </rPr>
          <t>KRW</t>
        </r>
      </text>
    </comment>
    <comment ref="E123" authorId="0" shapeId="0" xr:uid="{2E4F0AFE-F3CF-445B-AEFC-438D92C6A107}">
      <text>
        <r>
          <rPr>
            <b/>
            <sz val="9"/>
            <color indexed="81"/>
            <rFont val="Tahoma"/>
            <family val="2"/>
          </rPr>
          <t xml:space="preserve">KRW
</t>
        </r>
      </text>
    </comment>
    <comment ref="J123" authorId="0" shapeId="0" xr:uid="{4B0C3A6A-9077-4607-9A51-0CDF9396F7FD}">
      <text>
        <r>
          <rPr>
            <b/>
            <sz val="9"/>
            <color indexed="81"/>
            <rFont val="Tahoma"/>
            <family val="2"/>
          </rPr>
          <t xml:space="preserve">KRW
</t>
        </r>
      </text>
    </comment>
    <comment ref="K123" authorId="0" shapeId="0" xr:uid="{D3009005-36E5-41A3-A59A-41B465C99BFC}">
      <text>
        <r>
          <rPr>
            <b/>
            <sz val="9"/>
            <color indexed="81"/>
            <rFont val="Tahoma"/>
            <family val="2"/>
          </rPr>
          <t xml:space="preserve">KRW
</t>
        </r>
      </text>
    </comment>
    <comment ref="L123" authorId="0" shapeId="0" xr:uid="{5A166629-A61F-4413-A24C-4886106632B9}">
      <text>
        <r>
          <rPr>
            <b/>
            <sz val="9"/>
            <color indexed="81"/>
            <rFont val="Tahoma"/>
            <family val="2"/>
          </rPr>
          <t xml:space="preserve">KRW
</t>
        </r>
      </text>
    </comment>
    <comment ref="M123" authorId="0" shapeId="0" xr:uid="{4BDCFA26-E17D-479D-A804-3195FC34E18E}">
      <text>
        <r>
          <rPr>
            <b/>
            <sz val="9"/>
            <color indexed="81"/>
            <rFont val="Tahoma"/>
            <family val="2"/>
          </rPr>
          <t xml:space="preserve">KRW
</t>
        </r>
      </text>
    </comment>
    <comment ref="N123" authorId="0" shapeId="0" xr:uid="{0B6D4CF9-A1E7-4EB3-BA99-8AB62637C155}">
      <text>
        <r>
          <rPr>
            <b/>
            <sz val="9"/>
            <color indexed="81"/>
            <rFont val="Tahoma"/>
            <family val="2"/>
          </rPr>
          <t xml:space="preserve">KRW
</t>
        </r>
      </text>
    </comment>
    <comment ref="O123" authorId="0" shapeId="0" xr:uid="{77BBB014-93B4-4622-8728-FA98A33F0573}">
      <text>
        <r>
          <rPr>
            <b/>
            <sz val="9"/>
            <color indexed="81"/>
            <rFont val="Tahoma"/>
            <family val="2"/>
          </rPr>
          <t xml:space="preserve">KRW
</t>
        </r>
      </text>
    </comment>
    <comment ref="R123" authorId="0" shapeId="0" xr:uid="{B6CFCAB7-0D9A-47AB-9C37-C334281498FC}">
      <text>
        <r>
          <rPr>
            <b/>
            <sz val="9"/>
            <color indexed="81"/>
            <rFont val="Tahoma"/>
            <family val="2"/>
          </rPr>
          <t xml:space="preserve">KRW
</t>
        </r>
      </text>
    </comment>
    <comment ref="W123" authorId="0" shapeId="0" xr:uid="{5B2EA34F-5928-4892-B0AF-417DF7C467BD}">
      <text>
        <r>
          <rPr>
            <b/>
            <sz val="9"/>
            <color indexed="81"/>
            <rFont val="Tahoma"/>
            <family val="2"/>
          </rPr>
          <t xml:space="preserve">KRW
</t>
        </r>
      </text>
    </comment>
    <comment ref="E151" authorId="0" shapeId="0" xr:uid="{D6B753FC-7213-4968-9B8F-0F8806F255C6}">
      <text>
        <r>
          <rPr>
            <b/>
            <sz val="9"/>
            <color indexed="81"/>
            <rFont val="Tahoma"/>
            <family val="2"/>
          </rPr>
          <t>KRW</t>
        </r>
      </text>
    </comment>
    <comment ref="F151" authorId="0" shapeId="0" xr:uid="{1B8D4300-95E2-400D-88AA-9C5B9E8B76F8}">
      <text>
        <r>
          <rPr>
            <b/>
            <sz val="9"/>
            <color indexed="81"/>
            <rFont val="Tahoma"/>
            <family val="2"/>
          </rPr>
          <t>KRW</t>
        </r>
      </text>
    </comment>
    <comment ref="G151" authorId="0" shapeId="0" xr:uid="{A75E0EC8-AF80-4916-8D28-615C83BE2F94}">
      <text>
        <r>
          <rPr>
            <b/>
            <sz val="9"/>
            <color indexed="81"/>
            <rFont val="Tahoma"/>
            <family val="2"/>
          </rPr>
          <t>KRW</t>
        </r>
      </text>
    </comment>
    <comment ref="H151" authorId="0" shapeId="0" xr:uid="{DCD3358C-9D5C-4B27-AFA8-8AB35A6834F4}">
      <text>
        <r>
          <rPr>
            <b/>
            <sz val="9"/>
            <color indexed="81"/>
            <rFont val="Tahoma"/>
            <family val="2"/>
          </rPr>
          <t>KRW</t>
        </r>
      </text>
    </comment>
    <comment ref="I151" authorId="0" shapeId="0" xr:uid="{158C4088-E276-4DA0-817F-392ADBDE5860}">
      <text>
        <r>
          <rPr>
            <b/>
            <sz val="9"/>
            <color indexed="81"/>
            <rFont val="Tahoma"/>
            <family val="2"/>
          </rPr>
          <t>KRW</t>
        </r>
      </text>
    </comment>
    <comment ref="J151" authorId="0" shapeId="0" xr:uid="{4B7522A1-0CC5-4240-B0D8-052F06A36482}">
      <text>
        <r>
          <rPr>
            <b/>
            <sz val="9"/>
            <color indexed="81"/>
            <rFont val="Tahoma"/>
            <family val="2"/>
          </rPr>
          <t>KRW</t>
        </r>
      </text>
    </comment>
    <comment ref="K151" authorId="0" shapeId="0" xr:uid="{3DC52D40-90AE-4B96-A2A2-5138F3A02AE4}">
      <text>
        <r>
          <rPr>
            <b/>
            <sz val="9"/>
            <color indexed="81"/>
            <rFont val="Tahoma"/>
            <family val="2"/>
          </rPr>
          <t>KRW</t>
        </r>
      </text>
    </comment>
    <comment ref="L151" authorId="0" shapeId="0" xr:uid="{1BB0A568-868E-4A3C-A891-A17097731AD4}">
      <text>
        <r>
          <rPr>
            <b/>
            <sz val="9"/>
            <color indexed="81"/>
            <rFont val="Tahoma"/>
            <family val="2"/>
          </rPr>
          <t>KRW</t>
        </r>
      </text>
    </comment>
    <comment ref="M151" authorId="0" shapeId="0" xr:uid="{94EB5134-2B7F-4EAC-BA4B-1D204D42DB15}">
      <text>
        <r>
          <rPr>
            <b/>
            <sz val="9"/>
            <color indexed="81"/>
            <rFont val="Tahoma"/>
            <family val="2"/>
          </rPr>
          <t>KRW</t>
        </r>
      </text>
    </comment>
    <comment ref="N151" authorId="0" shapeId="0" xr:uid="{069525EC-0129-4B40-959B-886F2A4123EA}">
      <text>
        <r>
          <rPr>
            <b/>
            <sz val="9"/>
            <color indexed="81"/>
            <rFont val="Tahoma"/>
            <family val="2"/>
          </rPr>
          <t>KRW</t>
        </r>
      </text>
    </comment>
    <comment ref="O151" authorId="0" shapeId="0" xr:uid="{E5993135-DDB5-4565-A798-3EB228CBA7DB}">
      <text>
        <r>
          <rPr>
            <b/>
            <sz val="9"/>
            <color indexed="81"/>
            <rFont val="Tahoma"/>
            <family val="2"/>
          </rPr>
          <t>KRW</t>
        </r>
      </text>
    </comment>
    <comment ref="R151" authorId="0" shapeId="0" xr:uid="{C22B4D23-F67F-4911-914F-82BFB98C3D67}">
      <text>
        <r>
          <rPr>
            <b/>
            <sz val="9"/>
            <color indexed="81"/>
            <rFont val="Tahoma"/>
            <family val="2"/>
          </rPr>
          <t>KRW</t>
        </r>
      </text>
    </comment>
    <comment ref="S151" authorId="0" shapeId="0" xr:uid="{FB0F8FDE-67F0-4F1B-8ADD-9A9EB6A7D4A6}">
      <text>
        <r>
          <rPr>
            <b/>
            <sz val="9"/>
            <color indexed="81"/>
            <rFont val="Tahoma"/>
            <family val="2"/>
          </rPr>
          <t>KRW</t>
        </r>
      </text>
    </comment>
    <comment ref="T151" authorId="0" shapeId="0" xr:uid="{94D19A76-A4A2-4E44-BAAD-6F81C1724256}">
      <text>
        <r>
          <rPr>
            <b/>
            <sz val="9"/>
            <color indexed="81"/>
            <rFont val="Tahoma"/>
            <family val="2"/>
          </rPr>
          <t>KRW</t>
        </r>
      </text>
    </comment>
    <comment ref="U151" authorId="0" shapeId="0" xr:uid="{C5338534-2090-4C0F-AD6F-DB505B76FDBA}">
      <text>
        <r>
          <rPr>
            <b/>
            <sz val="9"/>
            <color indexed="81"/>
            <rFont val="Tahoma"/>
            <family val="2"/>
          </rPr>
          <t>KRW</t>
        </r>
      </text>
    </comment>
    <comment ref="V151" authorId="0" shapeId="0" xr:uid="{D6175FB6-945C-4F3B-A7D4-B194F94598AF}">
      <text>
        <r>
          <rPr>
            <b/>
            <sz val="9"/>
            <color indexed="81"/>
            <rFont val="Tahoma"/>
            <family val="2"/>
          </rPr>
          <t>KRW</t>
        </r>
      </text>
    </comment>
    <comment ref="W151" authorId="0" shapeId="0" xr:uid="{D19C0BFB-1308-414D-8839-84F5F3185E81}">
      <text>
        <r>
          <rPr>
            <b/>
            <sz val="9"/>
            <color indexed="81"/>
            <rFont val="Tahoma"/>
            <family val="2"/>
          </rPr>
          <t>KRW</t>
        </r>
      </text>
    </comment>
    <comment ref="E164" authorId="0" shapeId="0" xr:uid="{EEC3A0E3-A455-457A-8FF6-AD3F53DCCC12}">
      <text>
        <r>
          <rPr>
            <b/>
            <sz val="9"/>
            <color indexed="81"/>
            <rFont val="Tahoma"/>
            <family val="2"/>
          </rPr>
          <t>KRW</t>
        </r>
      </text>
    </comment>
    <comment ref="J164" authorId="0" shapeId="0" xr:uid="{CF520E58-CA64-4EA4-8461-561A2503714E}">
      <text>
        <r>
          <rPr>
            <b/>
            <sz val="9"/>
            <color indexed="81"/>
            <rFont val="Tahoma"/>
            <family val="2"/>
          </rPr>
          <t>KRW</t>
        </r>
      </text>
    </comment>
    <comment ref="K164" authorId="0" shapeId="0" xr:uid="{4333B89E-4AD6-48EB-AF34-5D2D2A8ED896}">
      <text>
        <r>
          <rPr>
            <b/>
            <sz val="9"/>
            <color indexed="81"/>
            <rFont val="Tahoma"/>
            <family val="2"/>
          </rPr>
          <t>KRW</t>
        </r>
      </text>
    </comment>
    <comment ref="L164" authorId="0" shapeId="0" xr:uid="{15140145-1BA7-451E-BE14-72D1A766DFA5}">
      <text>
        <r>
          <rPr>
            <b/>
            <sz val="9"/>
            <color indexed="81"/>
            <rFont val="Tahoma"/>
            <family val="2"/>
          </rPr>
          <t>KRW</t>
        </r>
      </text>
    </comment>
    <comment ref="M164" authorId="0" shapeId="0" xr:uid="{F56A865B-F1A3-40B0-BD45-BADBBBBF3B7F}">
      <text>
        <r>
          <rPr>
            <b/>
            <sz val="9"/>
            <color indexed="81"/>
            <rFont val="Tahoma"/>
            <family val="2"/>
          </rPr>
          <t>KRW</t>
        </r>
      </text>
    </comment>
    <comment ref="N164" authorId="0" shapeId="0" xr:uid="{1D662F53-9D22-4832-B00F-3E84D43E7F9B}">
      <text>
        <r>
          <rPr>
            <b/>
            <sz val="9"/>
            <color indexed="81"/>
            <rFont val="Tahoma"/>
            <family val="2"/>
          </rPr>
          <t>KRW</t>
        </r>
      </text>
    </comment>
    <comment ref="O164" authorId="0" shapeId="0" xr:uid="{B796B001-6CA3-437B-9C31-0E33B154407A}">
      <text>
        <r>
          <rPr>
            <b/>
            <sz val="9"/>
            <color indexed="81"/>
            <rFont val="Tahoma"/>
            <family val="2"/>
          </rPr>
          <t>KRW</t>
        </r>
      </text>
    </comment>
    <comment ref="R164" authorId="0" shapeId="0" xr:uid="{CB307B6A-8574-492C-9C14-3181768A708A}">
      <text>
        <r>
          <rPr>
            <b/>
            <sz val="9"/>
            <color indexed="81"/>
            <rFont val="Tahoma"/>
            <family val="2"/>
          </rPr>
          <t>KRW</t>
        </r>
      </text>
    </comment>
    <comment ref="W164" authorId="0" shapeId="0" xr:uid="{0306B83B-5766-419C-998D-BE12561B8A7E}">
      <text>
        <r>
          <rPr>
            <b/>
            <sz val="9"/>
            <color indexed="81"/>
            <rFont val="Tahoma"/>
            <family val="2"/>
          </rPr>
          <t>KRW</t>
        </r>
      </text>
    </comment>
    <comment ref="E182" authorId="0" shapeId="0" xr:uid="{BF3ACB81-657C-471C-AD50-0A277356363D}">
      <text>
        <r>
          <rPr>
            <b/>
            <sz val="9"/>
            <color indexed="81"/>
            <rFont val="Tahoma"/>
            <family val="2"/>
          </rPr>
          <t>KRW</t>
        </r>
      </text>
    </comment>
    <comment ref="J182" authorId="0" shapeId="0" xr:uid="{5270A66E-010D-4650-A19E-B1B68247C1CF}">
      <text>
        <r>
          <rPr>
            <b/>
            <sz val="9"/>
            <color indexed="81"/>
            <rFont val="Tahoma"/>
            <family val="2"/>
          </rPr>
          <t>KRW</t>
        </r>
      </text>
    </comment>
    <comment ref="K182" authorId="0" shapeId="0" xr:uid="{7B00A692-1F0D-41F4-81ED-3EA17630B12D}">
      <text>
        <r>
          <rPr>
            <b/>
            <sz val="9"/>
            <color indexed="81"/>
            <rFont val="Tahoma"/>
            <family val="2"/>
          </rPr>
          <t>KRW</t>
        </r>
      </text>
    </comment>
    <comment ref="L182" authorId="0" shapeId="0" xr:uid="{32D5E825-D50F-45D9-B069-8499D0395B58}">
      <text>
        <r>
          <rPr>
            <b/>
            <sz val="9"/>
            <color indexed="81"/>
            <rFont val="Tahoma"/>
            <family val="2"/>
          </rPr>
          <t>KRW</t>
        </r>
      </text>
    </comment>
    <comment ref="M182" authorId="0" shapeId="0" xr:uid="{7E82C9E0-5ACA-4FA3-8EBD-AF4241E85C03}">
      <text>
        <r>
          <rPr>
            <b/>
            <sz val="9"/>
            <color indexed="81"/>
            <rFont val="Tahoma"/>
            <family val="2"/>
          </rPr>
          <t>KRW</t>
        </r>
      </text>
    </comment>
    <comment ref="N182" authorId="0" shapeId="0" xr:uid="{580487EC-CA8A-4A1D-9D48-23FAA6D93C81}">
      <text>
        <r>
          <rPr>
            <b/>
            <sz val="9"/>
            <color indexed="81"/>
            <rFont val="Tahoma"/>
            <family val="2"/>
          </rPr>
          <t>KRW</t>
        </r>
      </text>
    </comment>
    <comment ref="O182" authorId="0" shapeId="0" xr:uid="{0398528D-7756-4CA2-9969-E989163232AC}">
      <text>
        <r>
          <rPr>
            <b/>
            <sz val="9"/>
            <color indexed="81"/>
            <rFont val="Tahoma"/>
            <family val="2"/>
          </rPr>
          <t>KRW</t>
        </r>
      </text>
    </comment>
    <comment ref="R182" authorId="0" shapeId="0" xr:uid="{B67E97A8-EC3E-4A61-B1A8-F55C683B2D1C}">
      <text>
        <r>
          <rPr>
            <b/>
            <sz val="9"/>
            <color indexed="81"/>
            <rFont val="Tahoma"/>
            <family val="2"/>
          </rPr>
          <t>KRW</t>
        </r>
      </text>
    </comment>
    <comment ref="W182" authorId="0" shapeId="0" xr:uid="{E661718C-B6AF-4998-9DD9-37DED8A60D8F}">
      <text>
        <r>
          <rPr>
            <b/>
            <sz val="9"/>
            <color indexed="81"/>
            <rFont val="Tahoma"/>
            <family val="2"/>
          </rPr>
          <t>KRW</t>
        </r>
      </text>
    </comment>
    <comment ref="E218" authorId="0" shapeId="0" xr:uid="{A17FD3B2-D44C-47E1-8686-CC5017B0889A}">
      <text>
        <r>
          <rPr>
            <b/>
            <sz val="9"/>
            <color indexed="81"/>
            <rFont val="Tahoma"/>
            <family val="2"/>
          </rPr>
          <t>KRW</t>
        </r>
      </text>
    </comment>
    <comment ref="J218" authorId="0" shapeId="0" xr:uid="{50BF8897-6EE6-43EA-889E-A06D66D86220}">
      <text>
        <r>
          <rPr>
            <b/>
            <sz val="9"/>
            <color indexed="81"/>
            <rFont val="Tahoma"/>
            <family val="2"/>
          </rPr>
          <t>KRW</t>
        </r>
      </text>
    </comment>
    <comment ref="K218" authorId="0" shapeId="0" xr:uid="{C637DA36-CA00-4C3A-8477-5CE234B348A9}">
      <text>
        <r>
          <rPr>
            <b/>
            <sz val="9"/>
            <color indexed="81"/>
            <rFont val="Tahoma"/>
            <family val="2"/>
          </rPr>
          <t>KRW</t>
        </r>
      </text>
    </comment>
    <comment ref="L218" authorId="0" shapeId="0" xr:uid="{F8734841-271E-4920-9C09-51CEC8006232}">
      <text>
        <r>
          <rPr>
            <b/>
            <sz val="9"/>
            <color indexed="81"/>
            <rFont val="Tahoma"/>
            <family val="2"/>
          </rPr>
          <t>KRW</t>
        </r>
      </text>
    </comment>
    <comment ref="M218" authorId="0" shapeId="0" xr:uid="{3F7E9558-09CE-4BC8-B2F8-EAA07F8B2941}">
      <text>
        <r>
          <rPr>
            <b/>
            <sz val="9"/>
            <color indexed="81"/>
            <rFont val="Tahoma"/>
            <family val="2"/>
          </rPr>
          <t>KRW</t>
        </r>
      </text>
    </comment>
    <comment ref="N218" authorId="0" shapeId="0" xr:uid="{7908722C-CCB8-47F4-9503-4403A3E3417F}">
      <text>
        <r>
          <rPr>
            <b/>
            <sz val="9"/>
            <color indexed="81"/>
            <rFont val="Tahoma"/>
            <family val="2"/>
          </rPr>
          <t>KRW</t>
        </r>
      </text>
    </comment>
    <comment ref="O218" authorId="0" shapeId="0" xr:uid="{0CABAD0A-9382-4025-9D11-BE7EC5EC45D4}">
      <text>
        <r>
          <rPr>
            <b/>
            <sz val="9"/>
            <color indexed="81"/>
            <rFont val="Tahoma"/>
            <family val="2"/>
          </rPr>
          <t>KRW</t>
        </r>
      </text>
    </comment>
    <comment ref="R218" authorId="0" shapeId="0" xr:uid="{E6027617-E6DA-4DFF-8D4D-655B72536D44}">
      <text>
        <r>
          <rPr>
            <b/>
            <sz val="9"/>
            <color indexed="81"/>
            <rFont val="Tahoma"/>
            <family val="2"/>
          </rPr>
          <t>KRW</t>
        </r>
      </text>
    </comment>
    <comment ref="W218" authorId="0" shapeId="0" xr:uid="{F2ABE868-9E1C-4139-B25A-9DE54BA91E8E}">
      <text>
        <r>
          <rPr>
            <b/>
            <sz val="9"/>
            <color indexed="81"/>
            <rFont val="Tahoma"/>
            <family val="2"/>
          </rPr>
          <t>KRW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tc={D5D72317-6B12-4F1B-AB5F-7E2D328E11A9}</author>
    <author>tc={E601CAE6-2CE0-4A29-A5FC-2B752EF8BFA7}</author>
    <author>tc={BF741819-E4DB-4ED2-A311-D66372E2A677}</author>
  </authors>
  <commentList>
    <comment ref="C29" authorId="0" shapeId="0" xr:uid="{D5D72317-6B12-4F1B-AB5F-7E2D328E11A9}">
      <text>
        <t>[스레드 댓글]
사용 중인 버전의 Excel에서 이 스레드 댓글을 읽을 수 있지만 파일을 이후 버전의 Excel에서 열면 편집 내용이 모두 제거됩니다. 자세한 정보: https://go.microsoft.com/fwlink/?linkid=870924.
댓글:
    동성메탈 임차250612_54,539,100 EBL 250717_54,539,100 지급분 Drop에 따른 Daechon Busan Milestone3에 반영 함</t>
      </text>
    </comment>
    <comment ref="C49" authorId="1" shapeId="0" xr:uid="{E601CAE6-2CE0-4A29-A5FC-2B752EF8BFA7}">
      <text>
        <t>[스레드 댓글]
사용 중인 버전의 Excel에서 이 스레드 댓글을 읽을 수 있지만 파일을 이후 버전의 Excel에서 열면 편집 내용이 모두 제거됩니다. 자세한 정보: https://go.microsoft.com/fwlink/?linkid=870924.
댓글:
    계약서는 228kW로 되어 있음</t>
      </text>
    </comment>
    <comment ref="C50" authorId="2" shapeId="0" xr:uid="{BF741819-E4DB-4ED2-A311-D66372E2A677}">
      <text>
        <t>[스레드 댓글]
사용 중인 버전의 Excel에서 이 스레드 댓글을 읽을 수 있지만 파일을 이후 버전의 Excel에서 열면 편집 내용이 모두 제거됩니다. 자세한 정보: https://go.microsoft.com/fwlink/?linkid=870924.
댓글:
    계약서 금액은 241kW로 되어 있음</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tc={22D68466-DE6D-4A15-8687-CFF8354EE053}</author>
    <author>tc={713F992C-A99F-4EE2-BE90-ABF106AA15FA}</author>
    <author>tc={65EB3816-7316-4233-A709-7B43759ECEB0}</author>
    <author>tc={5BF5E9E9-CC8F-4429-8764-C9BE062C568A}</author>
    <author>tc={E09222B3-3E9D-4DBE-9D19-397AC9931690}</author>
  </authors>
  <commentList>
    <comment ref="D20" authorId="0" shapeId="0" xr:uid="{22D68466-DE6D-4A15-8687-CFF8354EE053}">
      <text>
        <t>[스레드 댓글]
사용 중인 버전의 Excel에서 이 스레드 댓글을 읽을 수 있지만 파일을 이후 버전의 Excel에서 열면 편집 내용이 모두 제거됩니다. 자세한 정보: https://go.microsoft.com/fwlink/?linkid=870924.
댓글:
    999.24kW에서 용량 변경</t>
      </text>
    </comment>
    <comment ref="D34" authorId="1" shapeId="0" xr:uid="{713F992C-A99F-4EE2-BE90-ABF106AA15FA}">
      <text>
        <t>[스레드 댓글]
사용 중인 버전의 Excel에서 이 스레드 댓글을 읽을 수 있지만 파일을 이후 버전의 Excel에서 열면 편집 내용이 모두 제거됩니다. 자세한 정보: https://go.microsoft.com/fwlink/?linkid=870924.
댓글:
    최초용량 993.60에서 617.76으로 변경 됨</t>
      </text>
    </comment>
    <comment ref="D35" authorId="2" shapeId="0" xr:uid="{65EB3816-7316-4233-A709-7B43759ECEB0}">
      <text>
        <t>[스레드 댓글]
사용 중인 버전의 Excel에서 이 스레드 댓글을 읽을 수 있지만 파일을 이후 버전의 Excel에서 열면 편집 내용이 모두 제거됩니다. 자세한 정보: https://go.microsoft.com/fwlink/?linkid=870924.
댓글:
    최초용량 993.60에서 564.96으로 변경 됨</t>
      </text>
    </comment>
    <comment ref="D36" authorId="3" shapeId="0" xr:uid="{5BF5E9E9-CC8F-4429-8764-C9BE062C568A}">
      <text>
        <t>[스레드 댓글]
사용 중인 버전의 Excel에서 이 스레드 댓글을 읽을 수 있지만 파일을 이후 버전의 Excel에서 열면 편집 내용이 모두 제거됩니다. 자세한 정보: https://go.microsoft.com/fwlink/?linkid=870924.
댓글:
    최초용량 993.60에서 634.92로 변경 됨</t>
      </text>
    </comment>
    <comment ref="D37" authorId="4" shapeId="0" xr:uid="{E09222B3-3E9D-4DBE-9D19-397AC9931690}">
      <text>
        <t>[스레드 댓글]
사용 중인 버전의 Excel에서 이 스레드 댓글을 읽을 수 있지만 파일을 이후 버전의 Excel에서 열면 편집 내용이 모두 제거됩니다. 자세한 정보: https://go.microsoft.com/fwlink/?linkid=870924.
댓글:
    최초용량 993.60에서 625.68로 변경 됨</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tc={840E2012-8AC0-4490-A84B-A488BCE85646}</author>
    <author>tc={1BE3E82E-D0E7-4D76-81DF-BF0CB2713954}</author>
    <author>tc={D5BB9D44-89D4-4AB0-8273-C5A6B908377B}</author>
    <author>tc={0404924D-7568-4393-BC49-0F398DEE15BA}</author>
    <author>tc={FE69F692-56E1-4710-803A-13F6ED7FCA03}</author>
    <author>tc={20CD1CA4-E215-458C-B8A0-C1FC6A53C9A7}</author>
    <author>tc={8E702361-4033-4F72-9606-7B19E617E523}</author>
    <author>tc={B6288C64-235A-48B3-9C08-8E54F6748E0F}</author>
    <author>tc={AA506FB4-326B-4348-AB88-17EC03A8D5C3}</author>
    <author>tc={8A7F4376-36BF-45C3-B886-AA98639C2A2E}</author>
    <author>tc={04263587-09E0-441D-844C-222EC5F5C1DD}</author>
    <author>tc={460E75D4-19D3-4899-9647-1637A938BC57}</author>
    <author>tc={EBF8FF82-E4DF-4AFE-A991-9724ADF5605E}</author>
    <author>tc={A500A10A-51AE-4C3A-B646-437E9D448353}</author>
    <author>tc={708303E3-71CA-4CFA-BCFA-E14103211F18}</author>
    <author>tc={FD86685D-09B4-4AF7-95E5-3D04EE47DE89}</author>
    <author>tc={E960864D-77FC-4CF1-BF9E-DA3FA7F3CCB3}</author>
    <author>tc={8FA2E485-1FC4-42C4-AF02-45B552CF321E}</author>
    <author>tc={D99F7003-BF15-4073-87F4-BF36B3BFB591}</author>
    <author>tc={F389C24C-7F07-4203-A25C-D91C3D8D7984}</author>
    <author>tc={B3AEE382-35B2-4FD8-A1A3-09B8F2EA997B}</author>
    <author>tc={CF2D9571-F345-488E-81BC-43721853AFFF}</author>
    <author>tc={E5FF4587-92C4-4950-A037-6D9C11BC2DDF}</author>
    <author>tc={2CEA3D05-BCD9-46D0-A421-345A9A6F7741}</author>
  </authors>
  <commentList>
    <comment ref="AA11" authorId="0" shapeId="0" xr:uid="{840E2012-8AC0-4490-A84B-A488BCE85646}">
      <text>
        <t>[스레드 댓글]
사용 중인 버전의 Excel에서 이 스레드 댓글을 읽을 수 있지만 파일을 이후 버전의 Excel에서 열면 편집 내용이 모두 제거됩니다. 자세한 정보: https://go.microsoft.com/fwlink/?linkid=870924.
댓글:
    Jul.2025 RTB</t>
      </text>
    </comment>
    <comment ref="BJ11" authorId="1" shapeId="0" xr:uid="{1BE3E82E-D0E7-4D76-81DF-BF0CB2713954}">
      <text>
        <t>[스레드 댓글]
사용 중인 버전의 Excel에서 이 스레드 댓글을 읽을 수 있지만 파일을 이후 버전의 Excel에서 열면 편집 내용이 모두 제거됩니다. 자세한 정보: https://go.microsoft.com/fwlink/?linkid=870924.
댓글:
    Jan 2026 COD</t>
      </text>
    </comment>
    <comment ref="AA12" authorId="2" shapeId="0" xr:uid="{D5BB9D44-89D4-4AB0-8273-C5A6B908377B}">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17" authorId="3" shapeId="0" xr:uid="{0404924D-7568-4393-BC49-0F398DEE15BA}">
      <text>
        <t>[스레드 댓글]
사용 중인 버전의 Excel에서 이 스레드 댓글을 읽을 수 있지만 파일을 이후 버전의 Excel에서 열면 편집 내용이 모두 제거됩니다. 자세한 정보: https://go.microsoft.com/fwlink/?linkid=870924.
댓글:
    Jul.2025 RTB</t>
      </text>
    </comment>
    <comment ref="BJ17" authorId="4" shapeId="0" xr:uid="{FE69F692-56E1-4710-803A-13F6ED7FCA03}">
      <text>
        <t>[스레드 댓글]
사용 중인 버전의 Excel에서 이 스레드 댓글을 읽을 수 있지만 파일을 이후 버전의 Excel에서 열면 편집 내용이 모두 제거됩니다. 자세한 정보: https://go.microsoft.com/fwlink/?linkid=870924.
댓글:
    Jan 2026 COD</t>
      </text>
    </comment>
    <comment ref="AA18" authorId="5" shapeId="0" xr:uid="{20CD1CA4-E215-458C-B8A0-C1FC6A53C9A7}">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23" authorId="6" shapeId="0" xr:uid="{8E702361-4033-4F72-9606-7B19E617E523}">
      <text>
        <t>[스레드 댓글]
사용 중인 버전의 Excel에서 이 스레드 댓글을 읽을 수 있지만 파일을 이후 버전의 Excel에서 열면 편집 내용이 모두 제거됩니다. 자세한 정보: https://go.microsoft.com/fwlink/?linkid=870924.
댓글:
    Jul.2025 RTB</t>
      </text>
    </comment>
    <comment ref="BJ23" authorId="7" shapeId="0" xr:uid="{B6288C64-235A-48B3-9C08-8E54F6748E0F}">
      <text>
        <t>[스레드 댓글]
사용 중인 버전의 Excel에서 이 스레드 댓글을 읽을 수 있지만 파일을 이후 버전의 Excel에서 열면 편집 내용이 모두 제거됩니다. 자세한 정보: https://go.microsoft.com/fwlink/?linkid=870924.
댓글:
    Jan 2026 COD</t>
      </text>
    </comment>
    <comment ref="AA24" authorId="8" shapeId="0" xr:uid="{AA506FB4-326B-4348-AB88-17EC03A8D5C3}">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29" authorId="9" shapeId="0" xr:uid="{8A7F4376-36BF-45C3-B886-AA98639C2A2E}">
      <text>
        <t>[스레드 댓글]
사용 중인 버전의 Excel에서 이 스레드 댓글을 읽을 수 있지만 파일을 이후 버전의 Excel에서 열면 편집 내용이 모두 제거됩니다. 자세한 정보: https://go.microsoft.com/fwlink/?linkid=870924.
댓글:
    Jul.2025 RTB</t>
      </text>
    </comment>
    <comment ref="BJ29" authorId="10" shapeId="0" xr:uid="{04263587-09E0-441D-844C-222EC5F5C1DD}">
      <text>
        <t>[스레드 댓글]
사용 중인 버전의 Excel에서 이 스레드 댓글을 읽을 수 있지만 파일을 이후 버전의 Excel에서 열면 편집 내용이 모두 제거됩니다. 자세한 정보: https://go.microsoft.com/fwlink/?linkid=870924.
댓글:
    Jan 2026 COD</t>
      </text>
    </comment>
    <comment ref="AA30" authorId="11" shapeId="0" xr:uid="{460E75D4-19D3-4899-9647-1637A938BC57}">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35" authorId="12" shapeId="0" xr:uid="{EBF8FF82-E4DF-4AFE-A991-9724ADF5605E}">
      <text>
        <t>[스레드 댓글]
사용 중인 버전의 Excel에서 이 스레드 댓글을 읽을 수 있지만 파일을 이후 버전의 Excel에서 열면 편집 내용이 모두 제거됩니다. 자세한 정보: https://go.microsoft.com/fwlink/?linkid=870924.
댓글:
    Sep. 2025 RTB</t>
      </text>
    </comment>
    <comment ref="BJ35" authorId="13" shapeId="0" xr:uid="{A500A10A-51AE-4C3A-B646-437E9D448353}">
      <text>
        <t>[스레드 댓글]
사용 중인 버전의 Excel에서 이 스레드 댓글을 읽을 수 있지만 파일을 이후 버전의 Excel에서 열면 편집 내용이 모두 제거됩니다. 자세한 정보: https://go.microsoft.com/fwlink/?linkid=870924.
댓글:
    May. 2026 COD</t>
      </text>
    </comment>
    <comment ref="AA36" authorId="14" shapeId="0" xr:uid="{708303E3-71CA-4CFA-BCFA-E14103211F18}">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41" authorId="15" shapeId="0" xr:uid="{FD86685D-09B4-4AF7-95E5-3D04EE47DE89}">
      <text>
        <t>[스레드 댓글]
사용 중인 버전의 Excel에서 이 스레드 댓글을 읽을 수 있지만 파일을 이후 버전의 Excel에서 열면 편집 내용이 모두 제거됩니다. 자세한 정보: https://go.microsoft.com/fwlink/?linkid=870924.
댓글:
    Sep. 2025 RTB</t>
      </text>
    </comment>
    <comment ref="BJ41" authorId="16" shapeId="0" xr:uid="{E960864D-77FC-4CF1-BF9E-DA3FA7F3CCB3}">
      <text>
        <t>[스레드 댓글]
사용 중인 버전의 Excel에서 이 스레드 댓글을 읽을 수 있지만 파일을 이후 버전의 Excel에서 열면 편집 내용이 모두 제거됩니다. 자세한 정보: https://go.microsoft.com/fwlink/?linkid=870924.
댓글:
    May. 2026 COD</t>
      </text>
    </comment>
    <comment ref="AA42" authorId="17" shapeId="0" xr:uid="{8FA2E485-1FC4-42C4-AF02-45B552CF321E}">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47" authorId="18" shapeId="0" xr:uid="{D99F7003-BF15-4073-87F4-BF36B3BFB591}">
      <text>
        <t>[스레드 댓글]
사용 중인 버전의 Excel에서 이 스레드 댓글을 읽을 수 있지만 파일을 이후 버전의 Excel에서 열면 편집 내용이 모두 제거됩니다. 자세한 정보: https://go.microsoft.com/fwlink/?linkid=870924.
댓글:
    Sep. 2025 RTB</t>
      </text>
    </comment>
    <comment ref="BJ47" authorId="19" shapeId="0" xr:uid="{F389C24C-7F07-4203-A25C-D91C3D8D7984}">
      <text>
        <t>[스레드 댓글]
사용 중인 버전의 Excel에서 이 스레드 댓글을 읽을 수 있지만 파일을 이후 버전의 Excel에서 열면 편집 내용이 모두 제거됩니다. 자세한 정보: https://go.microsoft.com/fwlink/?linkid=870924.
댓글:
    May. 2026 COD</t>
      </text>
    </comment>
    <comment ref="AA48" authorId="20" shapeId="0" xr:uid="{B3AEE382-35B2-4FD8-A1A3-09B8F2EA997B}">
      <text>
        <t>[스레드 댓글]
사용 중인 버전의 Excel에서 이 스레드 댓글을 읽을 수 있지만 파일을 이후 버전의 Excel에서 열면 편집 내용이 모두 제거됩니다. 자세한 정보: https://go.microsoft.com/fwlink/?linkid=870924.
댓글:
    SOC</t>
      </text>
    </comment>
    <comment ref="AA53" authorId="21" shapeId="0" xr:uid="{CF2D9571-F345-488E-81BC-43721853AFFF}">
      <text>
        <t>[스레드 댓글]
사용 중인 버전의 Excel에서 이 스레드 댓글을 읽을 수 있지만 파일을 이후 버전의 Excel에서 열면 편집 내용이 모두 제거됩니다. 자세한 정보: https://go.microsoft.com/fwlink/?linkid=870924.
댓글:
    Sep. 2025 RTB</t>
      </text>
    </comment>
    <comment ref="BJ53" authorId="22" shapeId="0" xr:uid="{E5FF4587-92C4-4950-A037-6D9C11BC2DDF}">
      <text>
        <t>[스레드 댓글]
사용 중인 버전의 Excel에서 이 스레드 댓글을 읽을 수 있지만 파일을 이후 버전의 Excel에서 열면 편집 내용이 모두 제거됩니다. 자세한 정보: https://go.microsoft.com/fwlink/?linkid=870924.
댓글:
    May. 2026 COD</t>
      </text>
    </comment>
    <comment ref="AA54" authorId="23" shapeId="0" xr:uid="{2CEA3D05-BCD9-46D0-A421-345A9A6F7741}">
      <text>
        <t>[스레드 댓글]
사용 중인 버전의 Excel에서 이 스레드 댓글을 읽을 수 있지만 파일을 이후 버전의 Excel에서 열면 편집 내용이 모두 제거됩니다. 자세한 정보: https://go.microsoft.com/fwlink/?linkid=870924.
댓글:
    SOC</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tc={22C51241-1A01-4CC3-A99C-EA2F9E3DC615}</author>
  </authors>
  <commentList>
    <comment ref="F14" authorId="0" shapeId="0" xr:uid="{22C51241-1A01-4CC3-A99C-EA2F9E3DC615}">
      <text>
        <t>[스레드 댓글]
사용 중인 버전의 Excel에서 이 스레드 댓글을 읽을 수 있지만 파일을 이후 버전의 Excel에서 열면 편집 내용이 모두 제거됩니다. 자세한 정보: https://go.microsoft.com/fwlink/?linkid=870924.
댓글:
    COD 때 일괄 지급 예정</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tc={BE31A1C3-01EE-41EF-B7D7-C485D15ECB72}</author>
    <author>tc={76327A3E-573D-4B5D-AD25-499D490F3E1B}</author>
    <author>tc={AE2E3BBF-991A-484C-B908-4F82AE22E797}</author>
    <author>tc={068FC66E-8A8C-47F3-9A78-1E4350F0852E}</author>
    <author>tc={6BF93AA3-CA38-49FC-8983-B144BA8D16A6}</author>
    <author>tc={16152D8E-16B0-4D25-8965-2DCE72770B93}</author>
    <author>tc={241CF5F7-F1D5-4D41-B7F5-4B5D95FF03DA}</author>
    <author>tc={6E6774D9-F623-4521-B619-E4CFD0A87563}</author>
    <author>tc={6250E8C1-7D60-4F2F-B6FE-5624C738A5DB}</author>
    <author>tc={B6616C0C-CDB2-47B0-A9AC-5F7635D221B8}</author>
    <author>tc={AA1C9B57-D1D8-462C-9AD2-96E306C77CB7}</author>
    <author>tc={E0FA067D-897C-4DCD-86ED-92FD1C11E02E}</author>
    <author>tc={CD544899-7221-4943-AA94-6D0B3A930E1F}</author>
    <author>tc={FC3FE95C-2949-46D7-850A-5D556EE46A27}</author>
    <author>tc={12005877-AE92-4B47-AFDE-1E21A6FB6573}</author>
    <author>tc={0EE4A8E7-884E-434E-B597-6AA657623809}</author>
    <author>tc={B43A930B-DF01-45D0-8204-E70F973EACEA}</author>
    <author>tc={A01A3666-48FA-4566-82B0-3BC7AB2B6C8A}</author>
  </authors>
  <commentList>
    <comment ref="N2" authorId="0" shapeId="0" xr:uid="{BE31A1C3-01EE-41EF-B7D7-C485D15ECB72}">
      <text>
        <t>[스레드 댓글]
사용 중인 버전의 Excel에서 이 스레드 댓글을 읽을 수 있지만 파일을 이후 버전의 Excel에서 열면 편집 내용이 모두 제거됩니다. 자세한 정보: https://go.microsoft.com/fwlink/?linkid=870924.
댓글:
    각종 공사 착공 신고</t>
      </text>
    </comment>
    <comment ref="O4" authorId="1" shapeId="0" xr:uid="{76327A3E-573D-4B5D-AD25-499D490F3E1B}">
      <text>
        <t>[스레드 댓글]
사용 중인 버전의 Excel에서 이 스레드 댓글을 읽을 수 있지만 파일을 이후 버전의 Excel에서 열면 편집 내용이 모두 제거됩니다. 자세한 정보: https://go.microsoft.com/fwlink/?linkid=870924.
댓글:
    545.460 -&gt; 515.62kWp</t>
      </text>
    </comment>
    <comment ref="O5" authorId="2" shapeId="0" xr:uid="{AE2E3BBF-991A-484C-B908-4F82AE22E797}">
      <text>
        <t>[스레드 댓글]
사용 중인 버전의 Excel에서 이 스레드 댓글을 읽을 수 있지만 파일을 이후 버전의 Excel에서 열면 편집 내용이 모두 제거됩니다. 자세한 정보: https://go.microsoft.com/fwlink/?linkid=870924.
댓글:
    151.130 -&gt; 148.59</t>
      </text>
    </comment>
    <comment ref="G6" authorId="3" shapeId="0" xr:uid="{068FC66E-8A8C-47F3-9A78-1E4350F0852E}">
      <text>
        <t>[스레드 댓글]
사용 중인 버전의 Excel에서 이 스레드 댓글을 읽을 수 있지만 파일을 이후 버전의 Excel에서 열면 편집 내용이 모두 제거됩니다. 자세한 정보: https://go.microsoft.com/fwlink/?linkid=870924.
댓글:
    2명의 다른 개인사업자(명현테크, 배효) 중 명현테크의 신용도만 확인됨, 둘은 가족관계</t>
      </text>
    </comment>
    <comment ref="Z7" authorId="4" shapeId="0" xr:uid="{6BF93AA3-CA38-49FC-8983-B144BA8D16A6}">
      <text>
        <t>[스레드 댓글]
사용 중인 버전의 Excel에서 이 스레드 댓글을 읽을 수 있지만 파일을 이후 버전의 Excel에서 열면 편집 내용이 모두 제거됩니다. 자세한 정보: https://go.microsoft.com/fwlink/?linkid=870924.
댓글:
    Preparing materials for EBL application</t>
      </text>
    </comment>
    <comment ref="Z8" authorId="5" shapeId="0" xr:uid="{16152D8E-16B0-4D25-8965-2DCE72770B93}">
      <text>
        <t>[스레드 댓글]
사용 중인 버전의 Excel에서 이 스레드 댓글을 읽을 수 있지만 파일을 이후 버전의 Excel에서 열면 편집 내용이 모두 제거됩니다. 자세한 정보: https://go.microsoft.com/fwlink/?linkid=870924.
댓글:
    Preparing materials for EBL application</t>
      </text>
    </comment>
    <comment ref="L9" authorId="6" shapeId="0" xr:uid="{241CF5F7-F1D5-4D41-B7F5-4B5D95FF03DA}">
      <text>
        <t>[스레드 댓글]
사용 중인 버전의 Excel에서 이 스레드 댓글을 읽을 수 있지만 파일을 이후 버전의 Excel에서 열면 편집 내용이 모두 제거됩니다. 자세한 정보: https://go.microsoft.com/fwlink/?linkid=870924.
댓글:
    NEH is the same as AT Busan as it's 200M away from this site</t>
      </text>
    </comment>
    <comment ref="AI9" authorId="7" shapeId="0" xr:uid="{6E6774D9-F623-4521-B619-E4CFD0A87563}">
      <text>
        <t>[스레드 댓글]
사용 중인 버전의 Excel에서 이 스레드 댓글을 읽을 수 있지만 파일을 이후 버전의 Excel에서 열면 편집 내용이 모두 제거됩니다. 자세한 정보: https://go.microsoft.com/fwlink/?linkid=870924.
댓글:
    KRW 35M/MW for 5years then KRW 40M after 6th year</t>
      </text>
    </comment>
    <comment ref="L10" authorId="8" shapeId="0" xr:uid="{6250E8C1-7D60-4F2F-B6FE-5624C738A5DB}">
      <text>
        <t>[스레드 댓글]
사용 중인 버전의 Excel에서 이 스레드 댓글을 읽을 수 있지만 파일을 이후 버전의 Excel에서 열면 편집 내용이 모두 제거됩니다. 자세한 정보: https://go.microsoft.com/fwlink/?linkid=870924.
댓글:
    NEH is the same as KORENS EM factory as it's 1KM away from this site</t>
      </text>
    </comment>
    <comment ref="M11" authorId="9" shapeId="0" xr:uid="{B6616C0C-CDB2-47B0-A9AC-5F7635D221B8}">
      <text>
        <t>[스레드 댓글]
사용 중인 버전의 Excel에서 이 스레드 댓글을 읽을 수 있지만 파일을 이후 버전의 Excel에서 열면 편집 내용이 모두 제거됩니다. 자세한 정보: https://go.microsoft.com/fwlink/?linkid=870924.
댓글:
    	DNA모터스 기준: 18km이격) 1,387시간(3.80h/day) – 
	(Kier 자원지도분석시스템) 정남 4.0시간/일 타방향  3.6 X시간/일) 
	제안자의 PV Syst 접수시까지 DNA PV와 KIER중간인 3.7h/day로 상정 </t>
      </text>
    </comment>
    <comment ref="AG11" authorId="10" shapeId="0" xr:uid="{AA1C9B57-D1D8-462C-9AD2-96E306C77CB7}">
      <text>
        <t xml:space="preserve">[스레드 댓글]
사용 중인 버전의 Excel에서 이 스레드 댓글을 읽을 수 있지만 파일을 이후 버전의 Excel에서 열면 편집 내용이 모두 제거됩니다. 자세한 정보: https://go.microsoft.com/fwlink/?linkid=870924.
댓글:
    KRW 40M/MW from the 6th to the 20th year for School development fund </t>
      </text>
    </comment>
    <comment ref="AI11" authorId="11" shapeId="0" xr:uid="{E0FA067D-897C-4DCD-86ED-92FD1C11E02E}">
      <text>
        <t>[스레드 댓글]
사용 중인 버전의 Excel에서 이 스레드 댓글을 읽을 수 있지만 파일을 이후 버전의 Excel에서 열면 편집 내용이 모두 제거됩니다. 자세한 정보: https://go.microsoft.com/fwlink/?linkid=870924.
댓글:
    KRW 35M/MW for the first then KRW 40M after 6th year</t>
      </text>
    </comment>
    <comment ref="Z12" authorId="12" shapeId="0" xr:uid="{CD544899-7221-4943-AA94-6D0B3A930E1F}">
      <text>
        <t>[스레드 댓글]
사용 중인 버전의 Excel에서 이 스레드 댓글을 읽을 수 있지만 파일을 이후 버전의 Excel에서 열면 편집 내용이 모두 제거됩니다. 자세한 정보: https://go.microsoft.com/fwlink/?linkid=870924.
댓글:
    EBL to be submitted in Feb '25</t>
      </text>
    </comment>
    <comment ref="AC17" authorId="13" shapeId="0" xr:uid="{FC3FE95C-2949-46D7-850A-5D556EE46A27}">
      <text>
        <t>[스레드 댓글]
사용 중인 버전의 Excel에서 이 스레드 댓글을 읽을 수 있지만 파일을 이후 버전의 Excel에서 열면 편집 내용이 모두 제거됩니다. 자세한 정보: https://go.microsoft.com/fwlink/?linkid=870924.
댓글:
    26-27 system (no spare capacity after contract), negotiated to be given priority for permission as it is the first contract</t>
      </text>
    </comment>
    <comment ref="O25" authorId="14" shapeId="0" xr:uid="{12005877-AE92-4B47-AFDE-1E21A6FB6573}">
      <text>
        <t>[스레드 댓글]
사용 중인 버전의 Excel에서 이 스레드 댓글을 읽을 수 있지만 파일을 이후 버전의 Excel에서 열면 편집 내용이 모두 제거됩니다. 자세한 정보: https://go.microsoft.com/fwlink/?linkid=870924.
댓글:
    Reduced from 909.32kW</t>
      </text>
    </comment>
    <comment ref="O28" authorId="15" shapeId="0" xr:uid="{0EE4A8E7-884E-434E-B597-6AA657623809}">
      <text>
        <t>[스레드 댓글]
사용 중인 버전의 Excel에서 이 스레드 댓글을 읽을 수 있지만 파일을 이후 버전의 Excel에서 열면 편집 내용이 모두 제거됩니다. 자세한 정보: https://go.microsoft.com/fwlink/?linkid=870924.
댓글:
    Reduced from 654.05kW</t>
      </text>
    </comment>
    <comment ref="B41" authorId="16" shapeId="0" xr:uid="{B43A930B-DF01-45D0-8204-E70F973EACEA}">
      <text>
        <t>[스레드 댓글]
사용 중인 버전의 Excel에서 이 스레드 댓글을 읽을 수 있지만 파일을 이후 버전의 Excel에서 열면 편집 내용이 모두 제거됩니다. 자세한 정보: https://go.microsoft.com/fwlink/?linkid=870924.
[Tasks]
이 주석에 고정 된 작업이 클라이언트에서 표시 되지 않습니다.
댓글:
    @Kim Jeongsik 이사님 41-행 부터 에너지플랜 새 물건 업데이트 해놨습니다. 숫자 업데이트 부탁드립니다.</t>
      </text>
    </comment>
    <comment ref="M45" authorId="17" shapeId="0" xr:uid="{A01A3666-48FA-4566-82B0-3BC7AB2B6C8A}">
      <text>
        <t>[스레드 댓글]
사용 중인 버전의 Excel에서 이 스레드 댓글을 읽을 수 있지만 파일을 이후 버전의 Excel에서 열면 편집 내용이 모두 제거됩니다. 자세한 정보: https://go.microsoft.com/fwlink/?linkid=870924.
댓글:
    Cheongwoo 1 : 3.92 
Cheongwoo 2 : 3.99</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tc={C736DF31-7D3B-4510-93F0-B85EC6240594}</author>
    <author>tc={3A2D449A-53FD-4E82-BAA0-5E337B60BE52}</author>
    <author>tc={49CD9E3F-8970-49C6-8D8D-5FC4EB919078}</author>
    <author>tc={D7B1C248-FFD1-4D73-B288-BD3C02C89BD2}</author>
    <author>tc={050991B5-5686-455A-A07C-102698D3F3DD}</author>
    <author>tc={599418E7-89C7-40F3-8A0B-90959F6054D4}</author>
    <author>tc={394DBF49-3A21-4A7F-9997-D36913F420F2}</author>
    <author>tc={E76558A5-D72E-4FAF-AC0A-3FBD8C6FF6F2}</author>
    <author>tc={85EBA55A-4825-4B5F-83FB-DC8AA8303C85}</author>
    <author>tc={4DFB8309-BF55-44AA-8FAA-1C0B299F6C12}</author>
    <author>tc={C85A4085-3041-422E-B465-85D87FC8489D}</author>
    <author>tc={275D5EAC-AED8-414D-8A6E-11A6C175EFFD}</author>
    <author>tc={B933D538-34FF-466B-B956-E324BC1A06B8}</author>
    <author>tc={E771D5D2-F9AC-494F-8004-03FB5F3418CF}</author>
    <author>tc={558F152C-9140-49EB-85E4-E664FA0999A2}</author>
    <author>tc={62075C92-01FD-4D29-B4F5-63E731CCE4A3}</author>
    <author>tc={CC321E80-B4EF-4F05-A4A6-2243FEC5D8E5}</author>
    <author>tc={570A844D-1C3C-40DC-8484-62245CC2B927}</author>
    <author>tc={530030AC-126A-4582-84EF-2D12C876357B}</author>
    <author>tc={56F00AA1-4F75-472B-8408-AE83DF903E17}</author>
    <author>tc={BEA9D369-50DC-4D19-803A-4274BDBA3187}</author>
    <author>tc={54E63A31-B3A4-49EA-9A8F-C4BFD7041FE8}</author>
    <author>tc={8B05F541-0FA8-4EB9-9F8F-F6F1D76DEB57}</author>
    <author>tc={7126C322-226E-4757-B36F-EEDCAD1F51E5}</author>
    <author>tc={C940A29A-728F-4BC0-8A31-65258F4EC11C}</author>
    <author>tc={A2DE38AC-8F94-4B73-B8E8-E458822AA414}</author>
    <author>tc={B66281FD-917B-4009-9994-97A273D3FCFE}</author>
    <author>tc={E55FA55E-6D9F-49A5-9787-4B2EC38F77F3}</author>
    <author>tc={A5D6BD41-369F-4D42-BDFB-57AD0842484D}</author>
    <author>tc={5998EED5-2299-4F0C-8581-7B5C4CF716A8}</author>
    <author>tc={0EE780EE-1E58-46AD-87D2-AB9806E13F7C}</author>
    <author>tc={CE978AFA-58EA-4434-B262-44D5DBC6F53C}</author>
    <author>tc={B7C8BB7F-EDE5-4D2A-B2CD-7BC2A776F266}</author>
    <author>tc={4A157592-5CCF-4940-BBE8-A2BFA34552B6}</author>
    <author>tc={AA3ED741-D11A-48E3-B2EF-F06F6C07FE79}</author>
    <author>tc={9A655A73-90F8-48A1-8F26-ED3ECF6B1512}</author>
    <author>tc={3A9E59D8-9AA9-4EFE-8638-0D398B3C1287}</author>
    <author>tc={E142E769-2249-4B85-B574-B579E1E32338}</author>
    <author>tc={55D18B43-6400-4F6B-8CC5-C65BACB4CA87}</author>
    <author>tc={C1F715A6-A68A-4AC6-873B-677B31EF190D}</author>
    <author>tc={F39EE412-F9DA-435E-A623-11EFC76C3C35}</author>
    <author>tc={30BB1404-3C74-4C0B-876B-82DDD29993FB}</author>
    <author>tc={0C722393-D859-4CD7-A3FA-8CCEECE11335}</author>
    <author>tc={7D128692-8DA0-4D9A-BE70-22F9E5FDA30D}</author>
    <author>tc={D71AF8CF-CD8B-468F-B9BF-860D8F665B04}</author>
    <author>tc={2639809B-691C-4B5A-972A-2585E0B04233}</author>
    <author>tc={A3A360CE-FCE8-454E-BB7B-810892923B79}</author>
    <author>tc={FB413BA0-EF26-4340-B663-46D0E9EF4348}</author>
    <author>tc={18A73197-9B27-42A0-9F14-57D1F0D88BE2}</author>
    <author>tc={1AE30E28-1D15-4BB6-A617-E94EE4A5301A}</author>
    <author>tc={18AEBCE1-59EA-473A-9116-ABED246B3535}</author>
    <author>tc={DCFD7B52-5182-4F63-A648-DBB8D8854405}</author>
    <author>tc={EE510B1C-75C8-4E85-AC09-A5C96939ED46}</author>
    <author>tc={8FCF13AB-F21E-4055-9804-5DE01B3313B0}</author>
    <author>tc={CA9004A3-C044-40DF-82C8-6E36CC5FB3D8}</author>
    <author>tc={B391645F-C9DE-402A-8F5F-E36D2709DD5B}</author>
    <author>tc={52303AE2-436E-49B0-BA02-39BE83DB0AF6}</author>
    <author>tc={4CFD8E26-AED6-44C9-811E-F5AD25D042D5}</author>
    <author>tc={91CDED89-EFBE-415A-AE5E-092AADE477F9}</author>
    <author>tc={2F1C84EA-367A-403B-A9B2-98E654BFB807}</author>
    <author>tc={BA677C7F-988F-4802-80DD-53B067CA7DA3}</author>
    <author>tc={FF078BDC-24E9-4624-B7F6-06FD8B0EEDC0}</author>
    <author>tc={FDA1DD94-8E5D-4143-9197-9501E9DFDF3A}</author>
    <author>tc={9A7E3CAB-9B4B-41FB-9470-8C74788A637C}</author>
    <author>tc={8B28BF3D-AF05-4E50-9BE5-3A964907A6F4}</author>
    <author>tc={AF343389-4578-4F93-9374-78A195E2F959}</author>
    <author>tc={CA71A18E-3D02-4C45-80A2-05078EDD46BD}</author>
    <author>tc={2DD6050C-B9A1-4413-8C02-0233BF7FF718}</author>
    <author>tc={241E7225-29B5-4B7E-B3A7-D7FC24E9E3BF}</author>
    <author>tc={39EE959F-04EF-4021-9F53-C0EC4408EAB2}</author>
    <author>tc={1853D7AE-7B2D-460B-845A-462E7094CEAC}</author>
    <author>tc={9390E368-B936-4823-8FD4-232640AA9ACB}</author>
    <author>tc={E3A820E6-A863-4444-AF50-2E65E45D1CC2}</author>
    <author>tc={D746EDE9-5EC3-4ADF-BE94-34BAC8D8C5CC}</author>
    <author>tc={37F976C6-6C34-49F7-B567-659ACC11A694}</author>
    <author>tc={9BDA6632-5173-4EFC-BCA6-6F99B6D2F985}</author>
    <author>tc={A39E9D3B-A28A-4E0F-BBCD-D2AA03CDECE1}</author>
    <author>tc={4B5C5AB3-1044-4605-B0AE-607117B6E5C6}</author>
    <author>tc={B6FEB9FE-D685-44A7-9347-334A10261C7A}</author>
    <author>tc={E10BAB4E-771E-4B08-A66E-E3AD11E9C157}</author>
    <author>tc={666F21D7-D5DD-48D3-81BF-138C07767317}</author>
    <author>tc={60E585AC-5C3B-4AAF-A072-5AA9DB49A032}</author>
    <author>tc={82AFC94F-F84A-49AE-86AA-BB455B37F994}</author>
    <author>tc={C028C33F-938A-4A5E-A67C-CA68DEEF38A8}</author>
    <author>tc={1AC5DA18-A82C-453D-9EFE-92EB8D639765}</author>
    <author>tc={E6155498-6B17-4B8B-8438-F8B7E7CEA882}</author>
    <author>tc={6FB25E28-C2F6-42A7-875C-73F74B5A3257}</author>
    <author>tc={7CA57687-2995-4804-A024-2C0EEA507E67}</author>
    <author>tc={F0F174E2-B7E0-41C0-AF69-00A69B8B733A}</author>
    <author>tc={ECFBA1B5-12B8-4FB3-B1B7-508F9400EC2A}</author>
    <author>tc={E596D996-6557-40DF-A1C4-298DEDAE3CED}</author>
    <author>tc={3FE642A5-9FEA-464D-8F28-AC8E17377D17}</author>
    <author>tc={93002019-D369-4702-8500-BA23DE1A40A3}</author>
    <author>tc={5208DC2B-82E7-429D-A594-F09E167741B4}</author>
    <author>tc={FCAAA500-6ACE-4B59-AFCC-D796F53DAE1E}</author>
    <author>tc={BF55143E-FAB1-4052-85FC-29014F5AC35E}</author>
    <author>tc={648971E0-56A9-4A21-9B23-15162C7F4134}</author>
    <author>tc={C790869E-BA63-4A56-BFB6-83513649BC0A}</author>
    <author>tc={16BE0A8F-0BC4-4AB2-86A5-7F86F6AFA893}</author>
    <author>tc={D96948C2-CFD1-4AAA-8DE9-5DB936FE6C99}</author>
    <author>tc={C2D79437-1F0E-4D1C-9A90-2AE9A1867752}</author>
    <author>tc={E2DA0CEE-89A8-47C0-AB76-81D11FAEA37D}</author>
    <author>tc={C74EDD7B-D63D-41AB-982C-9BE0E0E51D0C}</author>
    <author>tc={4A95CA78-1A5C-4551-9AB2-DD70F133D0FB}</author>
    <author>tc={2CCB1FE6-5CB4-49E0-8355-533142BB5D87}</author>
    <author>tc={F5EE68CC-661D-41D8-AF37-5081956E9D53}</author>
    <author>tc={7A42F426-89E7-47F1-9FC1-662A7BB081B4}</author>
    <author>tc={C06CA20A-0EFE-4076-B211-CBEFA4AD30BD}</author>
    <author>tc={7280AB7E-CC4D-4D85-AF6C-C42380916E06}</author>
    <author>tc={2D557350-3FB8-4D92-A0E3-82886553F38E}</author>
    <author>tc={CC4C0B78-0AD9-4442-B149-F1C156214285}</author>
    <author>tc={7F2A6D7C-F2C1-4559-B49F-3F24E53F7C27}</author>
    <author>tc={4E5938C4-5A0D-45F6-9892-F69ECBEBB4DB}</author>
    <author>tc={7D9E9F74-4779-4E2A-A22B-533292E85090}</author>
    <author>tc={B8C10373-68A1-4722-BB62-4DD5D2092219}</author>
    <author>tc={892A5155-5077-4800-AB77-2FB3866EE357}</author>
    <author>tc={00FA5A65-A69D-4F1A-80F8-23EB9121108A}</author>
    <author>tc={DD093096-3A65-4F60-9E0B-AFC74E2D7968}</author>
    <author>tc={003B7504-3884-44C0-82C4-D39C0A31040A}</author>
    <author>tc={990A385F-4ED3-400E-889C-7F06C1568C50}</author>
    <author>tc={85695256-EEAA-46B3-AC0B-45C16661C527}</author>
    <author>tc={E6C361FE-8D03-4D58-8CEE-8D814509BC4B}</author>
    <author>tc={E39A61CD-5FE2-4D26-BFF8-DEC88DBDB298}</author>
    <author>tc={5D737A4F-6403-468B-8783-AE4A6058B256}</author>
    <author>tc={4EDB940F-25B7-4E90-9A8D-DCFCDA9158EC}</author>
    <author>tc={650D72F6-9934-4790-9C45-3CBFB23ECD18}</author>
    <author>tc={F2140286-4A8F-4304-8D9D-CD322B7C4492}</author>
    <author>tc={BA4B756F-A2D9-4461-A9C5-682B00A84A22}</author>
    <author>tc={00E5B910-39A0-44C8-BD88-7D01E39B760E}</author>
    <author>tc={2A41F203-6742-4432-BD8B-73CF40BEFFA8}</author>
    <author>tc={585D4236-2A41-4A89-8EAD-8CDB47E08D6A}</author>
    <author>tc={15914BFB-B9BC-4F1A-B2DB-86F516A9ABC1}</author>
    <author>tc={372AF665-3463-439E-A890-B5C7CE1BACAD}</author>
    <author>tc={36B8784E-FF0A-4F95-B625-494A5C49072B}</author>
    <author>tc={F77CBA13-7A58-4F2E-A9D3-F4D14E04806A}</author>
    <author>tc={106A2BDD-720D-45CB-BCA6-BB120E7E68B0}</author>
    <author>tc={40AB5095-C9BF-4012-B59B-C00521C8DEF8}</author>
    <author>tc={43009D64-0436-445E-B645-E0AD36C2878F}</author>
    <author>tc={4A0447BF-9837-4B0C-969C-A19C26E1D7D3}</author>
    <author>tc={53EB778C-F544-4AC9-8D03-EE4B4F8BC76B}</author>
    <author>tc={481AD9FA-2A9F-4D2B-996F-390EB0040684}</author>
    <author>tc={F0609DAD-3D47-4D23-967A-1F833936CE24}</author>
    <author>tc={ECC83FDF-931F-4A8E-B92D-9FC7CA5404A8}</author>
    <author>tc={D4C4C048-F317-48A9-964B-607608C01597}</author>
    <author>tc={8A573BF4-66FA-495B-BEB2-5564468D2D49}</author>
    <author>tc={3A0A048D-4D4C-447A-8105-4761AF61F926}</author>
    <author>tc={E91FE95E-0302-4895-A3A6-44ADBEBB90A2}</author>
    <author>tc={8DB94094-7D6F-4B73-A8E0-556AA05EF2E8}</author>
    <author>tc={45B700CC-A040-4572-92C3-052D93C13C33}</author>
    <author>tc={10D6EB98-8092-43E8-AA25-91427093DD3F}</author>
    <author>tc={1DE71F89-A028-4AE1-ABCC-06086D17640E}</author>
    <author>tc={C3B4BE6F-A697-45C4-A5D7-284C9E4E6328}</author>
    <author>tc={A20360F2-03DA-4348-AA6D-1A516BF0F085}</author>
    <author>tc={455AFADF-BF19-4D3A-9607-A22795528D7B}</author>
    <author>tc={81E053AF-853E-4D5E-9660-B4D5A3C2658C}</author>
    <author>tc={72770129-D961-488C-BE63-EE4411811ADC}</author>
    <author>tc={EAA8B965-BF6E-4E19-BB48-177C21B9BA0C}</author>
    <author>tc={2DBC2B39-FB54-42E4-AF17-EBEDB0E6707B}</author>
    <author>tc={89F05FA2-5B0C-4975-AA93-AAF56B4131D0}</author>
    <author>tc={A67F22DE-C691-437D-A517-9BEE8EFDAF38}</author>
    <author>tc={21A7425E-8BE2-46C5-8B04-A50CEAB3C985}</author>
    <author>tc={B9CB3358-3578-4C85-A9A9-5BB0F4F2E83D}</author>
    <author>tc={F6226795-328C-4730-B721-83E69838A50D}</author>
    <author>tc={FA8A4432-3B88-4F94-933C-1D9299DD38E4}</author>
    <author>tc={86DF1725-993C-4C94-BF79-8F0145EF03B8}</author>
    <author>tc={EB399A52-891D-4D5A-B7CA-93268483494B}</author>
    <author>tc={31944C20-6B91-4CFC-B3AB-58DC7A42ACD8}</author>
    <author>tc={30FB09EB-C858-4FE4-869B-3F683C74A263}</author>
    <author>tc={58AD402B-F454-45F3-9CC7-47B7E2F081F8}</author>
    <author>tc={C6D9D5AE-D8C1-4AAF-9A5B-33905D6B329B}</author>
    <author>tc={C79E42B2-312F-4B6D-8685-A4C91C29A204}</author>
    <author>tc={BB4410A3-FFAC-45A9-9216-81D0CD2C67A3}</author>
    <author>tc={2AC7E199-0994-421E-BC05-6CA9FAF4B359}</author>
    <author>tc={4DFA6A75-2B1E-41D6-8ACA-2EBA60E48041}</author>
    <author>tc={B7B59997-469C-416B-89E0-67D4C4BDA81F}</author>
    <author>tc={F605388E-EAA9-4BFC-87ED-D13FC8F44C5D}</author>
    <author>tc={6224CCF6-32E6-455B-942A-3F17DE678337}</author>
    <author>tc={9492553C-C5A5-4E81-8B1A-10289C7B0F89}</author>
    <author>tc={3819725D-10FF-47B4-9225-B2383DC1BC9D}</author>
    <author>tc={F3F5D0D1-82E4-4B54-B841-7AF83767B374}</author>
    <author>tc={E3C4C977-D753-41A5-ABDE-8429C7D99F98}</author>
    <author>tc={BDC9EBF7-2B07-4EE8-BBEE-47574F5008F5}</author>
    <author>tc={C3582E26-1BF2-4027-912E-B0B3740ED347}</author>
    <author>tc={1B2E5A7C-12C0-4803-A5D9-245E450D59C0}</author>
    <author>tc={12D3CF08-585B-4B51-A4CE-7E3A535A0BF7}</author>
    <author>tc={C224B984-AD57-4C52-AAC1-5644CB1A67C1}</author>
    <author>tc={FCBA6A9F-F3A9-4F43-AB4B-72A6B1A5FC3F}</author>
    <author>tc={E9C6ECC9-5E0B-43FC-93EC-DD257B949B9C}</author>
    <author>tc={1DC1F49F-B7B0-4087-AB9A-165476E70095}</author>
    <author>tc={FDB01882-1285-49F7-823B-D93D673745D8}</author>
    <author>tc={402B01EE-FC2E-4DBD-91A3-A37D122D6DB7}</author>
    <author>tc={66660179-E902-4068-A683-F851C4167459}</author>
    <author>tc={04C5DCFB-DCE3-4957-8515-4CD7B8F95EC0}</author>
    <author>tc={EA9C623B-8E9C-4B43-9661-CF7CC90A2699}</author>
    <author>tc={6ADDCB7D-5141-4473-A0A3-020222F385BD}</author>
    <author>tc={0942083A-D43F-4D54-961D-E513097FCF45}</author>
    <author>tc={BFD83380-DB89-41A1-84DE-430AECEA3743}</author>
    <author>tc={67139CC8-C616-415D-B97F-0ABF30C28AA1}</author>
    <author>tc={6D695BE9-1AE5-45CE-9526-70CBB75D1363}</author>
    <author>tc={5C8EEF81-7BAA-40CE-B049-D0F5FB587107}</author>
    <author>tc={01CBB462-E5C6-4375-9593-69AEF14665A5}</author>
    <author>tc={7236C291-66C0-4CE3-BF47-6A625D2B1115}</author>
    <author>tc={42DF5E39-A1D2-450C-BBD3-00838336D1FA}</author>
    <author>tc={6A5C009F-9421-4166-9C35-32B1510BD981}</author>
    <author>tc={9C525089-B99C-4488-972A-148B2BE7DB27}</author>
    <author>tc={BE3A1E0F-9EF9-4F41-8EEC-D5DB281DA92F}</author>
    <author>tc={B71A0F8C-7046-4F31-A0CF-D601A6FDC837}</author>
    <author>tc={E6BCC79E-466A-4A54-B24A-22C3E71B19C8}</author>
    <author>tc={6C246B44-49E9-49AA-9B59-46B9E49D693E}</author>
    <author>tc={9206ACB9-D535-4D84-8C70-3A701A7182BA}</author>
    <author>tc={5FD0DDEF-4FBE-4A45-A7AC-A87EE73DEFEE}</author>
    <author>tc={61558628-ADFE-45F3-B0C9-45D339CE8938}</author>
    <author>tc={55469D5D-3687-4AA9-BB86-5F2DF7434921}</author>
    <author>tc={9CED1B17-303B-4780-9A1E-2F1F7B2E3018}</author>
    <author>tc={DEEF078D-7B00-4810-AA10-4592ABF618C6}</author>
    <author>tc={FADB046F-8603-4EF8-9870-2112D57C822E}</author>
    <author>tc={A35F5D96-BDF0-4042-A7D8-FCAEB8DA14E4}</author>
    <author>tc={DBFC6875-D9E2-4766-9FC3-A9917CFC6C01}</author>
    <author>tc={FBD86624-7299-4EB0-9557-93534298A087}</author>
    <author>tc={7D089F5E-7EFA-45EB-B9EE-DDB8C0E86EB6}</author>
    <author>tc={51C4B678-56F4-47AF-B9A2-FC06B53DE26F}</author>
    <author>tc={A923CC57-9F08-48F5-A503-224A523264F2}</author>
    <author>tc={E5B37567-A27A-4E58-8846-8454A84406B0}</author>
    <author>tc={0F3BC050-B8F4-4FE6-A256-260B2B90A909}</author>
    <author>tc={A1965CEB-5C87-4DC9-8A00-805CFA856823}</author>
    <author>tc={E876C877-B593-4B13-9A43-4D7A9A145E98}</author>
    <author>tc={DD93C86C-9F5C-420F-867B-7728E24D2D91}</author>
    <author>tc={6EF6A40F-66EF-4320-B2EC-65BC48600CAC}</author>
    <author>tc={7C0B4E19-05AB-431E-8BC2-482C97EF1AB3}</author>
    <author>tc={CBFA28EF-C23F-4453-A78C-0937B84A4AB0}</author>
    <author>tc={FA0E047C-ADAC-4F8E-A969-E32FCC7BD68A}</author>
    <author>tc={24979B58-370B-4501-912D-51513341EB91}</author>
    <author>tc={51A0750A-1E99-4E3B-A298-1EB7627A4263}</author>
    <author>tc={AF74C131-1E65-48B0-B679-C2A66B6885C6}</author>
    <author>tc={20C8FAC2-F85F-4042-ABE8-B3C02372FE1B}</author>
  </authors>
  <commentList>
    <comment ref="H3" authorId="0" shapeId="0" xr:uid="{C736DF31-7D3B-4510-93F0-B85EC6240594}">
      <text>
        <t>[스레드 댓글]
사용 중인 버전의 Excel에서 이 스레드 댓글을 읽을 수 있지만 파일을 이후 버전의 Excel에서 열면 편집 내용이 모두 제거됩니다. 자세한 정보: https://go.microsoft.com/fwlink/?linkid=870924.
댓글:
    This IRR is an estimate based on the Greenvolt sensitivity analysis methodology.</t>
      </text>
    </comment>
    <comment ref="X5" authorId="1" shapeId="0" xr:uid="{3A2D449A-53FD-4E82-BAA0-5E337B60BE52}">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5" authorId="2" shapeId="0" xr:uid="{49CD9E3F-8970-49C6-8D8D-5FC4EB91907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 authorId="3" shapeId="0" xr:uid="{D7B1C248-FFD1-4D73-B288-BD3C02C89BD2}">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5" authorId="4" shapeId="0" xr:uid="{050991B5-5686-455A-A07C-102698D3F3DD}">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5" authorId="5" shapeId="0" xr:uid="{599418E7-89C7-40F3-8A0B-90959F6054D4}">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6" authorId="6" shapeId="0" xr:uid="{394DBF49-3A21-4A7F-9997-D36913F420F2}">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6" authorId="7" shapeId="0" xr:uid="{E76558A5-D72E-4FAF-AC0A-3FBD8C6FF6F2}">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6" authorId="8" shapeId="0" xr:uid="{85EBA55A-4825-4B5F-83FB-DC8AA8303C85}">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10" authorId="9" shapeId="0" xr:uid="{4DFB8309-BF55-44AA-8FAA-1C0B299F6C12}">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10" authorId="10" shapeId="0" xr:uid="{C85A4085-3041-422E-B465-85D87FC8489D}">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10" authorId="11" shapeId="0" xr:uid="{275D5EAC-AED8-414D-8A6E-11A6C175EFFD}">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10" authorId="12" shapeId="0" xr:uid="{B933D538-34FF-466B-B956-E324BC1A06B8}">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10" authorId="13" shapeId="0" xr:uid="{E771D5D2-F9AC-494F-8004-03FB5F3418CF}">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11" authorId="14" shapeId="0" xr:uid="{558F152C-9140-49EB-85E4-E664FA0999A2}">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11" authorId="15" shapeId="0" xr:uid="{62075C92-01FD-4D29-B4F5-63E731CCE4A3}">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11" authorId="16" shapeId="0" xr:uid="{CC321E80-B4EF-4F05-A4A6-2243FEC5D8E5}">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15" authorId="17" shapeId="0" xr:uid="{570A844D-1C3C-40DC-8484-62245CC2B927}">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15" authorId="18" shapeId="0" xr:uid="{530030AC-126A-4582-84EF-2D12C876357B}">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15" authorId="19" shapeId="0" xr:uid="{56F00AA1-4F75-472B-8408-AE83DF903E17}">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15" authorId="20" shapeId="0" xr:uid="{BEA9D369-50DC-4D19-803A-4274BDBA3187}">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15" authorId="21" shapeId="0" xr:uid="{54E63A31-B3A4-49EA-9A8F-C4BFD7041FE8}">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16" authorId="22" shapeId="0" xr:uid="{8B05F541-0FA8-4EB9-9F8F-F6F1D76DEB57}">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16" authorId="23" shapeId="0" xr:uid="{7126C322-226E-4757-B36F-EEDCAD1F51E5}">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16" authorId="24" shapeId="0" xr:uid="{C940A29A-728F-4BC0-8A31-65258F4EC11C}">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20" authorId="25" shapeId="0" xr:uid="{A2DE38AC-8F94-4B73-B8E8-E458822AA414}">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20" authorId="26" shapeId="0" xr:uid="{B66281FD-917B-4009-9994-97A273D3FCFE}">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20" authorId="27" shapeId="0" xr:uid="{E55FA55E-6D9F-49A5-9787-4B2EC38F77F3}">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20" authorId="28" shapeId="0" xr:uid="{A5D6BD41-369F-4D42-BDFB-57AD0842484D}">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20" authorId="29" shapeId="0" xr:uid="{5998EED5-2299-4F0C-8581-7B5C4CF716A8}">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21" authorId="30" shapeId="0" xr:uid="{0EE780EE-1E58-46AD-87D2-AB9806E13F7C}">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21" authorId="31" shapeId="0" xr:uid="{CE978AFA-58EA-4434-B262-44D5DBC6F53C}">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21" authorId="32" shapeId="0" xr:uid="{B7C8BB7F-EDE5-4D2A-B2CD-7BC2A776F266}">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25" authorId="33" shapeId="0" xr:uid="{4A157592-5CCF-4940-BBE8-A2BFA34552B6}">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25" authorId="34" shapeId="0" xr:uid="{AA3ED741-D11A-48E3-B2EF-F06F6C07FE79}">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25" authorId="35" shapeId="0" xr:uid="{9A655A73-90F8-48A1-8F26-ED3ECF6B1512}">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25" authorId="36" shapeId="0" xr:uid="{3A9E59D8-9AA9-4EFE-8638-0D398B3C1287}">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25" authorId="37" shapeId="0" xr:uid="{E142E769-2249-4B85-B574-B579E1E32338}">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26" authorId="38" shapeId="0" xr:uid="{55D18B43-6400-4F6B-8CC5-C65BACB4CA87}">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26" authorId="39" shapeId="0" xr:uid="{C1F715A6-A68A-4AC6-873B-677B31EF190D}">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26" authorId="40" shapeId="0" xr:uid="{F39EE412-F9DA-435E-A623-11EFC76C3C35}">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30" authorId="41" shapeId="0" xr:uid="{30BB1404-3C74-4C0B-876B-82DDD29993FB}">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30" authorId="42" shapeId="0" xr:uid="{0C722393-D859-4CD7-A3FA-8CCEECE1133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30" authorId="43" shapeId="0" xr:uid="{7D128692-8DA0-4D9A-BE70-22F9E5FDA30D}">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30" authorId="44" shapeId="0" xr:uid="{D71AF8CF-CD8B-468F-B9BF-860D8F665B04}">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30" authorId="45" shapeId="0" xr:uid="{2639809B-691C-4B5A-972A-2585E0B04233}">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31" authorId="46" shapeId="0" xr:uid="{A3A360CE-FCE8-454E-BB7B-810892923B79}">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31" authorId="47" shapeId="0" xr:uid="{FB413BA0-EF26-4340-B663-46D0E9EF4348}">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31" authorId="48" shapeId="0" xr:uid="{18A73197-9B27-42A0-9F14-57D1F0D88BE2}">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35" authorId="49" shapeId="0" xr:uid="{1AE30E28-1D15-4BB6-A617-E94EE4A5301A}">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35" authorId="50" shapeId="0" xr:uid="{18AEBCE1-59EA-473A-9116-ABED246B353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35" authorId="51" shapeId="0" xr:uid="{DCFD7B52-5182-4F63-A648-DBB8D8854405}">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35" authorId="52" shapeId="0" xr:uid="{EE510B1C-75C8-4E85-AC09-A5C96939ED46}">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35" authorId="53" shapeId="0" xr:uid="{8FCF13AB-F21E-4055-9804-5DE01B3313B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36" authorId="54" shapeId="0" xr:uid="{CA9004A3-C044-40DF-82C8-6E36CC5FB3D8}">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36" authorId="55" shapeId="0" xr:uid="{B391645F-C9DE-402A-8F5F-E36D2709DD5B}">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36" authorId="56" shapeId="0" xr:uid="{52303AE2-436E-49B0-BA02-39BE83DB0AF6}">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40" authorId="57" shapeId="0" xr:uid="{4CFD8E26-AED6-44C9-811E-F5AD25D042D5}">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40" authorId="58" shapeId="0" xr:uid="{91CDED89-EFBE-415A-AE5E-092AADE477F9}">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40" authorId="59" shapeId="0" xr:uid="{2F1C84EA-367A-403B-A9B2-98E654BFB807}">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40" authorId="60" shapeId="0" xr:uid="{BA677C7F-988F-4802-80DD-53B067CA7DA3}">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40" authorId="61" shapeId="0" xr:uid="{FF078BDC-24E9-4624-B7F6-06FD8B0EEDC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41" authorId="62" shapeId="0" xr:uid="{FDA1DD94-8E5D-4143-9197-9501E9DFDF3A}">
      <text>
        <t>[스레드 댓글]
사용 중인 버전의 Excel에서 이 스레드 댓글을 읽을 수 있지만 파일을 이후 버전의 Excel에서 열면 편집 내용이 모두 제거됩니다. 자세한 정보: https://go.microsoft.com/fwlink/?linkid=870924.
댓글:
    55% at DP(1)</t>
      </text>
    </comment>
    <comment ref="AA41" authorId="63" shapeId="0" xr:uid="{9A7E3CAB-9B4B-41FB-9470-8C74788A637C}">
      <text>
        <t>[스레드 댓글]
사용 중인 버전의 Excel에서 이 스레드 댓글을 읽을 수 있지만 파일을 이후 버전의 Excel에서 열면 편집 내용이 모두 제거됩니다. 자세한 정보: https://go.microsoft.com/fwlink/?linkid=870924.
댓글:
    Out of 15% at DP(2)</t>
      </text>
    </comment>
    <comment ref="AD41" authorId="64" shapeId="0" xr:uid="{8B28BF3D-AF05-4E50-9BE5-3A964907A6F4}">
      <text>
        <t>[스레드 댓글]
사용 중인 버전의 Excel에서 이 스레드 댓글을 읽을 수 있지만 파일을 이후 버전의 Excel에서 열면 편집 내용이 모두 제거됩니다. 자세한 정보: https://go.microsoft.com/fwlink/?linkid=870924.
댓글:
    30% at COD</t>
      </text>
    </comment>
    <comment ref="X45" authorId="65" shapeId="0" xr:uid="{AF343389-4578-4F93-9374-78A195E2F959}">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45" authorId="66" shapeId="0" xr:uid="{CA71A18E-3D02-4C45-80A2-05078EDD46BD}">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45" authorId="67" shapeId="0" xr:uid="{2DD6050C-B9A1-4413-8C02-0233BF7FF718}">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45" authorId="68" shapeId="0" xr:uid="{241E7225-29B5-4B7E-B3A7-D7FC24E9E3B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45" authorId="69" shapeId="0" xr:uid="{39EE959F-04EF-4021-9F53-C0EC4408EAB2}">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46" authorId="70" shapeId="0" xr:uid="{1853D7AE-7B2D-460B-845A-462E7094CEAC}">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46" authorId="71" shapeId="0" xr:uid="{9390E368-B936-4823-8FD4-232640AA9ACB}">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46" authorId="72" shapeId="0" xr:uid="{E3A820E6-A863-4444-AF50-2E65E45D1CC2}">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46" authorId="73" shapeId="0" xr:uid="{D746EDE9-5EC3-4ADF-BE94-34BAC8D8C5CC}">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47" authorId="74" shapeId="0" xr:uid="{37F976C6-6C34-49F7-B567-659ACC11A69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47" authorId="75" shapeId="0" xr:uid="{9BDA6632-5173-4EFC-BCA6-6F99B6D2F98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47" authorId="76" shapeId="0" xr:uid="{A39E9D3B-A28A-4E0F-BBCD-D2AA03CDECE1}">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47" authorId="77" shapeId="0" xr:uid="{4B5C5AB3-1044-4605-B0AE-607117B6E5C6}">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48" authorId="78" shapeId="0" xr:uid="{B6FEB9FE-D685-44A7-9347-334A10261C7A}">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48" authorId="79" shapeId="0" xr:uid="{E10BAB4E-771E-4B08-A66E-E3AD11E9C157}">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48" authorId="80" shapeId="0" xr:uid="{666F21D7-D5DD-48D3-81BF-138C07767317}">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48" authorId="81" shapeId="0" xr:uid="{60E585AC-5C3B-4AAF-A072-5AA9DB49A032}">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50" authorId="82" shapeId="0" xr:uid="{82AFC94F-F84A-49AE-86AA-BB455B37F994}">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50" authorId="83" shapeId="0" xr:uid="{C028C33F-938A-4A5E-A67C-CA68DEEF38A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0" authorId="84" shapeId="0" xr:uid="{1AC5DA18-A82C-453D-9EFE-92EB8D639765}">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50" authorId="85" shapeId="0" xr:uid="{E6155498-6B17-4B8B-8438-F8B7E7CEA882}">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50" authorId="86" shapeId="0" xr:uid="{6FB25E28-C2F6-42A7-875C-73F74B5A3257}">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51" authorId="87" shapeId="0" xr:uid="{7CA57687-2995-4804-A024-2C0EEA507E6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51" authorId="88" shapeId="0" xr:uid="{F0F174E2-B7E0-41C0-AF69-00A69B8B733A}">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51" authorId="89" shapeId="0" xr:uid="{ECFBA1B5-12B8-4FB3-B1B7-508F9400EC2A}">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51" authorId="90" shapeId="0" xr:uid="{E596D996-6557-40DF-A1C4-298DEDAE3CE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52" authorId="91" shapeId="0" xr:uid="{3FE642A5-9FEA-464D-8F28-AC8E17377D1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52" authorId="92" shapeId="0" xr:uid="{93002019-D369-4702-8500-BA23DE1A40A3}">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2" authorId="93" shapeId="0" xr:uid="{5208DC2B-82E7-429D-A594-F09E167741B4}">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52" authorId="94" shapeId="0" xr:uid="{FCAAA500-6ACE-4B59-AFCC-D796F53DAE1E}">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53" authorId="95" shapeId="0" xr:uid="{BF55143E-FAB1-4052-85FC-29014F5AC35E}">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53" authorId="96" shapeId="0" xr:uid="{648971E0-56A9-4A21-9B23-15162C7F4134}">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3" authorId="97" shapeId="0" xr:uid="{C790869E-BA63-4A56-BFB6-83513649BC0A}">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53" authorId="98" shapeId="0" xr:uid="{16BE0A8F-0BC4-4AB2-86A5-7F86F6AFA893}">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55" authorId="99" shapeId="0" xr:uid="{D96948C2-CFD1-4AAA-8DE9-5DB936FE6C99}">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55" authorId="100" shapeId="0" xr:uid="{C2D79437-1F0E-4D1C-9A90-2AE9A1867752}">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5" authorId="101" shapeId="0" xr:uid="{E2DA0CEE-89A8-47C0-AB76-81D11FAEA37D}">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55" authorId="102" shapeId="0" xr:uid="{C74EDD7B-D63D-41AB-982C-9BE0E0E51D0C}">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55" authorId="103" shapeId="0" xr:uid="{4A95CA78-1A5C-4551-9AB2-DD70F133D0FB}">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56" authorId="104" shapeId="0" xr:uid="{2CCB1FE6-5CB4-49E0-8355-533142BB5D8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56" authorId="105" shapeId="0" xr:uid="{F5EE68CC-661D-41D8-AF37-5081956E9D53}">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56" authorId="106" shapeId="0" xr:uid="{7A42F426-89E7-47F1-9FC1-662A7BB081B4}">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56" authorId="107" shapeId="0" xr:uid="{C06CA20A-0EFE-4076-B211-CBEFA4AD30B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57" authorId="108" shapeId="0" xr:uid="{7280AB7E-CC4D-4D85-AF6C-C42380916E06}">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57" authorId="109" shapeId="0" xr:uid="{2D557350-3FB8-4D92-A0E3-82886553F38E}">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7" authorId="110" shapeId="0" xr:uid="{CC4C0B78-0AD9-4442-B149-F1C156214285}">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57" authorId="111" shapeId="0" xr:uid="{7F2A6D7C-F2C1-4559-B49F-3F24E53F7C2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58" authorId="112" shapeId="0" xr:uid="{4E5938C4-5A0D-45F6-9892-F69ECBEBB4DB}">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58" authorId="113" shapeId="0" xr:uid="{7D9E9F74-4779-4E2A-A22B-533292E85090}">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58" authorId="114" shapeId="0" xr:uid="{B8C10373-68A1-4722-BB62-4DD5D2092219}">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58" authorId="115" shapeId="0" xr:uid="{892A5155-5077-4800-AB77-2FB3866EE35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60" authorId="116" shapeId="0" xr:uid="{00FA5A65-A69D-4F1A-80F8-23EB9121108A}">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60" authorId="117" shapeId="0" xr:uid="{DD093096-3A65-4F60-9E0B-AFC74E2D796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60" authorId="118" shapeId="0" xr:uid="{003B7504-3884-44C0-82C4-D39C0A31040A}">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60" authorId="119" shapeId="0" xr:uid="{990A385F-4ED3-400E-889C-7F06C1568C50}">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60" authorId="120" shapeId="0" xr:uid="{85695256-EEAA-46B3-AC0B-45C16661C527}">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61" authorId="121" shapeId="0" xr:uid="{E6C361FE-8D03-4D58-8CEE-8D814509BC4B}">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61" authorId="122" shapeId="0" xr:uid="{E39A61CD-5FE2-4D26-BFF8-DEC88DBDB298}">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61" authorId="123" shapeId="0" xr:uid="{5D737A4F-6403-468B-8783-AE4A6058B256}">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61" authorId="124" shapeId="0" xr:uid="{4EDB940F-25B7-4E90-9A8D-DCFCDA9158EC}">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62" authorId="125" shapeId="0" xr:uid="{650D72F6-9934-4790-9C45-3CBFB23ECD1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62" authorId="126" shapeId="0" xr:uid="{F2140286-4A8F-4304-8D9D-CD322B7C4492}">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62" authorId="127" shapeId="0" xr:uid="{BA4B756F-A2D9-4461-A9C5-682B00A84A22}">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62" authorId="128" shapeId="0" xr:uid="{00E5B910-39A0-44C8-BD88-7D01E39B760E}">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63" authorId="129" shapeId="0" xr:uid="{2A41F203-6742-4432-BD8B-73CF40BEFFA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63" authorId="130" shapeId="0" xr:uid="{585D4236-2A41-4A89-8EAD-8CDB47E08D6A}">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63" authorId="131" shapeId="0" xr:uid="{15914BFB-B9BC-4F1A-B2DB-86F516A9ABC1}">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63" authorId="132" shapeId="0" xr:uid="{372AF665-3463-439E-A890-B5C7CE1BACA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65" authorId="133" shapeId="0" xr:uid="{36B8784E-FF0A-4F95-B625-494A5C49072B}">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65" authorId="134" shapeId="0" xr:uid="{F77CBA13-7A58-4F2E-A9D3-F4D14E04806A}">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65" authorId="135" shapeId="0" xr:uid="{106A2BDD-720D-45CB-BCA6-BB120E7E68B0}">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65" authorId="136" shapeId="0" xr:uid="{40AB5095-C9BF-4012-B59B-C00521C8DEF8}">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65" authorId="137" shapeId="0" xr:uid="{43009D64-0436-445E-B645-E0AD36C2878F}">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66" authorId="138" shapeId="0" xr:uid="{4A0447BF-9837-4B0C-969C-A19C26E1D7D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66" authorId="139" shapeId="0" xr:uid="{53EB778C-F544-4AC9-8D03-EE4B4F8BC76B}">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66" authorId="140" shapeId="0" xr:uid="{481AD9FA-2A9F-4D2B-996F-390EB0040684}">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66" authorId="141" shapeId="0" xr:uid="{F0609DAD-3D47-4D23-967A-1F833936CE2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67" authorId="142" shapeId="0" xr:uid="{ECC83FDF-931F-4A8E-B92D-9FC7CA5404A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67" authorId="143" shapeId="0" xr:uid="{D4C4C048-F317-48A9-964B-607608C01597}">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67" authorId="144" shapeId="0" xr:uid="{8A573BF4-66FA-495B-BEB2-5564468D2D49}">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67" authorId="145" shapeId="0" xr:uid="{3A0A048D-4D4C-447A-8105-4761AF61F926}">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68" authorId="146" shapeId="0" xr:uid="{E91FE95E-0302-4895-A3A6-44ADBEBB90A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68" authorId="147" shapeId="0" xr:uid="{8DB94094-7D6F-4B73-A8E0-556AA05EF2E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68" authorId="148" shapeId="0" xr:uid="{45B700CC-A040-4572-92C3-052D93C13C33}">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68" authorId="149" shapeId="0" xr:uid="{10D6EB98-8092-43E8-AA25-91427093DD3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70" authorId="150" shapeId="0" xr:uid="{1DE71F89-A028-4AE1-ABCC-06086D17640E}">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70" authorId="151" shapeId="0" xr:uid="{C3B4BE6F-A697-45C4-A5D7-284C9E4E632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70" authorId="152" shapeId="0" xr:uid="{A20360F2-03DA-4348-AA6D-1A516BF0F085}">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70" authorId="153" shapeId="0" xr:uid="{455AFADF-BF19-4D3A-9607-A22795528D7B}">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70" authorId="154" shapeId="0" xr:uid="{81E053AF-853E-4D5E-9660-B4D5A3C2658C}">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71" authorId="155" shapeId="0" xr:uid="{72770129-D961-488C-BE63-EE4411811ADC}">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71" authorId="156" shapeId="0" xr:uid="{EAA8B965-BF6E-4E19-BB48-177C21B9BA0C}">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71" authorId="157" shapeId="0" xr:uid="{2DBC2B39-FB54-42E4-AF17-EBEDB0E6707B}">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71" authorId="158" shapeId="0" xr:uid="{89F05FA2-5B0C-4975-AA93-AAF56B4131D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72" authorId="159" shapeId="0" xr:uid="{A67F22DE-C691-437D-A517-9BEE8EFDAF3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72" authorId="160" shapeId="0" xr:uid="{21A7425E-8BE2-46C5-8B04-A50CEAB3C98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72" authorId="161" shapeId="0" xr:uid="{B9CB3358-3578-4C85-A9A9-5BB0F4F2E83D}">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72" authorId="162" shapeId="0" xr:uid="{F6226795-328C-4730-B721-83E69838A50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73" authorId="163" shapeId="0" xr:uid="{FA8A4432-3B88-4F94-933C-1D9299DD38E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73" authorId="164" shapeId="0" xr:uid="{86DF1725-993C-4C94-BF79-8F0145EF03B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73" authorId="165" shapeId="0" xr:uid="{EB399A52-891D-4D5A-B7CA-93268483494B}">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73" authorId="166" shapeId="0" xr:uid="{31944C20-6B91-4CFC-B3AB-58DC7A42ACD8}">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75" authorId="167" shapeId="0" xr:uid="{30FB09EB-C858-4FE4-869B-3F683C74A263}">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75" authorId="168" shapeId="0" xr:uid="{58AD402B-F454-45F3-9CC7-47B7E2F081F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75" authorId="169" shapeId="0" xr:uid="{C6D9D5AE-D8C1-4AAF-9A5B-33905D6B329B}">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75" authorId="170" shapeId="0" xr:uid="{C79E42B2-312F-4B6D-8685-A4C91C29A204}">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75" authorId="171" shapeId="0" xr:uid="{BB4410A3-FFAC-45A9-9216-81D0CD2C67A3}">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76" authorId="172" shapeId="0" xr:uid="{2AC7E199-0994-421E-BC05-6CA9FAF4B35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76" authorId="173" shapeId="0" xr:uid="{4DFA6A75-2B1E-41D6-8ACA-2EBA60E48041}">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76" authorId="174" shapeId="0" xr:uid="{B7B59997-469C-416B-89E0-67D4C4BDA81F}">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76" authorId="175" shapeId="0" xr:uid="{F605388E-EAA9-4BFC-87ED-D13FC8F44C5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77" authorId="176" shapeId="0" xr:uid="{6224CCF6-32E6-455B-942A-3F17DE67833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77" authorId="177" shapeId="0" xr:uid="{9492553C-C5A5-4E81-8B1A-10289C7B0F89}">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77" authorId="178" shapeId="0" xr:uid="{3819725D-10FF-47B4-9225-B2383DC1BC9D}">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77" authorId="179" shapeId="0" xr:uid="{F3F5D0D1-82E4-4B54-B841-7AF83767B37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78" authorId="180" shapeId="0" xr:uid="{E3C4C977-D753-41A5-ABDE-8429C7D99F9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78" authorId="181" shapeId="0" xr:uid="{BDC9EBF7-2B07-4EE8-BBEE-47574F5008F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78" authorId="182" shapeId="0" xr:uid="{C3582E26-1BF2-4027-912E-B0B3740ED347}">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78" authorId="183" shapeId="0" xr:uid="{1B2E5A7C-12C0-4803-A5D9-245E450D59C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80" authorId="184" shapeId="0" xr:uid="{12D3CF08-585B-4B51-A4CE-7E3A535A0BF7}">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80" authorId="185" shapeId="0" xr:uid="{C224B984-AD57-4C52-AAC1-5644CB1A67C1}">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80" authorId="186" shapeId="0" xr:uid="{FCBA6A9F-F3A9-4F43-AB4B-72A6B1A5FC3F}">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80" authorId="187" shapeId="0" xr:uid="{E9C6ECC9-5E0B-43FC-93EC-DD257B949B9C}">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80" authorId="188" shapeId="0" xr:uid="{1DC1F49F-B7B0-4087-AB9A-165476E70095}">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81" authorId="189" shapeId="0" xr:uid="{FDB01882-1285-49F7-823B-D93D673745D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81" authorId="190" shapeId="0" xr:uid="{402B01EE-FC2E-4DBD-91A3-A37D122D6DB7}">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81" authorId="191" shapeId="0" xr:uid="{66660179-E902-4068-A683-F851C4167459}">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81" authorId="192" shapeId="0" xr:uid="{04C5DCFB-DCE3-4957-8515-4CD7B8F95EC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82" authorId="193" shapeId="0" xr:uid="{EA9C623B-8E9C-4B43-9661-CF7CC90A269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82" authorId="194" shapeId="0" xr:uid="{6ADDCB7D-5141-4473-A0A3-020222F385BD}">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82" authorId="195" shapeId="0" xr:uid="{0942083A-D43F-4D54-961D-E513097FCF45}">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82" authorId="196" shapeId="0" xr:uid="{BFD83380-DB89-41A1-84DE-430AECEA3743}">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83" authorId="197" shapeId="0" xr:uid="{67139CC8-C616-415D-B97F-0ABF30C28AA1}">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83" authorId="198" shapeId="0" xr:uid="{6D695BE9-1AE5-45CE-9526-70CBB75D1363}">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83" authorId="199" shapeId="0" xr:uid="{5C8EEF81-7BAA-40CE-B049-D0F5FB587107}">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83" authorId="200" shapeId="0" xr:uid="{01CBB462-E5C6-4375-9593-69AEF14665A5}">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85" authorId="201" shapeId="0" xr:uid="{7236C291-66C0-4CE3-BF47-6A625D2B1115}">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85" authorId="202" shapeId="0" xr:uid="{42DF5E39-A1D2-450C-BBD3-00838336D1FA}">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85" authorId="203" shapeId="0" xr:uid="{6A5C009F-9421-4166-9C35-32B1510BD981}">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85" authorId="204" shapeId="0" xr:uid="{9C525089-B99C-4488-972A-148B2BE7DB27}">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85" authorId="205" shapeId="0" xr:uid="{BE3A1E0F-9EF9-4F41-8EEC-D5DB281DA92F}">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86" authorId="206" shapeId="0" xr:uid="{B71A0F8C-7046-4F31-A0CF-D601A6FDC83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86" authorId="207" shapeId="0" xr:uid="{E6BCC79E-466A-4A54-B24A-22C3E71B19C8}">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86" authorId="208" shapeId="0" xr:uid="{6C246B44-49E9-49AA-9B59-46B9E49D693E}">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86" authorId="209" shapeId="0" xr:uid="{9206ACB9-D535-4D84-8C70-3A701A7182B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87" authorId="210" shapeId="0" xr:uid="{5FD0DDEF-4FBE-4A45-A7AC-A87EE73DEFEE}">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87" authorId="211" shapeId="0" xr:uid="{61558628-ADFE-45F3-B0C9-45D339CE893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87" authorId="212" shapeId="0" xr:uid="{55469D5D-3687-4AA9-BB86-5F2DF7434921}">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87" authorId="213" shapeId="0" xr:uid="{9CED1B17-303B-4780-9A1E-2F1F7B2E3018}">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88" authorId="214" shapeId="0" xr:uid="{DEEF078D-7B00-4810-AA10-4592ABF618C6}">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88" authorId="215" shapeId="0" xr:uid="{FADB046F-8603-4EF8-9870-2112D57C822E}">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88" authorId="216" shapeId="0" xr:uid="{A35F5D96-BDF0-4042-A7D8-FCAEB8DA14E4}">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88" authorId="217" shapeId="0" xr:uid="{DBFC6875-D9E2-4766-9FC3-A9917CFC6C0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90" authorId="218" shapeId="0" xr:uid="{FBD86624-7299-4EB0-9557-93534298A087}">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A90" authorId="219" shapeId="0" xr:uid="{7D089F5E-7EFA-45EB-B9EE-DDB8C0E86EB6}">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90" authorId="220" shapeId="0" xr:uid="{51C4B678-56F4-47AF-B9A2-FC06B53DE26F}">
      <text>
        <t>[스레드 댓글]
사용 중인 버전의 Excel에서 이 스레드 댓글을 읽을 수 있지만 파일을 이후 버전의 Excel에서 열면 편집 내용이 모두 제거됩니다. 자세한 정보: https://go.microsoft.com/fwlink/?linkid=870924.
댓글:
    40% at Module arrival</t>
      </text>
    </comment>
    <comment ref="AG90" authorId="221" shapeId="0" xr:uid="{A923CC57-9F08-48F5-A503-224A523264F2}">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J90" authorId="222" shapeId="0" xr:uid="{E5B37567-A27A-4E58-8846-8454A84406B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X91" authorId="223" shapeId="0" xr:uid="{0F3BC050-B8F4-4FE6-A256-260B2B90A90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91" authorId="224" shapeId="0" xr:uid="{A1965CEB-5C87-4DC9-8A00-805CFA856823}">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D91" authorId="225" shapeId="0" xr:uid="{E876C877-B593-4B13-9A43-4D7A9A145E98}">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91" authorId="226" shapeId="0" xr:uid="{DD93C86C-9F5C-420F-867B-7728E24D2D9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92" authorId="227" shapeId="0" xr:uid="{6EF6A40F-66EF-4320-B2EC-65BC48600CAC}">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92" authorId="228" shapeId="0" xr:uid="{7C0B4E19-05AB-431E-8BC2-482C97EF1AB3}">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92" authorId="229" shapeId="0" xr:uid="{CBFA28EF-C23F-4453-A78C-0937B84A4AB0}">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92" authorId="230" shapeId="0" xr:uid="{FA0E047C-ADAC-4F8E-A969-E32FCC7BD68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X93" authorId="231" shapeId="0" xr:uid="{24979B58-370B-4501-912D-51513341EB91}">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A93" authorId="232" shapeId="0" xr:uid="{51A0750A-1E99-4E3B-A298-1EB7627A4263}">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D93" authorId="233" shapeId="0" xr:uid="{AF74C131-1E65-48B0-B679-C2A66B6885C6}">
      <text>
        <t>[스레드 댓글]
사용 중인 버전의 Excel에서 이 스레드 댓글을 읽을 수 있지만 파일을 이후 버전의 Excel에서 열면 편집 내용이 모두 제거됩니다. 자세한 정보: https://go.microsoft.com/fwlink/?linkid=870924.
댓글:
    30% at Pre-use Inspection</t>
      </text>
    </comment>
    <comment ref="AG93" authorId="234" shapeId="0" xr:uid="{20C8FAC2-F85F-4042-ABE8-B3C02372FE1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tc={235AA391-DD5D-41BD-953F-6277FFB90A9E}</author>
    <author>tc={EA81F11C-BC6C-42F4-9D6A-21106F2CAF49}</author>
    <author>tc={FE28315D-1FCC-4D82-B602-11B78D544F2C}</author>
    <author>tc={B48F065B-9287-472F-ADEB-6F4491B063DD}</author>
    <author>tc={30F6822B-3081-443E-929B-3DC696F45406}</author>
    <author>tc={89082B84-CDE4-46AF-ACA4-4B119851AD44}</author>
    <author>tc={7FDB4A81-7B6F-4978-B778-FA0C09624BC4}</author>
    <author>tc={6AA491F2-F068-45A9-9A82-8783A4BD200A}</author>
    <author>tc={FDDD44F3-8958-4BC2-8681-0A6D34771BE4}</author>
    <author>tc={50318EB4-E4B2-456B-A4E4-7AECED5F8E99}</author>
    <author>tc={549E239B-072E-42FF-B584-5061503444BE}</author>
    <author>tc={1C3A4C32-4B04-41AF-BA7E-21F76B2C0974}</author>
    <author>tc={A6F728B8-1E30-4CDE-923B-E66A8225DA3A}</author>
    <author>tc={D33DCC45-D5DD-4048-880A-7D51FC4D2309}</author>
    <author>tc={57592674-99B8-430B-9920-0FDFAFBBC6E3}</author>
    <author>tc={378D149E-272E-4D09-AFCA-5857344874C4}</author>
    <author>tc={092F2A45-790E-4B20-A0DE-395F1B58C02B}</author>
    <author>tc={70C51413-FC02-427F-84AF-7107800B4540}</author>
    <author>tc={1E8E383D-0EF4-4079-A719-89FBF7BF654F}</author>
    <author>tc={62958F52-968F-47A5-9903-6F4C73543060}</author>
    <author>tc={F0B03E94-64D6-4048-AF8C-0BB0DBD67020}</author>
    <author>tc={C242ED75-1575-4D77-B104-D53F6FB22CC2}</author>
    <author>tc={099266E7-A1CB-4283-81A9-1D501601A50D}</author>
    <author>tc={25A8B653-1BC1-49DA-9570-F8C033C4C595}</author>
    <author>tc={1D6F4B9C-2D64-467C-83B0-FADC02C628F3}</author>
    <author>tc={8796943F-098C-41AE-8657-5763DDB6BA8C}</author>
    <author>tc={EF06EE57-6CDC-4E97-9C09-2499C8107F69}</author>
    <author>tc={D1A298D2-587F-4BD2-A258-F42B039E92CD}</author>
    <author>tc={4BC8E8DB-F0FB-4709-BDF2-C6A463B46F87}</author>
    <author>tc={45489F02-DF3A-4DB8-9A69-A396E9DD221D}</author>
    <author>tc={7F9D072C-D9CE-4899-B347-75D5083FDC8D}</author>
    <author>tc={9FC9C6AD-3AEB-4E20-9CD9-93BE2B8EFA87}</author>
    <author>tc={2AAEA056-97C6-4F68-A626-8AEF67A2C70F}</author>
    <author>tc={D49B3434-6D9F-4175-8A5E-BEE63BAA6116}</author>
    <author>tc={BEE31DED-999D-4D77-8C94-ED507D9C8906}</author>
    <author>tc={9867688A-2E1E-4CA2-BC7C-F06EAF41A51A}</author>
    <author>tc={327EFCA5-AF4B-47EB-A7D1-46E695FA73A3}</author>
    <author>tc={5219EF5E-11AE-4200-A4A0-8F3D32BFFAB8}</author>
    <author>tc={06984014-49E2-4A83-8141-F5866FFD7211}</author>
    <author>tc={8EF369D0-E353-46AE-9BC7-89CE4D6584AF}</author>
    <author>tc={B73E3A75-8DA7-4F2C-9045-58AD5F49B7E3}</author>
    <author>tc={904AE47E-3B94-4C8E-88F9-C00ED89C34E8}</author>
    <author>tc={C367A8A6-4669-424F-8279-9FF24E718652}</author>
    <author>tc={98AE5DF1-0303-4ED9-A846-0CAA9C5A117C}</author>
    <author>tc={CBC667C7-B2D6-4AAA-9C26-DA220F497632}</author>
    <author>tc={6ACF3C8A-4198-435E-9035-868AD621C461}</author>
    <author>tc={6BFE4D0D-1CBF-40B3-B4C5-CB6AEA0E3026}</author>
    <author>tc={B3A2B195-EA55-48AC-95E6-9B9F3E85F230}</author>
    <author>tc={FAD21E91-2FEE-4BBE-8405-BDA73234A0B2}</author>
    <author>tc={1D60500C-6FC5-4E03-8079-12C128544196}</author>
    <author>tc={CB6DB724-2C6B-41B5-8E24-B5D0DBEC60C3}</author>
    <author>tc={6A5EC986-31CC-43D2-A9D0-D50121706EBF}</author>
    <author>tc={53C80FFB-3A81-4CBA-8351-82E6B7BBBEE7}</author>
    <author>tc={DF9B26C2-AB96-4FE3-8CE5-7EB4594D9774}</author>
    <author>tc={5E1D1161-6469-4119-9A2E-D8506232221C}</author>
    <author>tc={115FC0CF-E976-49F4-B192-EC14ADEDC201}</author>
    <author>tc={07634944-332B-4866-BF03-12685BC50650}</author>
    <author>tc={D99188AE-1002-438A-8E36-4554D4FFF37B}</author>
    <author>tc={3318948C-5E6B-480A-B06C-A4DC869E3DA7}</author>
    <author>tc={A6764975-50BF-41BF-A281-0CF31D79176C}</author>
    <author>tc={116679A1-AA5A-47B3-BA1D-622B72869770}</author>
    <author>tc={FDDD7F9F-732E-45EA-B001-728CB04B27A7}</author>
    <author>tc={EA5161FA-B24E-4B31-90C9-13C31ED442E8}</author>
    <author>tc={E0D13F91-0AE5-4A8F-95CA-2F1048F3D236}</author>
    <author>tc={1A5D65BE-95F8-408F-BEED-1A10E8DD5FC8}</author>
    <author>tc={334818F6-DBDC-4015-BFC6-1AE74C9C5EF7}</author>
    <author>tc={31AAFB7E-EBE1-4F95-901C-C8D853D35596}</author>
    <author>tc={6A12640B-828B-4F43-8D85-3F734C70F20B}</author>
    <author>tc={68713127-AB76-459E-B83F-831EA38A4326}</author>
    <author>tc={147695DE-7BF0-4A53-84F2-ED4341D3E8C6}</author>
    <author>tc={6090B211-4C82-4A5E-9642-C8A3DF6BCE6B}</author>
    <author>tc={B3445AB0-89FD-4B18-863F-79075E190041}</author>
    <author>tc={4DB66F9B-5E48-4112-A218-44A3F4236D7B}</author>
    <author>tc={B21CF2B4-57F4-41A7-A58F-0890468C5396}</author>
    <author>tc={C75DA611-043C-4B0C-A26A-199591099322}</author>
    <author>tc={2AC7BE8D-792B-4A44-886D-0E1F5B0C2313}</author>
    <author>tc={42CB7015-E92E-43D9-9ABB-490506D65499}</author>
    <author>tc={0042256E-10F1-4FA1-8CAA-B49528D841E3}</author>
    <author>tc={16D584D0-4752-425C-98C7-3B63052194CC}</author>
    <author>tc={1B55A838-745B-4D2B-B756-067C68903471}</author>
    <author>tc={BB3CF569-9C75-47E1-A0B4-968A2A687F80}</author>
    <author>tc={29C398CB-7907-446A-9B9C-3F4635171D55}</author>
    <author>tc={87819A40-2DAE-46C2-B7F0-89261661F192}</author>
    <author>tc={118BE970-2A4A-43CF-8B0C-20EC1BF766B0}</author>
    <author>tc={F8446E68-3E6E-4224-8C01-69C41CF09680}</author>
    <author>tc={9B40D294-28C9-4382-A859-63F102B0472F}</author>
    <author>tc={549F4653-565A-4957-8A6A-75FC4EE7E32F}</author>
    <author>tc={0468DEB3-B970-419D-83BB-4F9BE9D63E1C}</author>
    <author>tc={9891BA4F-7FB2-48C9-9C4B-5692BEB55880}</author>
    <author>tc={A0188ABA-A1A6-4789-9E1E-B5A86438452A}</author>
    <author>tc={901328FF-51B3-475D-A881-F6C20B2C9271}</author>
    <author>tc={62BBAE9E-BEA1-4BC0-BBBF-949E1B5AFF2D}</author>
    <author>tc={D2547816-1E7F-425C-B324-7A9AD862ED18}</author>
    <author>tc={5367AC17-6269-49E5-8424-3B88E1B34726}</author>
    <author>tc={CBC2D988-4D91-441D-A4C4-2F94558ACF71}</author>
    <author>tc={9E3CE812-065E-4E12-8E79-D2FE528C598F}</author>
    <author>tc={9D73DE08-A5AD-4795-A2DE-5749D6C0CB1D}</author>
    <author>tc={318CB508-1624-4B34-80A8-134D4C0D9394}</author>
    <author>tc={7A89EF2F-6203-4886-AED2-703730681CEF}</author>
    <author>tc={0C308566-1B8A-46C3-A0D3-267DD5822489}</author>
    <author>tc={243653EE-ADB1-4A65-94B9-AADF7BB3C40C}</author>
    <author>tc={6DFF219D-E9A7-4C31-9595-375D3C054CB6}</author>
    <author>tc={2367AE2D-33DE-46CC-9D20-86DFC8ADF8BF}</author>
    <author>tc={4CA0E126-0C56-4578-A1B0-33376C8AFF94}</author>
    <author>tc={E91F9113-937E-41A3-9FAA-31D6195100E4}</author>
    <author>tc={6482C76A-96D5-4575-8B58-60F2A0305DA9}</author>
    <author>tc={73EE1938-2DD0-41C7-806E-7A70AF37566E}</author>
    <author>tc={9B42AF26-8243-482A-8B3F-CC4B77B4DE28}</author>
    <author>tc={492D9B13-3867-4B11-8F56-9EC054643A5A}</author>
    <author>tc={00507B5C-9BA4-4153-9C9D-089E0ACF96CD}</author>
    <author>tc={B154A4BF-DFAC-4A6E-A42C-3F5C26770F7D}</author>
    <author>tc={A214F3C0-4918-4E37-93C0-D65ED500B239}</author>
    <author>tc={BAB834C0-BF58-4174-93E5-84552156BE5E}</author>
    <author>tc={55C42DB5-E7C2-4CE8-8F25-412F11D5C3FD}</author>
    <author>tc={CACAD53E-31F4-4FE6-9A07-FE9139910EB5}</author>
    <author>tc={7A5CA240-CBCB-4606-A798-A4DA0C4A1E90}</author>
    <author>tc={914132C0-C92D-4EF9-8860-26F51506AA36}</author>
    <author>tc={C9C25CB4-40A6-48FE-9533-65EB01DE02C9}</author>
    <author>tc={8AA65973-8F75-49B8-BF3D-643B790B9764}</author>
    <author>tc={DC2CC0C2-0F87-4F70-AC32-34C8F0A3F937}</author>
    <author>tc={C040166A-50D6-4220-A891-7AA9123EABE3}</author>
    <author>tc={AFAFED5A-C5F8-43B8-8282-6465631E342B}</author>
    <author>tc={4A07EF1B-EE53-49D6-82DD-F207617BAB47}</author>
    <author>tc={F7A9C277-160A-478B-A789-3A1B5B72772E}</author>
    <author>tc={E4CBEC7D-B6C2-4CA0-887C-7C2D5D5145C1}</author>
    <author>tc={0BFF1D69-2161-42D2-B661-FFB64FF70AD3}</author>
    <author>tc={48B20588-DF0B-4770-BC4D-370302A4BA35}</author>
    <author>tc={29E22F51-8BA7-4816-A493-2E5857F6617E}</author>
    <author>tc={3207BB1D-7E87-439A-BB71-1BB55C74FEB0}</author>
    <author>tc={D4D99250-2F60-4CBA-A4B7-833A08D9EB2F}</author>
    <author>tc={76314281-463F-433F-9F44-1CF1662147D7}</author>
    <author>tc={B126F81D-4D30-4833-973C-5ADA9828630B}</author>
    <author>tc={57783C86-FA8F-4DDA-AB8D-7203CE323696}</author>
    <author>tc={42FD79B3-E46C-4987-BB5F-E9837F18BBF9}</author>
    <author>tc={587C2902-7E79-4A12-8050-8FD65BF4DB3F}</author>
    <author>tc={2F469D76-6A56-4C9F-9E98-74B7468889DC}</author>
    <author>tc={3AA8A122-84EA-48F2-95D7-AFDA76B9C232}</author>
    <author>tc={0720D3F0-5D13-4E3A-9C8A-AC2798F80CC0}</author>
    <author>tc={C66D43B9-21FB-448C-A8BD-AE6F7D318FD1}</author>
    <author>tc={AC55261B-D310-4C43-B0CE-697BB9A7220A}</author>
    <author>tc={840D5E52-D2FF-4F94-B85B-902EFBF61E21}</author>
    <author>tc={9A18813B-A692-43E4-A446-D661C1F12213}</author>
    <author>tc={B6FFC7D5-05FD-426C-AA11-AB84803B9E84}</author>
    <author>tc={A4055ECA-3773-4C92-AF07-AEB118F33CA2}</author>
    <author>tc={ED7C5994-E07A-4222-B701-634DB8EE8FEF}</author>
    <author>tc={DF411D52-DD67-409D-96DD-8AB3EFD7A437}</author>
    <author>tc={84B5B0BB-CC00-4740-820E-6D9F1AEF49F3}</author>
    <author>tc={E7C4D517-754B-420E-9E9C-F8E53ED0CC10}</author>
    <author>tc={40E359BA-D4EF-4DAA-A430-A3DCF42063F8}</author>
    <author>tc={9BD13D02-2D98-4963-A750-7734E35C69E3}</author>
    <author>tc={F3618DB4-52F9-4807-ACE7-1BADFEC1AE47}</author>
    <author>tc={A07D272D-A1E1-4AA3-B825-933B96B82CD7}</author>
    <author>tc={F0AF6022-6604-4B11-B2C2-9EBA50C7A3E2}</author>
    <author>tc={78D786BC-C327-4F53-A70C-DA9B070EEDBC}</author>
    <author>tc={BD4D9432-E8DF-477C-A803-447A35368AEC}</author>
    <author>tc={9CA2F7A4-6EB6-41E4-8148-738A24BAF43A}</author>
    <author>tc={ABFFBF6E-B69B-4380-A926-727606B78F99}</author>
    <author>tc={A6DA57E4-459C-4351-B482-DA96963F1792}</author>
    <author>tc={BECC6301-9D04-4C48-A16A-3813B52EB78B}</author>
    <author>tc={DFCFBB7C-8122-4A18-9987-AC35D42024A0}</author>
    <author>tc={35735BD8-BA16-4ABD-B858-EE63C961A84E}</author>
    <author>tc={EB60487D-DFE2-455D-BFE0-7ABCF9F74470}</author>
    <author>tc={27AC1CB1-37F4-4B6A-9244-62141E0BC9B1}</author>
    <author>tc={DBCE0602-3FE3-476F-8636-F1763A922778}</author>
    <author>tc={2027ACE4-DE6F-4F7B-B594-D5D6910E9273}</author>
    <author>tc={55732413-236E-4FC3-8F99-E34D7F4EAA98}</author>
    <author>tc={9E7B6A3E-E802-4A3D-8A49-E7CFFFF71836}</author>
    <author>tc={9A661C00-01CF-4420-BABA-4802ACFAF2B6}</author>
    <author>tc={4D2D3253-B87C-481D-90A0-941861F2A741}</author>
    <author>tc={7ABE5C01-0D83-4083-90CA-0099B879795E}</author>
    <author>tc={41C048F5-EF18-48D0-AC16-65B425C6CC43}</author>
    <author>tc={A0F25587-075C-476C-9A68-3194DD3D6A9D}</author>
    <author>tc={E083D634-4711-46D7-966C-9CF0A51561FA}</author>
    <author>tc={ED2B9C4D-6729-4F92-93AE-6C9221DDB7A8}</author>
    <author>tc={2D9A4027-953C-415A-9464-B54B6F0E83B2}</author>
    <author>tc={06D08F49-3A06-492A-9AB5-CBB53090F425}</author>
    <author>tc={D2BC5171-615C-404A-9146-3992A48C486A}</author>
    <author>tc={18AAFA9E-1E2B-462D-AFEC-266869420FB7}</author>
    <author>tc={48FF088D-178A-41F9-B8E9-117D5ED0AC23}</author>
    <author>tc={DDBBF4E6-3969-4DAD-992B-8325942F7D9B}</author>
    <author>tc={98B9C0AE-80C4-46EF-9659-CCB4A2988C1A}</author>
    <author>tc={BED2BB6E-2BD9-40C5-BE8E-23B68E1720DA}</author>
    <author>tc={CB6941DD-2808-4DB2-964E-713421D32802}</author>
    <author>tc={A6DF1D2F-3458-43F0-8220-4159162C7260}</author>
    <author>tc={B3B57E50-B5A7-491C-ADA5-662DCAA64A68}</author>
    <author>tc={0997FF39-FB9A-47EB-BC0D-7C7597874A6F}</author>
    <author>tc={070BCCF4-AEBB-43F4-92CD-0F5861500058}</author>
    <author>tc={CD534583-0B5B-43A5-B699-3CEFAA6A15B8}</author>
    <author>tc={FFFB118B-CF65-4141-A602-885B6FD9759A}</author>
    <author>tc={290B45BC-46DD-4EC4-A9FA-CEEE8F282C4E}</author>
    <author>tc={713D3F36-60DC-4498-9D84-70A6A2A61E57}</author>
    <author>tc={360F152B-AF8C-4A02-9F04-ED088B4D8089}</author>
    <author>tc={F29849BD-B81A-4450-AE50-C2C515C01151}</author>
    <author>tc={29F22C7C-B821-4A96-996A-A59D1813CDD2}</author>
    <author>tc={2091E177-6B5F-42A9-ACF2-39B00491CE9F}</author>
    <author>tc={5DD5DFAF-DDDB-4045-90D0-C2B39A3592B4}</author>
    <author>tc={986BE52C-7A1A-4152-94A0-DC1054C5C325}</author>
    <author>tc={DC24BB59-0081-4CFD-9706-AD94F1668D70}</author>
    <author>tc={1F704FFA-6DA3-4C12-911B-F0582E1E2A47}</author>
    <author>tc={831D23B3-2CF6-42E0-AE18-82DABAB0C05E}</author>
    <author>tc={7830E41E-F7DC-4196-831E-82829C33B72D}</author>
    <author>tc={89BA6E8D-A32A-443D-A827-C10616FAE6B3}</author>
    <author>tc={D6959409-93C8-40DC-80C8-163AE160A8D0}</author>
    <author>tc={2E6D6A30-381D-4759-A00E-5CC6F4A353F6}</author>
    <author>tc={990EDD77-A07D-4C76-AC23-9EEE3EE2831A}</author>
    <author>tc={4CF91E47-0075-4B6A-B26D-08EC49605DFB}</author>
    <author>tc={554602C2-B5EA-4902-B22F-0CBDEBFEC253}</author>
    <author>tc={326FC076-1E47-48C9-BDAE-C349C8F4423D}</author>
    <author>tc={305A0D06-0AF4-4FAC-91B9-30FB33D9ED81}</author>
    <author>tc={C979DF33-D343-48A0-8C79-C8442778A293}</author>
    <author>tc={A2325380-CCAC-486F-B579-213DC4238B74}</author>
    <author>tc={EA3600A0-F3F0-4624-BEA5-53ADB025D0D1}</author>
    <author>tc={38FEBB10-2888-4CA0-82EB-3A19C1ACB1BD}</author>
    <author>tc={48EEFF4E-2AA7-43EC-BF14-43D9C338B162}</author>
    <author>tc={DC675D1F-38BF-44DE-A068-8A83C0069476}</author>
    <author>tc={13E94E97-CCC7-4A30-9E6F-230A74A9D9AC}</author>
    <author>tc={5908C5E4-3658-4AC5-AD9B-042DF960ABD8}</author>
    <author>tc={E0FB8F40-E409-4979-AF8F-B42B77A032A9}</author>
    <author>tc={9EB6B122-ADE3-4051-A5B4-5699090261B4}</author>
    <author>tc={1C62128D-D059-4293-805C-67A72FD6C7DF}</author>
    <author>tc={3D28E77F-13B8-4A52-BF46-D1AF0CC5D189}</author>
    <author>tc={1426BE62-E491-4C6F-9780-1D2B90B2A410}</author>
    <author>tc={820EDEAD-F278-4789-9D93-B8BABDF97725}</author>
    <author>tc={4A90FA51-5A47-4007-BF9D-27A5CB83EA76}</author>
    <author>tc={FDE9B249-968D-4556-A877-1BD8B046ECDB}</author>
    <author>tc={6162E27B-324C-4983-9A68-8EDF1031A4E1}</author>
    <author>tc={46047164-9A1A-4D45-93AC-881CE4AE86C0}</author>
    <author>tc={DC056757-9549-42B2-B142-54BCD3F82E6D}</author>
    <author>tc={E84CD75B-9D75-46B1-BE7D-52AB83DA5C0F}</author>
    <author>tc={CD00B3EF-737F-4C06-A9F6-F83D2DC56564}</author>
    <author>tc={C129E73E-3AEA-408F-9C4E-44BD70A8953A}</author>
    <author>tc={726734CB-E0C8-4D03-8059-A41AD3AE13E8}</author>
    <author>tc={87816616-4285-4318-95E8-2BB52B43F5B3}</author>
    <author>tc={9C5ABF5B-E11B-46CA-9A73-6B960C44AD0D}</author>
    <author>tc={5938150C-CD4B-4D9D-9C46-15A5E5B9D9BA}</author>
    <author>tc={3E65C437-EEE7-4E70-B87A-1ED74BAD0F09}</author>
    <author>tc={BD252DB2-1846-4A3B-9821-2BCCDAD4428C}</author>
    <author>tc={A6BAA759-C322-4D85-91FA-C342500A60AF}</author>
    <author>tc={0DBC7BD8-CDCF-428F-8FE1-B2B5EE5FA54C}</author>
    <author>tc={61CDEB58-046B-4DD0-A606-B97F61EBD549}</author>
    <author>tc={42A82BE7-E371-4B94-AC96-267EAA149E39}</author>
    <author>tc={5968BCF0-DD1C-4CB6-8186-6711D27615BA}</author>
    <author>tc={1045F62E-1E3E-4F51-9CD7-6278A5AD0372}</author>
    <author>tc={FA96F1A5-2661-48F2-927D-77AE8E9E7FD4}</author>
    <author>tc={CE38D3B7-619D-4958-AE1F-C275AF140CD3}</author>
    <author>tc={77FCCCBA-E7D1-43C2-8BC8-E4F98B39D495}</author>
    <author>tc={C87A70A2-4E1B-4D33-A726-7A6DDE264052}</author>
    <author>tc={CA951967-BCD6-4978-84E4-EC20FAEDCF1B}</author>
    <author>tc={13A18FBA-1098-4226-A5F7-730C0D8116B4}</author>
    <author>tc={6F5454F7-2B37-4DD1-85C2-D14A3788C832}</author>
    <author>tc={36D5DFC3-C11B-4B4D-88D2-3DA87130EB0E}</author>
    <author>tc={437F30D8-9978-4C75-95B6-70D8D602D270}</author>
    <author>tc={CBE521A2-B98E-424C-B311-9C346D9E8CFA}</author>
    <author>tc={CCBCF408-CBC4-4C45-B640-10EBF2D09ADD}</author>
    <author>tc={FAF66792-7F8F-42FA-8A23-76DAB2B2096E}</author>
    <author>tc={17FAD06E-806E-47FF-B77B-8C90FCE99709}</author>
    <author>tc={73D16665-6EA7-4489-849F-DF9A66C2CBD4}</author>
    <author>tc={A1E4D1AA-D20A-495A-9296-877D265CE433}</author>
    <author>tc={B409225A-2137-497B-A1E2-FB71D1C2723C}</author>
    <author>tc={400C14A3-D056-4BD5-AC4F-2FD3D6B330D5}</author>
    <author>tc={3DD4B465-3510-4692-AF39-A4C60D43E2DA}</author>
    <author>tc={A27239B2-9D7E-43BD-8839-7F6E2F53C040}</author>
    <author>tc={9BB31394-08BF-4BD6-8636-4E0BDE7AB4F5}</author>
    <author>tc={71A266FC-CB1E-43D9-9D17-ADA7BF20BD63}</author>
    <author>tc={A8579599-4CB3-4FDF-8573-3EAD0A84A7BC}</author>
    <author>tc={16F03418-CD75-47B5-828A-03A4B545A597}</author>
    <author>tc={4F9D7DB8-7BFE-4C6D-9ED3-21854CDC77A2}</author>
    <author>tc={F2E51F8F-1361-4B6A-94D1-A8497A4BCDD6}</author>
    <author>tc={031CC045-DE20-4DD8-B496-F8F4BC2C274F}</author>
    <author>tc={E39105D0-58CB-4F17-930B-34E2E694F7F4}</author>
    <author>tc={3B7ED558-3CB7-46D9-85ED-3A6D63B0F920}</author>
    <author>tc={D43BE591-706B-44D6-848D-D3888A7910E9}</author>
    <author>tc={397D1105-4C2D-4BE2-94E0-B36E4C780269}</author>
    <author>tc={E9B38EB6-1368-4F92-BF2D-B47C4D8E733D}</author>
    <author>tc={3C8A6B21-3AAD-4F3D-ADF8-B30AF018A347}</author>
    <author>tc={69876E1D-77F4-4C24-B096-ED9A153BFC5F}</author>
    <author>tc={954650C7-A8CB-434E-8DE0-78F13AEFB8D2}</author>
    <author>tc={B1801CAD-BF8A-40D7-AD30-0116587C5268}</author>
    <author>tc={DB622B78-88D5-4092-A21A-05504A114F0D}</author>
    <author>tc={1483AC91-2904-42F2-950F-1A7B4BAA6B7A}</author>
    <author>tc={12D15EE5-0720-4DAD-9102-2B8BB82C2FB7}</author>
    <author>tc={D3058E28-D7C3-409A-931E-3A23980D4968}</author>
    <author>tc={81F540A1-154C-4B71-98CC-E36CF55036BC}</author>
    <author>tc={911D8F65-5D43-497F-A42C-51CEF2B3ABA4}</author>
    <author>tc={D80DC4CF-BC0D-4D4B-A2DC-68B0417170BE}</author>
    <author>tc={AEDDD75C-46C5-4FD5-8076-0D4E268D8CEA}</author>
    <author>tc={01BBEE3F-BE7B-4849-BD94-06D04DCAD038}</author>
    <author>tc={419B2262-E608-4DD1-88D1-2EF474694132}</author>
    <author>tc={9BFE562C-F05A-4232-B686-283AD915D8ED}</author>
    <author>tc={77026FC5-16CF-4524-B74B-EACDA9E4342D}</author>
    <author>tc={8BDE9BB4-F9CA-40C5-BCD5-BCCB5FB893B9}</author>
    <author>tc={8BA8361A-3F19-4204-B9B8-30756C657BC0}</author>
    <author>tc={ADA412D8-05DB-47D7-B661-2A746EA82CCF}</author>
    <author>tc={6D4EE832-44F1-4DE2-B43F-AFD23AB1C5B3}</author>
    <author>tc={6517D70C-DAFA-4374-BDAF-2BC247EC71A4}</author>
    <author>tc={FBE7DB05-C055-4841-B40E-7ECB59CB40BC}</author>
    <author>tc={F3E0D611-0AD5-4DB1-9799-F4893BABA697}</author>
    <author>tc={03F4000E-52FA-48E5-8246-32544AEBB260}</author>
    <author>tc={C8E3CA27-29A5-40E0-AE2F-71999C4590FC}</author>
    <author>tc={79B357DC-18DF-4CCD-8D4A-CF495F505D5D}</author>
    <author>tc={892DAEF0-64E2-4A23-AECB-CFF1CD2B1D19}</author>
    <author>tc={65816CB6-1AEB-414F-82AF-E14472368565}</author>
    <author>tc={D1ADF88B-9C06-409F-833E-350AFE417D76}</author>
    <author>tc={4F0B3ABD-CE5E-47E5-9BF3-DEEB9914D30B}</author>
    <author>tc={C23D09FE-9782-45CA-8C76-2CF288FE63A9}</author>
    <author>tc={A7D6C8FB-4674-4C5A-9815-FA63551B50A0}</author>
    <author>tc={55F7711A-A435-45C4-9FED-A558D3AECB9C}</author>
    <author>tc={A3BAFAA0-28E5-48AA-A240-BAA4254615BD}</author>
    <author>tc={CC2486BE-9D73-4F8A-B1BA-F9437580C7AA}</author>
    <author>tc={A28572B1-FDD0-4479-A75B-DD91D147F0E9}</author>
    <author>tc={57EB83EB-258E-4FB4-AF08-0C229B073DB3}</author>
    <author>tc={20A5AA68-EF33-44CE-9213-7EDF35A83621}</author>
    <author>tc={03B3754B-6890-4F27-BC37-2B1B4990BAE0}</author>
    <author>tc={9AA87F78-DE38-4E57-904F-B16723A684B9}</author>
    <author>tc={5C6E7074-7ECA-418F-BA5B-9A9F0947A460}</author>
    <author>tc={B862BFFF-AFED-4682-AE41-53431691D8CC}</author>
    <author>tc={4A2931E5-E0C3-4A2D-916D-45297C3284A5}</author>
    <author>tc={17C50E4D-2166-4555-9AE7-3107C1B07D58}</author>
    <author>tc={39E1DDC1-5A66-4437-831E-80C05C773941}</author>
    <author>tc={307DF05A-C9BE-4E4B-8425-DF5F1FFC7890}</author>
    <author>tc={97DC8949-B3DE-4895-9940-D5C8D8C104A9}</author>
    <author>tc={EFC4A50F-44D4-4169-9B8C-1C6B9014EBB2}</author>
    <author>tc={3B803AE2-FB38-411C-86DA-1CEB19BBE082}</author>
    <author>tc={6FAFEA5A-A50E-4651-9DB7-C5AA60303649}</author>
    <author>tc={CA212B99-10D4-4D17-B028-19920618B5EE}</author>
    <author>tc={3F324814-A05D-42CC-8CBA-D8AD67370A49}</author>
    <author>tc={DEC90869-70DE-4A1D-B410-0988199F776F}</author>
    <author>tc={ECCE5751-229E-41D8-A0CA-3198AD35A73F}</author>
    <author>tc={038ED2CE-83A7-4113-9509-063178B4874E}</author>
    <author>tc={FCA7362C-11D5-4D39-845C-71AC4862E631}</author>
    <author>tc={75430070-7334-4BD2-8C3F-0A9E3D2935E4}</author>
    <author>tc={6FB8D9F9-B684-4438-A579-B13E14BC34B2}</author>
    <author>tc={A849CE03-6B05-4779-9D4B-BC452420886A}</author>
    <author>tc={30B16E5E-F69F-4A9C-86CB-3F4F56DDBFAA}</author>
    <author>tc={E76897E5-4F58-450B-B3AB-B9F97A3A5C02}</author>
    <author>tc={5DA30EE5-B657-4366-AC32-39A61C00B610}</author>
    <author>tc={3D8076C5-2B08-4F41-A1E0-54EBCDF3F5E9}</author>
    <author>tc={670C916E-A05A-43B5-A809-7EC300328C78}</author>
    <author>tc={A77E8F12-FFB2-436D-8CF7-E0FA50268872}</author>
    <author>tc={7100B467-9466-4D30-BE0A-3E8E4EFEE194}</author>
    <author>tc={026ABE2A-C35E-43D8-855A-4E3CD9234260}</author>
    <author>tc={84A8E273-0E21-467D-BDC3-D8FBCC73DE01}</author>
    <author>tc={6E025324-463B-4907-9B6F-ACE61276F669}</author>
    <author>tc={868FEE62-E1B5-48A3-A7A9-9866D69F2C9C}</author>
    <author>tc={223FD02B-7965-45CA-82F1-BE08ECB0B6DB}</author>
    <author>tc={0E729C59-EA1C-4EFA-BD67-6A88827940BD}</author>
    <author>tc={0D24F8F8-EEDA-4AB9-A536-101C40FA9756}</author>
    <author>tc={72F2C5B8-83D0-492E-8D8A-5B2EA2B15685}</author>
    <author>tc={057830FA-950B-4245-A155-29C0924BCCE7}</author>
    <author>tc={F80F3CA0-601D-49EC-BF9C-45EF76777035}</author>
    <author>tc={8FD7EF69-84E5-401F-BB86-3158DEAB4D82}</author>
    <author>tc={89C23A98-1464-4B52-A79B-6171BCFFAE7B}</author>
    <author>tc={ED68F188-00AB-4848-8CB0-B312632EEC54}</author>
    <author>tc={84B1F011-6AD6-4D61-923E-03616EF0A4C8}</author>
    <author>tc={0CF9A6CB-3E64-4D5A-A3B8-C4980D5B2409}</author>
    <author>tc={B544B0AE-C4B3-4F11-9B96-8E82CFF6D8D0}</author>
    <author>tc={ECEBC348-30B5-4471-BC3D-C9EA48D1E1D1}</author>
    <author>tc={EF158F61-FBD6-4043-A4E9-1ACD16578BC9}</author>
    <author>tc={597C14B3-C225-4B5F-A93C-C96380B436FC}</author>
    <author>tc={18ED6604-D867-4A6A-ACE3-8CBEF3757DFA}</author>
    <author>tc={ADD49F94-F91D-4005-96D0-800C8777F6E1}</author>
    <author>tc={6D0A3BCA-05B8-49A5-A8A2-809CE61454DA}</author>
    <author>tc={2DDE452E-D103-476B-8E6F-66F8D1D24AA2}</author>
    <author>tc={67061CDA-8A26-4968-AAA9-FFA2E915C229}</author>
    <author>tc={AFCD74C3-EEC5-4BA9-BE0F-F76AF46BF26D}</author>
    <author>tc={43795600-3823-4116-BD5A-D90C74F92608}</author>
    <author>tc={996B8EF0-55A9-4A62-A128-183E78BEFF06}</author>
    <author>tc={626BD50A-3903-4130-9436-5EB8C667EC41}</author>
    <author>tc={AA0E7F67-4DB0-4950-B841-4DF8E7D6D960}</author>
    <author>tc={21C43391-E460-4BD4-A663-8C0F5EE1005F}</author>
    <author>tc={491877AD-9896-405D-91B3-DB35934B506B}</author>
    <author>tc={33652DAD-FFAB-406E-94E8-60F355D0069C}</author>
    <author>tc={9FC576FB-FC1B-443F-A2F1-F55D19FA47AD}</author>
    <author>tc={AE10CC37-03C9-4E95-8EBB-2170B6F9BC52}</author>
    <author>tc={FF2755E8-1DA8-4A8C-A265-615318B1DFCC}</author>
    <author>tc={45B5AA37-EFC8-400F-92BE-DA3B3D404B6A}</author>
    <author>tc={7BAFE3DB-D6A1-407C-A831-5EFF2CE74827}</author>
    <author>tc={70226615-DD00-4D0D-B434-C8A2D0461755}</author>
    <author>tc={75EB4019-6CF9-4C89-8012-A117A0F0A39D}</author>
    <author>tc={7B3712ED-DBE1-4A07-828F-C093D5B561A9}</author>
    <author>tc={8F2CF16A-359E-4A03-B986-B1DA94BED34C}</author>
    <author>tc={63EB12F1-8649-458F-AF2A-7B4F7D9B0901}</author>
    <author>tc={247BCBC9-7FAB-4F95-940B-DFB25B864D4B}</author>
    <author>tc={7B08C48D-4B20-4C24-B770-EEA1D1F60388}</author>
    <author>tc={4E68F180-524E-4FEF-8C1D-D27A268C357C}</author>
    <author>tc={5A20172A-D699-45DF-A69B-F0542E2C4010}</author>
    <author>tc={3944394C-EF97-48D9-8DED-85C5518731FA}</author>
    <author>tc={24433057-6872-4CD2-831C-8ECDF42247F5}</author>
    <author>tc={858AD462-1A7C-40B1-B0B1-AEC4B461B84B}</author>
    <author>tc={8F699407-4F80-4645-B00A-B782930CA0B6}</author>
    <author>tc={F579F291-9DB2-4418-9DA3-4CAF982B7ECA}</author>
    <author>tc={8AF84550-6711-45B2-86C3-905431CEFE35}</author>
    <author>tc={21B8D186-C408-4EF6-BD2E-7CE73D2F7FA3}</author>
    <author>tc={56BCBB27-FF95-4FB7-B357-5D74EB97E612}</author>
    <author>tc={DDD0FD99-B3EA-486F-BF0B-18B13661566A}</author>
    <author>tc={DED92EB8-E6C9-4CD5-A0E2-86C72363B58E}</author>
    <author>tc={BF223CE8-42DC-4276-882D-6AD012AA4DFE}</author>
    <author>tc={8277C8B4-83D8-4B07-BDED-31FF9012455B}</author>
    <author>tc={76FF4F31-2C12-4AE4-BD66-FDE59081C3FE}</author>
    <author>tc={D8C68F9C-02EB-4AEC-ACE3-78CDEA34BB8B}</author>
    <author>tc={5EE9F13E-ECB6-421B-9855-7BE5700C670A}</author>
    <author>tc={71082005-4033-4B24-9518-A182B5CAB7EF}</author>
    <author>tc={B4D3FA10-AFF0-4138-AAFD-88C2DC8978AF}</author>
    <author>tc={D2198875-1173-4392-8971-B3B6D786096D}</author>
    <author>tc={92E7ED28-B2D1-4941-9232-CD8F7192FBF4}</author>
    <author>tc={EEA50B2C-6850-4F44-A2CD-5ACD10C69C05}</author>
    <author>tc={A7B63FC4-8D7F-4697-88F7-23488A69BB43}</author>
    <author>tc={E2982B55-B2DB-4ECD-8D72-57AE729E4947}</author>
    <author>tc={23CE5CF3-C9D8-4AF7-BB3A-83C96E6D5BEC}</author>
    <author>tc={DD95190E-602E-4608-9BD3-C0D2BB3A802C}</author>
    <author>tc={FD5044BC-01CE-4E8D-8074-27B18964CA12}</author>
    <author>tc={A69483C0-B5EB-4432-AFB7-4DEF48518513}</author>
    <author>tc={D931CF5C-1972-466A-BD65-C2936707CED6}</author>
    <author>tc={796141E4-658D-4103-A8AF-B20D0C7BE776}</author>
    <author>tc={BB3B0C60-2C5B-40E9-B638-5D7B9F682ECF}</author>
    <author>tc={16ED8C6E-E64F-4E3A-A32B-962B5F22CD2E}</author>
    <author>tc={CDC547D8-D920-47C7-99D6-1EBA79221C25}</author>
    <author>tc={0B2BDF19-7990-4976-A0CB-F0FFC0AB43DD}</author>
    <author>tc={837B63EA-03ED-41C6-B855-5A5297433901}</author>
    <author>tc={0BF3EF50-960E-470A-9B29-534DC12433BC}</author>
    <author>tc={13DC622E-E4CD-4C5E-9032-50014A411304}</author>
    <author>tc={E61FC595-DB22-498F-8778-DE03D896F0FB}</author>
    <author>tc={CE8D26BF-7783-42E9-8176-379D0BA9AA00}</author>
    <author>tc={2BD8B260-13B4-4FDD-9137-B252C038C283}</author>
    <author>tc={A78E751D-9D94-47EC-B599-09F1337338FF}</author>
    <author>tc={9675DBA8-AE97-4EAC-9574-A7E1700E6EE9}</author>
    <author>tc={1AE287C1-DC9A-436C-8420-C2199F18D154}</author>
    <author>tc={57E3998F-F563-41EB-8163-F60F15AFB912}</author>
    <author>tc={EEDFC1CA-6778-4754-A03D-FE3A1A81E3E1}</author>
    <author>tc={A554C2C7-F708-421F-B91C-692BADB46B5D}</author>
    <author>tc={CE2A6EEB-46AB-4CEA-B598-81453630F928}</author>
    <author>tc={C7D6B33C-E275-402E-8FF3-C2032908AE46}</author>
    <author>tc={B9787564-46BB-428D-A6BC-2FCF2C50FFA7}</author>
    <author>tc={A6B0361D-3674-47C4-8613-F7E7A7E0C634}</author>
    <author>tc={E6285A81-E5BE-4AEC-80E3-04762E2DA9BA}</author>
    <author>tc={8E34F523-8380-4D2D-BBB1-402C2C868A14}</author>
    <author>tc={4F0593CE-110A-4084-ABB7-70C53ED5644E}</author>
    <author>tc={078EABFD-ED96-4C21-8F92-B45860D1AA7F}</author>
    <author>tc={BFF597EF-8785-4D22-BE51-D8227F166F3C}</author>
    <author>tc={F48A0527-DFE9-4573-890B-8B8EAEA702FA}</author>
    <author>tc={89822991-A7B4-4784-AEA6-B8397EF30BBF}</author>
    <author>tc={29F825CA-935A-4F40-A794-3437626C6F2F}</author>
    <author>tc={E5B0949F-11D9-4F9D-801F-CC54E2A01CB7}</author>
    <author>tc={368E6AAC-6F76-4AEB-9F47-E633DD781583}</author>
    <author>tc={142BEDC5-9338-4571-BC49-785893AE253F}</author>
    <author>tc={946EFAB5-D858-4B34-9588-A23D998CBBD4}</author>
    <author>tc={D248AF4F-D7CD-4805-A174-48B086F9104A}</author>
    <author>tc={A599C3D4-43CD-4572-8294-14647E0FAC56}</author>
    <author>tc={4EA46745-46F2-4DDA-845A-7ED5F77A0286}</author>
    <author>tc={D8D10BD8-FC67-4FCA-B651-EB903DF04732}</author>
    <author>tc={7648FB44-71FF-4EF3-B090-C02F6B2E90B4}</author>
    <author>tc={A7F9EC3D-A7C8-45F7-A81C-AA5A74431AD8}</author>
    <author>tc={2CEED150-C88E-4E11-9ACA-F55A06A0E066}</author>
    <author>tc={B330CC2B-5D3B-4A30-8358-7671811C747C}</author>
    <author>tc={769F0245-DE96-45AE-8EA8-1248E7078EFA}</author>
    <author>tc={3CF9C095-5A43-43B7-811D-51D5C709925D}</author>
    <author>tc={1A9C787C-CB36-4B93-A51C-F1086AC9D5BF}</author>
    <author>tc={9BE531BA-DC41-4F44-8A07-6B7E5282AB1F}</author>
    <author>tc={747AC25E-95A9-4DD1-8915-D78C6889E87E}</author>
    <author>tc={A1B3F9FC-4043-4A59-9CAF-BFCB44A6867F}</author>
    <author>tc={0268E51F-422D-4EDD-9FAA-CCACA6E4EA3E}</author>
    <author>tc={3D55E591-EBF3-4F9B-BC58-3F24F8ED3D7E}</author>
    <author>tc={95093A89-CC11-4663-9815-374972317C15}</author>
    <author>tc={968197D5-38C3-45CA-8762-62BCCE5349FD}</author>
    <author>tc={8560527D-AE86-490A-B29D-604C31FAA021}</author>
    <author>tc={11C7C80D-8485-40C1-A244-A9AC2523328C}</author>
    <author>tc={8878595B-52AB-4B9E-A3FE-527BA49961C7}</author>
    <author>tc={AB65AA94-C58C-4CCA-ACE6-DC82FA20C851}</author>
    <author>tc={44B3E025-8F99-4D14-B4C6-ABBEBBDF8C55}</author>
    <author>tc={D58FF652-24B8-432C-AFC8-D66413B35302}</author>
    <author>tc={1221BEAD-7478-4FCB-8E02-451C05000F16}</author>
    <author>tc={1299EA9E-43AE-49CE-96AD-3FBFACD2A218}</author>
    <author>tc={3FC65BB6-235A-4790-A68D-9BDDDA739742}</author>
    <author>tc={F09A5624-ACD5-4251-9363-08821B493ABC}</author>
    <author>tc={CF45CC81-AF99-437A-AD41-0B6E2FADAC15}</author>
    <author>tc={3491F89C-8ED2-4161-BFDC-EEC4941E355C}</author>
    <author>tc={28CD668F-56A0-499A-8F38-7FA249E9156C}</author>
    <author>tc={D10C1679-33CD-4F7D-8E4E-B9A27DF26A50}</author>
    <author>tc={5B886175-8FF6-4D79-8D21-CE10B2747F63}</author>
    <author>tc={4913824E-394F-4A5F-BE3B-0EDBC34720B2}</author>
  </authors>
  <commentList>
    <comment ref="L3" authorId="0" shapeId="0" xr:uid="{235AA391-DD5D-41BD-953F-6277FFB90A9E}">
      <text>
        <t>[스레드 댓글]
사용 중인 버전의 Excel에서 이 스레드 댓글을 읽을 수 있지만 파일을 이후 버전의 Excel에서 열면 편집 내용이 모두 제거됩니다. 자세한 정보: https://go.microsoft.com/fwlink/?linkid=870924.
댓글:
    This IRR is an estimate based on the Greenvolt sensitivity analysis methodology.</t>
      </text>
    </comment>
    <comment ref="W5" authorId="1" shapeId="0" xr:uid="{EA81F11C-BC6C-42F4-9D6A-21106F2CAF49}">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5" authorId="2" shapeId="0" xr:uid="{FE28315D-1FCC-4D82-B602-11B78D544F2C}">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5" authorId="3" shapeId="0" xr:uid="{B48F065B-9287-472F-ADEB-6F4491B063DD}">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5" authorId="4" shapeId="0" xr:uid="{30F6822B-3081-443E-929B-3DC696F45406}">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5" authorId="5" shapeId="0" xr:uid="{89082B84-CDE4-46AF-ACA4-4B119851AD44}">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6" authorId="6" shapeId="0" xr:uid="{7FDB4A81-7B6F-4978-B778-FA0C09624BC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6" authorId="7" shapeId="0" xr:uid="{6AA491F2-F068-45A9-9A82-8783A4BD200A}">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6" authorId="8" shapeId="0" xr:uid="{FDDD44F3-8958-4BC2-8681-0A6D34771BE4}">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6" authorId="9" shapeId="0" xr:uid="{50318EB4-E4B2-456B-A4E4-7AECED5F8E99}">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7" authorId="10" shapeId="0" xr:uid="{549E239B-072E-42FF-B584-5061503444BE}">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8" authorId="11" shapeId="0" xr:uid="{1C3A4C32-4B04-41AF-BA7E-21F76B2C097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8" authorId="12" shapeId="0" xr:uid="{A6F728B8-1E30-4CDE-923B-E66A8225DA3A}">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8" authorId="13" shapeId="0" xr:uid="{D33DCC45-D5DD-4048-880A-7D51FC4D2309}">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8" authorId="14" shapeId="0" xr:uid="{57592674-99B8-430B-9920-0FDFAFBBC6E3}">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0" authorId="15" shapeId="0" xr:uid="{378D149E-272E-4D09-AFCA-5857344874C4}">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0" authorId="16" shapeId="0" xr:uid="{092F2A45-790E-4B20-A0DE-395F1B58C02B}">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0" authorId="17" shapeId="0" xr:uid="{70C51413-FC02-427F-84AF-7107800B4540}">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0" authorId="18" shapeId="0" xr:uid="{1E8E383D-0EF4-4079-A719-89FBF7BF654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0" authorId="19" shapeId="0" xr:uid="{62958F52-968F-47A5-9903-6F4C7354306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1" authorId="20" shapeId="0" xr:uid="{F0B03E94-64D6-4048-AF8C-0BB0DBD67020}">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1" authorId="21" shapeId="0" xr:uid="{C242ED75-1575-4D77-B104-D53F6FB22CC2}">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1" authorId="22" shapeId="0" xr:uid="{099266E7-A1CB-4283-81A9-1D501601A50D}">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1" authorId="23" shapeId="0" xr:uid="{25A8B653-1BC1-49DA-9570-F8C033C4C595}">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2" authorId="24" shapeId="0" xr:uid="{1D6F4B9C-2D64-467C-83B0-FADC02C628F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13" authorId="25" shapeId="0" xr:uid="{8796943F-098C-41AE-8657-5763DDB6BA8C}">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3" authorId="26" shapeId="0" xr:uid="{EF06EE57-6CDC-4E97-9C09-2499C8107F69}">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3" authorId="27" shapeId="0" xr:uid="{D1A298D2-587F-4BD2-A258-F42B039E92CD}">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3" authorId="28" shapeId="0" xr:uid="{4BC8E8DB-F0FB-4709-BDF2-C6A463B46F8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5" authorId="29" shapeId="0" xr:uid="{45489F02-DF3A-4DB8-9A69-A396E9DD221D}">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5" authorId="30" shapeId="0" xr:uid="{7F9D072C-D9CE-4899-B347-75D5083FDC8D}">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5" authorId="31" shapeId="0" xr:uid="{9FC9C6AD-3AEB-4E20-9CD9-93BE2B8EFA87}">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5" authorId="32" shapeId="0" xr:uid="{2AAEA056-97C6-4F68-A626-8AEF67A2C70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5" authorId="33" shapeId="0" xr:uid="{D49B3434-6D9F-4175-8A5E-BEE63BAA6116}">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6" authorId="34" shapeId="0" xr:uid="{BEE31DED-999D-4D77-8C94-ED507D9C8906}">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6" authorId="35" shapeId="0" xr:uid="{9867688A-2E1E-4CA2-BC7C-F06EAF41A51A}">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6" authorId="36" shapeId="0" xr:uid="{327EFCA5-AF4B-47EB-A7D1-46E695FA73A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6" authorId="37" shapeId="0" xr:uid="{5219EF5E-11AE-4200-A4A0-8F3D32BFFAB8}">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7" authorId="38" shapeId="0" xr:uid="{06984014-49E2-4A83-8141-F5866FFD7211}">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18" authorId="39" shapeId="0" xr:uid="{8EF369D0-E353-46AE-9BC7-89CE4D6584AF}">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8" authorId="40" shapeId="0" xr:uid="{B73E3A75-8DA7-4F2C-9045-58AD5F49B7E3}">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8" authorId="41" shapeId="0" xr:uid="{904AE47E-3B94-4C8E-88F9-C00ED89C34E8}">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8" authorId="42" shapeId="0" xr:uid="{C367A8A6-4669-424F-8279-9FF24E718652}">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20" authorId="43" shapeId="0" xr:uid="{98AE5DF1-0303-4ED9-A846-0CAA9C5A117C}">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20" authorId="44" shapeId="0" xr:uid="{CBC667C7-B2D6-4AAA-9C26-DA220F497632}">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20" authorId="45" shapeId="0" xr:uid="{6ACF3C8A-4198-435E-9035-868AD621C461}">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20" authorId="46" shapeId="0" xr:uid="{6BFE4D0D-1CBF-40B3-B4C5-CB6AEA0E3026}">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20" authorId="47" shapeId="0" xr:uid="{B3A2B195-EA55-48AC-95E6-9B9F3E85F23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21" authorId="48" shapeId="0" xr:uid="{FAD21E91-2FEE-4BBE-8405-BDA73234A0B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21" authorId="49" shapeId="0" xr:uid="{1D60500C-6FC5-4E03-8079-12C12854419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21" authorId="50" shapeId="0" xr:uid="{CB6DB724-2C6B-41B5-8E24-B5D0DBEC60C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21" authorId="51" shapeId="0" xr:uid="{6A5EC986-31CC-43D2-A9D0-D50121706EB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22" authorId="52" shapeId="0" xr:uid="{53C80FFB-3A81-4CBA-8351-82E6B7BBBEE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23" authorId="53" shapeId="0" xr:uid="{DF9B26C2-AB96-4FE3-8CE5-7EB4594D977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23" authorId="54" shapeId="0" xr:uid="{5E1D1161-6469-4119-9A2E-D8506232221C}">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23" authorId="55" shapeId="0" xr:uid="{115FC0CF-E976-49F4-B192-EC14ADEDC201}">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23" authorId="56" shapeId="0" xr:uid="{07634944-332B-4866-BF03-12685BC5065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25" authorId="57" shapeId="0" xr:uid="{D99188AE-1002-438A-8E36-4554D4FFF37B}">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25" authorId="58" shapeId="0" xr:uid="{3318948C-5E6B-480A-B06C-A4DC869E3DA7}">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25" authorId="59" shapeId="0" xr:uid="{A6764975-50BF-41BF-A281-0CF31D79176C}">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25" authorId="60" shapeId="0" xr:uid="{116679A1-AA5A-47B3-BA1D-622B72869770}">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25" authorId="61" shapeId="0" xr:uid="{FDDD7F9F-732E-45EA-B001-728CB04B27A7}">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26" authorId="62" shapeId="0" xr:uid="{EA5161FA-B24E-4B31-90C9-13C31ED442E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26" authorId="63" shapeId="0" xr:uid="{E0D13F91-0AE5-4A8F-95CA-2F1048F3D23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26" authorId="64" shapeId="0" xr:uid="{1A5D65BE-95F8-408F-BEED-1A10E8DD5FC8}">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26" authorId="65" shapeId="0" xr:uid="{334818F6-DBDC-4015-BFC6-1AE74C9C5EF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27" authorId="66" shapeId="0" xr:uid="{31AAFB7E-EBE1-4F95-901C-C8D853D35596}">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28" authorId="67" shapeId="0" xr:uid="{6A12640B-828B-4F43-8D85-3F734C70F20B}">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28" authorId="68" shapeId="0" xr:uid="{68713127-AB76-459E-B83F-831EA38A432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28" authorId="69" shapeId="0" xr:uid="{147695DE-7BF0-4A53-84F2-ED4341D3E8C6}">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28" authorId="70" shapeId="0" xr:uid="{6090B211-4C82-4A5E-9642-C8A3DF6BCE6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30" authorId="71" shapeId="0" xr:uid="{B3445AB0-89FD-4B18-863F-79075E190041}">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30" authorId="72" shapeId="0" xr:uid="{4DB66F9B-5E48-4112-A218-44A3F4236D7B}">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30" authorId="73" shapeId="0" xr:uid="{B21CF2B4-57F4-41A7-A58F-0890468C5396}">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30" authorId="74" shapeId="0" xr:uid="{C75DA611-043C-4B0C-A26A-199591099322}">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30" authorId="75" shapeId="0" xr:uid="{2AC7BE8D-792B-4A44-886D-0E1F5B0C2313}">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31" authorId="76" shapeId="0" xr:uid="{42CB7015-E92E-43D9-9ABB-490506D6549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31" authorId="77" shapeId="0" xr:uid="{0042256E-10F1-4FA1-8CAA-B49528D841E3}">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31" authorId="78" shapeId="0" xr:uid="{16D584D0-4752-425C-98C7-3B63052194C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31" authorId="79" shapeId="0" xr:uid="{1B55A838-745B-4D2B-B756-067C6890347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32" authorId="80" shapeId="0" xr:uid="{BB3CF569-9C75-47E1-A0B4-968A2A687F80}">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33" authorId="81" shapeId="0" xr:uid="{29C398CB-7907-446A-9B9C-3F4635171D55}">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33" authorId="82" shapeId="0" xr:uid="{87819A40-2DAE-46C2-B7F0-89261661F192}">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33" authorId="83" shapeId="0" xr:uid="{118BE970-2A4A-43CF-8B0C-20EC1BF766B0}">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33" authorId="84" shapeId="0" xr:uid="{F8446E68-3E6E-4224-8C01-69C41CF0968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35" authorId="85" shapeId="0" xr:uid="{9B40D294-28C9-4382-A859-63F102B0472F}">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35" authorId="86" shapeId="0" xr:uid="{549F4653-565A-4957-8A6A-75FC4EE7E32F}">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35" authorId="87" shapeId="0" xr:uid="{0468DEB3-B970-419D-83BB-4F9BE9D63E1C}">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35" authorId="88" shapeId="0" xr:uid="{9891BA4F-7FB2-48C9-9C4B-5692BEB55880}">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35" authorId="89" shapeId="0" xr:uid="{A0188ABA-A1A6-4789-9E1E-B5A86438452A}">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36" authorId="90" shapeId="0" xr:uid="{901328FF-51B3-475D-A881-F6C20B2C9271}">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36" authorId="91" shapeId="0" xr:uid="{62BBAE9E-BEA1-4BC0-BBBF-949E1B5AFF2D}">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36" authorId="92" shapeId="0" xr:uid="{D2547816-1E7F-425C-B324-7A9AD862ED18}">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36" authorId="93" shapeId="0" xr:uid="{5367AC17-6269-49E5-8424-3B88E1B34726}">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37" authorId="94" shapeId="0" xr:uid="{CBC2D988-4D91-441D-A4C4-2F94558ACF71}">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38" authorId="95" shapeId="0" xr:uid="{9E3CE812-065E-4E12-8E79-D2FE528C598F}">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38" authorId="96" shapeId="0" xr:uid="{9D73DE08-A5AD-4795-A2DE-5749D6C0CB1D}">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38" authorId="97" shapeId="0" xr:uid="{318CB508-1624-4B34-80A8-134D4C0D9394}">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38" authorId="98" shapeId="0" xr:uid="{7A89EF2F-6203-4886-AED2-703730681CE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40" authorId="99" shapeId="0" xr:uid="{0C308566-1B8A-46C3-A0D3-267DD5822489}">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40" authorId="100" shapeId="0" xr:uid="{243653EE-ADB1-4A65-94B9-AADF7BB3C40C}">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40" authorId="101" shapeId="0" xr:uid="{6DFF219D-E9A7-4C31-9595-375D3C054CB6}">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40" authorId="102" shapeId="0" xr:uid="{2367AE2D-33DE-46CC-9D20-86DFC8ADF8B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40" authorId="103" shapeId="0" xr:uid="{4CA0E126-0C56-4578-A1B0-33376C8AFF94}">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41" authorId="104" shapeId="0" xr:uid="{E91F9113-937E-41A3-9FAA-31D6195100E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41" authorId="105" shapeId="0" xr:uid="{6482C76A-96D5-4575-8B58-60F2A0305DA9}">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41" authorId="106" shapeId="0" xr:uid="{73EE1938-2DD0-41C7-806E-7A70AF37566E}">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41" authorId="107" shapeId="0" xr:uid="{9B42AF26-8243-482A-8B3F-CC4B77B4DE28}">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42" authorId="108" shapeId="0" xr:uid="{492D9B13-3867-4B11-8F56-9EC054643A5A}">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43" authorId="109" shapeId="0" xr:uid="{00507B5C-9BA4-4153-9C9D-089E0ACF96CD}">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43" authorId="110" shapeId="0" xr:uid="{B154A4BF-DFAC-4A6E-A42C-3F5C26770F7D}">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43" authorId="111" shapeId="0" xr:uid="{A214F3C0-4918-4E37-93C0-D65ED500B239}">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43" authorId="112" shapeId="0" xr:uid="{BAB834C0-BF58-4174-93E5-84552156BE5E}">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45" authorId="113" shapeId="0" xr:uid="{55C42DB5-E7C2-4CE8-8F25-412F11D5C3FD}">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45" authorId="114" shapeId="0" xr:uid="{CACAD53E-31F4-4FE6-9A07-FE9139910EB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45" authorId="115" shapeId="0" xr:uid="{7A5CA240-CBCB-4606-A798-A4DA0C4A1E90}">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45" authorId="116" shapeId="0" xr:uid="{914132C0-C92D-4EF9-8860-26F51506AA36}">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45" authorId="117" shapeId="0" xr:uid="{C9C25CB4-40A6-48FE-9533-65EB01DE02C9}">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46" authorId="118" shapeId="0" xr:uid="{8AA65973-8F75-49B8-BF3D-643B790B976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46" authorId="119" shapeId="0" xr:uid="{DC2CC0C2-0F87-4F70-AC32-34C8F0A3F937}">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46" authorId="120" shapeId="0" xr:uid="{C040166A-50D6-4220-A891-7AA9123EABE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46" authorId="121" shapeId="0" xr:uid="{AFAFED5A-C5F8-43B8-8282-6465631E342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47" authorId="122" shapeId="0" xr:uid="{4A07EF1B-EE53-49D6-82DD-F207617BAB4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48" authorId="123" shapeId="0" xr:uid="{F7A9C277-160A-478B-A789-3A1B5B72772E}">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48" authorId="124" shapeId="0" xr:uid="{E4CBEC7D-B6C2-4CA0-887C-7C2D5D5145C1}">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48" authorId="125" shapeId="0" xr:uid="{0BFF1D69-2161-42D2-B661-FFB64FF70AD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48" authorId="126" shapeId="0" xr:uid="{48B20588-DF0B-4770-BC4D-370302A4BA35}">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50" authorId="127" shapeId="0" xr:uid="{29E22F51-8BA7-4816-A493-2E5857F6617E}">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50" authorId="128" shapeId="0" xr:uid="{3207BB1D-7E87-439A-BB71-1BB55C74FEB0}">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50" authorId="129" shapeId="0" xr:uid="{D4D99250-2F60-4CBA-A4B7-833A08D9EB2F}">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50" authorId="130" shapeId="0" xr:uid="{76314281-463F-433F-9F44-1CF1662147D7}">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50" authorId="131" shapeId="0" xr:uid="{B126F81D-4D30-4833-973C-5ADA9828630B}">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51" authorId="132" shapeId="0" xr:uid="{57783C86-FA8F-4DDA-AB8D-7203CE323696}">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51" authorId="133" shapeId="0" xr:uid="{42FD79B3-E46C-4987-BB5F-E9837F18BBF9}">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51" authorId="134" shapeId="0" xr:uid="{587C2902-7E79-4A12-8050-8FD65BF4DB3F}">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51" authorId="135" shapeId="0" xr:uid="{2F469D76-6A56-4C9F-9E98-74B7468889DC}">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52" authorId="136" shapeId="0" xr:uid="{3AA8A122-84EA-48F2-95D7-AFDA76B9C23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53" authorId="137" shapeId="0" xr:uid="{0720D3F0-5D13-4E3A-9C8A-AC2798F80CC0}">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53" authorId="138" shapeId="0" xr:uid="{C66D43B9-21FB-448C-A8BD-AE6F7D318FD1}">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53" authorId="139" shapeId="0" xr:uid="{AC55261B-D310-4C43-B0CE-697BB9A7220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53" authorId="140" shapeId="0" xr:uid="{840D5E52-D2FF-4F94-B85B-902EFBF61E2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55" authorId="141" shapeId="0" xr:uid="{9A18813B-A692-43E4-A446-D661C1F12213}">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55" authorId="142" shapeId="0" xr:uid="{B6FFC7D5-05FD-426C-AA11-AB84803B9E84}">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55" authorId="143" shapeId="0" xr:uid="{A4055ECA-3773-4C92-AF07-AEB118F33CA2}">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55" authorId="144" shapeId="0" xr:uid="{ED7C5994-E07A-4222-B701-634DB8EE8FE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55" authorId="145" shapeId="0" xr:uid="{DF411D52-DD67-409D-96DD-8AB3EFD7A437}">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56" authorId="146" shapeId="0" xr:uid="{84B5B0BB-CC00-4740-820E-6D9F1AEF49F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56" authorId="147" shapeId="0" xr:uid="{E7C4D517-754B-420E-9E9C-F8E53ED0CC10}">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56" authorId="148" shapeId="0" xr:uid="{40E359BA-D4EF-4DAA-A430-A3DCF42063F8}">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56" authorId="149" shapeId="0" xr:uid="{9BD13D02-2D98-4963-A750-7734E35C69E3}">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57" authorId="150" shapeId="0" xr:uid="{F3618DB4-52F9-4807-ACE7-1BADFEC1AE4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58" authorId="151" shapeId="0" xr:uid="{A07D272D-A1E1-4AA3-B825-933B96B82CD7}">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58" authorId="152" shapeId="0" xr:uid="{F0AF6022-6604-4B11-B2C2-9EBA50C7A3E2}">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58" authorId="153" shapeId="0" xr:uid="{78D786BC-C327-4F53-A70C-DA9B070EEDB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58" authorId="154" shapeId="0" xr:uid="{BD4D9432-E8DF-477C-A803-447A35368AEC}">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60" authorId="155" shapeId="0" xr:uid="{9CA2F7A4-6EB6-41E4-8148-738A24BAF43A}">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60" authorId="156" shapeId="0" xr:uid="{ABFFBF6E-B69B-4380-A926-727606B78F99}">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60" authorId="157" shapeId="0" xr:uid="{A6DA57E4-459C-4351-B482-DA96963F1792}">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60" authorId="158" shapeId="0" xr:uid="{BECC6301-9D04-4C48-A16A-3813B52EB78B}">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60" authorId="159" shapeId="0" xr:uid="{DFCFBB7C-8122-4A18-9987-AC35D42024A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61" authorId="160" shapeId="0" xr:uid="{35735BD8-BA16-4ABD-B858-EE63C961A84E}">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61" authorId="161" shapeId="0" xr:uid="{EB60487D-DFE2-455D-BFE0-7ABCF9F74470}">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61" authorId="162" shapeId="0" xr:uid="{27AC1CB1-37F4-4B6A-9244-62141E0BC9B1}">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61" authorId="163" shapeId="0" xr:uid="{DBCE0602-3FE3-476F-8636-F1763A922778}">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62" authorId="164" shapeId="0" xr:uid="{2027ACE4-DE6F-4F7B-B594-D5D6910E927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63" authorId="165" shapeId="0" xr:uid="{55732413-236E-4FC3-8F99-E34D7F4EAA9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63" authorId="166" shapeId="0" xr:uid="{9E7B6A3E-E802-4A3D-8A49-E7CFFFF7183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63" authorId="167" shapeId="0" xr:uid="{9A661C00-01CF-4420-BABA-4802ACFAF2B6}">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63" authorId="168" shapeId="0" xr:uid="{4D2D3253-B87C-481D-90A0-941861F2A74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65" authorId="169" shapeId="0" xr:uid="{7ABE5C01-0D83-4083-90CA-0099B879795E}">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65" authorId="170" shapeId="0" xr:uid="{41C048F5-EF18-48D0-AC16-65B425C6CC43}">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65" authorId="171" shapeId="0" xr:uid="{A0F25587-075C-476C-9A68-3194DD3D6A9D}">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65" authorId="172" shapeId="0" xr:uid="{E083D634-4711-46D7-966C-9CF0A51561FA}">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65" authorId="173" shapeId="0" xr:uid="{ED2B9C4D-6729-4F92-93AE-6C9221DDB7A8}">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66" authorId="174" shapeId="0" xr:uid="{2D9A4027-953C-415A-9464-B54B6F0E83B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66" authorId="175" shapeId="0" xr:uid="{06D08F49-3A06-492A-9AB5-CBB53090F42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66" authorId="176" shapeId="0" xr:uid="{D2BC5171-615C-404A-9146-3992A48C486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66" authorId="177" shapeId="0" xr:uid="{18AAFA9E-1E2B-462D-AFEC-266869420FB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67" authorId="178" shapeId="0" xr:uid="{48FF088D-178A-41F9-B8E9-117D5ED0AC2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68" authorId="179" shapeId="0" xr:uid="{DDBBF4E6-3969-4DAD-992B-8325942F7D9B}">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68" authorId="180" shapeId="0" xr:uid="{98B9C0AE-80C4-46EF-9659-CCB4A2988C1A}">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68" authorId="181" shapeId="0" xr:uid="{BED2BB6E-2BD9-40C5-BE8E-23B68E1720D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68" authorId="182" shapeId="0" xr:uid="{CB6941DD-2808-4DB2-964E-713421D32802}">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70" authorId="183" shapeId="0" xr:uid="{A6DF1D2F-3458-43F0-8220-4159162C7260}">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70" authorId="184" shapeId="0" xr:uid="{B3B57E50-B5A7-491C-ADA5-662DCAA64A68}">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70" authorId="185" shapeId="0" xr:uid="{0997FF39-FB9A-47EB-BC0D-7C7597874A6F}">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70" authorId="186" shapeId="0" xr:uid="{070BCCF4-AEBB-43F4-92CD-0F5861500058}">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70" authorId="187" shapeId="0" xr:uid="{CD534583-0B5B-43A5-B699-3CEFAA6A15B8}">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71" authorId="188" shapeId="0" xr:uid="{FFFB118B-CF65-4141-A602-885B6FD9759A}">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71" authorId="189" shapeId="0" xr:uid="{290B45BC-46DD-4EC4-A9FA-CEEE8F282C4E}">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71" authorId="190" shapeId="0" xr:uid="{713D3F36-60DC-4498-9D84-70A6A2A61E57}">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71" authorId="191" shapeId="0" xr:uid="{360F152B-AF8C-4A02-9F04-ED088B4D8089}">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72" authorId="192" shapeId="0" xr:uid="{F29849BD-B81A-4450-AE50-C2C515C01151}">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73" authorId="193" shapeId="0" xr:uid="{29F22C7C-B821-4A96-996A-A59D1813CDD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73" authorId="194" shapeId="0" xr:uid="{2091E177-6B5F-42A9-ACF2-39B00491CE9F}">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73" authorId="195" shapeId="0" xr:uid="{5DD5DFAF-DDDB-4045-90D0-C2B39A3592B4}">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73" authorId="196" shapeId="0" xr:uid="{986BE52C-7A1A-4152-94A0-DC1054C5C325}">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75" authorId="197" shapeId="0" xr:uid="{DC24BB59-0081-4CFD-9706-AD94F1668D70}">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75" authorId="198" shapeId="0" xr:uid="{1F704FFA-6DA3-4C12-911B-F0582E1E2A47}">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75" authorId="199" shapeId="0" xr:uid="{831D23B3-2CF6-42E0-AE18-82DABAB0C05E}">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75" authorId="200" shapeId="0" xr:uid="{7830E41E-F7DC-4196-831E-82829C33B72D}">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75" authorId="201" shapeId="0" xr:uid="{89BA6E8D-A32A-443D-A827-C10616FAE6B3}">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76" authorId="202" shapeId="0" xr:uid="{D6959409-93C8-40DC-80C8-163AE160A8D0}">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76" authorId="203" shapeId="0" xr:uid="{2E6D6A30-381D-4759-A00E-5CC6F4A353F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76" authorId="204" shapeId="0" xr:uid="{990EDD77-A07D-4C76-AC23-9EEE3EE2831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76" authorId="205" shapeId="0" xr:uid="{4CF91E47-0075-4B6A-B26D-08EC49605DF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77" authorId="206" shapeId="0" xr:uid="{554602C2-B5EA-4902-B22F-0CBDEBFEC25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78" authorId="207" shapeId="0" xr:uid="{326FC076-1E47-48C9-BDAE-C349C8F4423D}">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78" authorId="208" shapeId="0" xr:uid="{305A0D06-0AF4-4FAC-91B9-30FB33D9ED81}">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78" authorId="209" shapeId="0" xr:uid="{C979DF33-D343-48A0-8C79-C8442778A29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78" authorId="210" shapeId="0" xr:uid="{A2325380-CCAC-486F-B579-213DC4238B7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80" authorId="211" shapeId="0" xr:uid="{EA3600A0-F3F0-4624-BEA5-53ADB025D0D1}">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80" authorId="212" shapeId="0" xr:uid="{38FEBB10-2888-4CA0-82EB-3A19C1ACB1BD}">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80" authorId="213" shapeId="0" xr:uid="{48EEFF4E-2AA7-43EC-BF14-43D9C338B162}">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80" authorId="214" shapeId="0" xr:uid="{DC675D1F-38BF-44DE-A068-8A83C0069476}">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80" authorId="215" shapeId="0" xr:uid="{13E94E97-CCC7-4A30-9E6F-230A74A9D9AC}">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81" authorId="216" shapeId="0" xr:uid="{5908C5E4-3658-4AC5-AD9B-042DF960ABD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81" authorId="217" shapeId="0" xr:uid="{E0FB8F40-E409-4979-AF8F-B42B77A032A9}">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81" authorId="218" shapeId="0" xr:uid="{9EB6B122-ADE3-4051-A5B4-5699090261B4}">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81" authorId="219" shapeId="0" xr:uid="{1C62128D-D059-4293-805C-67A72FD6C7D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82" authorId="220" shapeId="0" xr:uid="{3D28E77F-13B8-4A52-BF46-D1AF0CC5D18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83" authorId="221" shapeId="0" xr:uid="{1426BE62-E491-4C6F-9780-1D2B90B2A410}">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83" authorId="222" shapeId="0" xr:uid="{820EDEAD-F278-4789-9D93-B8BABDF9772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83" authorId="223" shapeId="0" xr:uid="{4A90FA51-5A47-4007-BF9D-27A5CB83EA76}">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83" authorId="224" shapeId="0" xr:uid="{FDE9B249-968D-4556-A877-1BD8B046ECD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85" authorId="225" shapeId="0" xr:uid="{6162E27B-324C-4983-9A68-8EDF1031A4E1}">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85" authorId="226" shapeId="0" xr:uid="{46047164-9A1A-4D45-93AC-881CE4AE86C0}">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85" authorId="227" shapeId="0" xr:uid="{DC056757-9549-42B2-B142-54BCD3F82E6D}">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85" authorId="228" shapeId="0" xr:uid="{E84CD75B-9D75-46B1-BE7D-52AB83DA5C0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85" authorId="229" shapeId="0" xr:uid="{CD00B3EF-737F-4C06-A9F6-F83D2DC56564}">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86" authorId="230" shapeId="0" xr:uid="{C129E73E-3AEA-408F-9C4E-44BD70A8953A}">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86" authorId="231" shapeId="0" xr:uid="{726734CB-E0C8-4D03-8059-A41AD3AE13E8}">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86" authorId="232" shapeId="0" xr:uid="{87816616-4285-4318-95E8-2BB52B43F5B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86" authorId="233" shapeId="0" xr:uid="{9C5ABF5B-E11B-46CA-9A73-6B960C44AD0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87" authorId="234" shapeId="0" xr:uid="{5938150C-CD4B-4D9D-9C46-15A5E5B9D9BA}">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88" authorId="235" shapeId="0" xr:uid="{3E65C437-EEE7-4E70-B87A-1ED74BAD0F0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88" authorId="236" shapeId="0" xr:uid="{BD252DB2-1846-4A3B-9821-2BCCDAD4428C}">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88" authorId="237" shapeId="0" xr:uid="{A6BAA759-C322-4D85-91FA-C342500A60AF}">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88" authorId="238" shapeId="0" xr:uid="{0DBC7BD8-CDCF-428F-8FE1-B2B5EE5FA54C}">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90" authorId="239" shapeId="0" xr:uid="{61CDEB58-046B-4DD0-A606-B97F61EBD549}">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90" authorId="240" shapeId="0" xr:uid="{42A82BE7-E371-4B94-AC96-267EAA149E39}">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90" authorId="241" shapeId="0" xr:uid="{5968BCF0-DD1C-4CB6-8186-6711D27615BA}">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90" authorId="242" shapeId="0" xr:uid="{1045F62E-1E3E-4F51-9CD7-6278A5AD0372}">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90" authorId="243" shapeId="0" xr:uid="{FA96F1A5-2661-48F2-927D-77AE8E9E7FD4}">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91" authorId="244" shapeId="0" xr:uid="{CE38D3B7-619D-4958-AE1F-C275AF140CD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91" authorId="245" shapeId="0" xr:uid="{77FCCCBA-E7D1-43C2-8BC8-E4F98B39D49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91" authorId="246" shapeId="0" xr:uid="{C87A70A2-4E1B-4D33-A726-7A6DDE264052}">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91" authorId="247" shapeId="0" xr:uid="{CA951967-BCD6-4978-84E4-EC20FAEDCF1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92" authorId="248" shapeId="0" xr:uid="{13A18FBA-1098-4226-A5F7-730C0D8116B4}">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93" authorId="249" shapeId="0" xr:uid="{6F5454F7-2B37-4DD1-85C2-D14A3788C83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93" authorId="250" shapeId="0" xr:uid="{36D5DFC3-C11B-4B4D-88D2-3DA87130EB0E}">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93" authorId="251" shapeId="0" xr:uid="{437F30D8-9978-4C75-95B6-70D8D602D270}">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93" authorId="252" shapeId="0" xr:uid="{CBE521A2-B98E-424C-B311-9C346D9E8CF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95" authorId="253" shapeId="0" xr:uid="{CCBCF408-CBC4-4C45-B640-10EBF2D09ADD}">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95" authorId="254" shapeId="0" xr:uid="{FAF66792-7F8F-42FA-8A23-76DAB2B2096E}">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95" authorId="255" shapeId="0" xr:uid="{17FAD06E-806E-47FF-B77B-8C90FCE99709}">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95" authorId="256" shapeId="0" xr:uid="{73D16665-6EA7-4489-849F-DF9A66C2CBD4}">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95" authorId="257" shapeId="0" xr:uid="{A1E4D1AA-D20A-495A-9296-877D265CE433}">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96" authorId="258" shapeId="0" xr:uid="{B409225A-2137-497B-A1E2-FB71D1C2723C}">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96" authorId="259" shapeId="0" xr:uid="{400C14A3-D056-4BD5-AC4F-2FD3D6B330D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96" authorId="260" shapeId="0" xr:uid="{3DD4B465-3510-4692-AF39-A4C60D43E2D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96" authorId="261" shapeId="0" xr:uid="{A27239B2-9D7E-43BD-8839-7F6E2F53C04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97" authorId="262" shapeId="0" xr:uid="{9BB31394-08BF-4BD6-8636-4E0BDE7AB4F5}">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98" authorId="263" shapeId="0" xr:uid="{71A266FC-CB1E-43D9-9D17-ADA7BF20BD63}">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98" authorId="264" shapeId="0" xr:uid="{A8579599-4CB3-4FDF-8573-3EAD0A84A7BC}">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98" authorId="265" shapeId="0" xr:uid="{16F03418-CD75-47B5-828A-03A4B545A597}">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98" authorId="266" shapeId="0" xr:uid="{4F9D7DB8-7BFE-4C6D-9ED3-21854CDC77A2}">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00" authorId="267" shapeId="0" xr:uid="{F2E51F8F-1361-4B6A-94D1-A8497A4BCDD6}">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00" authorId="268" shapeId="0" xr:uid="{031CC045-DE20-4DD8-B496-F8F4BC2C274F}">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00" authorId="269" shapeId="0" xr:uid="{E39105D0-58CB-4F17-930B-34E2E694F7F4}">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00" authorId="270" shapeId="0" xr:uid="{3B7ED558-3CB7-46D9-85ED-3A6D63B0F920}">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00" authorId="271" shapeId="0" xr:uid="{D43BE591-706B-44D6-848D-D3888A7910E9}">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01" authorId="272" shapeId="0" xr:uid="{397D1105-4C2D-4BE2-94E0-B36E4C78026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01" authorId="273" shapeId="0" xr:uid="{E9B38EB6-1368-4F92-BF2D-B47C4D8E733D}">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01" authorId="274" shapeId="0" xr:uid="{3C8A6B21-3AAD-4F3D-ADF8-B30AF018A347}">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01" authorId="275" shapeId="0" xr:uid="{69876E1D-77F4-4C24-B096-ED9A153BFC5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02" authorId="276" shapeId="0" xr:uid="{954650C7-A8CB-434E-8DE0-78F13AEFB8D2}">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103" authorId="277" shapeId="0" xr:uid="{B1801CAD-BF8A-40D7-AD30-0116587C526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03" authorId="278" shapeId="0" xr:uid="{DB622B78-88D5-4092-A21A-05504A114F0D}">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03" authorId="279" shapeId="0" xr:uid="{1483AC91-2904-42F2-950F-1A7B4BAA6B7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03" authorId="280" shapeId="0" xr:uid="{12D15EE5-0720-4DAD-9102-2B8BB82C2FB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05" authorId="281" shapeId="0" xr:uid="{D3058E28-D7C3-409A-931E-3A23980D4968}">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05" authorId="282" shapeId="0" xr:uid="{81F540A1-154C-4B71-98CC-E36CF55036BC}">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05" authorId="283" shapeId="0" xr:uid="{911D8F65-5D43-497F-A42C-51CEF2B3ABA4}">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05" authorId="284" shapeId="0" xr:uid="{D80DC4CF-BC0D-4D4B-A2DC-68B0417170BE}">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05" authorId="285" shapeId="0" xr:uid="{AEDDD75C-46C5-4FD5-8076-0D4E268D8CEA}">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06" authorId="286" shapeId="0" xr:uid="{01BBEE3F-BE7B-4849-BD94-06D04DCAD038}">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06" authorId="287" shapeId="0" xr:uid="{419B2262-E608-4DD1-88D1-2EF474694132}">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06" authorId="288" shapeId="0" xr:uid="{9BFE562C-F05A-4232-B686-283AD915D8ED}">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06" authorId="289" shapeId="0" xr:uid="{77026FC5-16CF-4524-B74B-EACDA9E4342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07" authorId="290" shapeId="0" xr:uid="{8BDE9BB4-F9CA-40C5-BCD5-BCCB5FB893B9}">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W108" authorId="291" shapeId="0" xr:uid="{8BA8361A-3F19-4204-B9B8-30756C657BC0}">
      <text>
        <t>[스레드 댓글]
사용 중인 버전의 Excel에서 이 스레드 댓글을 읽을 수 있지만 파일을 이후 버전의 Excel에서 열면 편집 내용이 모두 제거됩니다. 자세한 정보: https://go.microsoft.com/fwlink/?linkid=870924.
댓글:
    40% at DP</t>
      </text>
    </comment>
    <comment ref="AB108" authorId="292" shapeId="0" xr:uid="{ADA412D8-05DB-47D7-B661-2A746EA82CCF}">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08" authorId="293" shapeId="0" xr:uid="{6D4EE832-44F1-4DE2-B43F-AFD23AB1C5B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08" authorId="294" shapeId="0" xr:uid="{6517D70C-DAFA-4374-BDAF-2BC247EC71A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10" authorId="295" shapeId="0" xr:uid="{FBE7DB05-C055-4841-B40E-7ECB59CB40BC}">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10" authorId="296" shapeId="0" xr:uid="{F3E0D611-0AD5-4DB1-9799-F4893BABA697}">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10" authorId="297" shapeId="0" xr:uid="{03F4000E-52FA-48E5-8246-32544AEBB260}">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10" authorId="298" shapeId="0" xr:uid="{C8E3CA27-29A5-40E0-AE2F-71999C4590FC}">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10" authorId="299" shapeId="0" xr:uid="{79B357DC-18DF-4CCD-8D4A-CF495F505D5D}">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11" authorId="300" shapeId="0" xr:uid="{892DAEF0-64E2-4A23-AECB-CFF1CD2B1D19}">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11" authorId="301" shapeId="0" xr:uid="{65816CB6-1AEB-414F-82AF-E1447236856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11" authorId="302" shapeId="0" xr:uid="{D1ADF88B-9C06-409F-833E-350AFE417D76}">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11" authorId="303" shapeId="0" xr:uid="{4F0B3ABD-CE5E-47E5-9BF3-DEEB9914D30B}">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13" authorId="304" shapeId="0" xr:uid="{C23D09FE-9782-45CA-8C76-2CF288FE63A9}">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13" authorId="305" shapeId="0" xr:uid="{A7D6C8FB-4674-4C5A-9815-FA63551B50A0}">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13" authorId="306" shapeId="0" xr:uid="{55F7711A-A435-45C4-9FED-A558D3AECB9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13" authorId="307" shapeId="0" xr:uid="{A3BAFAA0-28E5-48AA-A240-BAA4254615B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15" authorId="308" shapeId="0" xr:uid="{CC2486BE-9D73-4F8A-B1BA-F9437580C7AA}">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15" authorId="309" shapeId="0" xr:uid="{A28572B1-FDD0-4479-A75B-DD91D147F0E9}">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15" authorId="310" shapeId="0" xr:uid="{57EB83EB-258E-4FB4-AF08-0C229B073DB3}">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15" authorId="311" shapeId="0" xr:uid="{20A5AA68-EF33-44CE-9213-7EDF35A83621}">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15" authorId="312" shapeId="0" xr:uid="{03B3754B-6890-4F27-BC37-2B1B4990BAE0}">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16" authorId="313" shapeId="0" xr:uid="{9AA87F78-DE38-4E57-904F-B16723A684B9}">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16" authorId="314" shapeId="0" xr:uid="{5C6E7074-7ECA-418F-BA5B-9A9F0947A460}">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16" authorId="315" shapeId="0" xr:uid="{B862BFFF-AFED-4682-AE41-53431691D8C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16" authorId="316" shapeId="0" xr:uid="{4A2931E5-E0C3-4A2D-916D-45297C3284A5}">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18" authorId="317" shapeId="0" xr:uid="{17C50E4D-2166-4555-9AE7-3107C1B07D58}">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18" authorId="318" shapeId="0" xr:uid="{39E1DDC1-5A66-4437-831E-80C05C773941}">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18" authorId="319" shapeId="0" xr:uid="{307DF05A-C9BE-4E4B-8425-DF5F1FFC7890}">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18" authorId="320" shapeId="0" xr:uid="{97DC8949-B3DE-4895-9940-D5C8D8C104A9}">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20" authorId="321" shapeId="0" xr:uid="{EFC4A50F-44D4-4169-9B8C-1C6B9014EBB2}">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20" authorId="322" shapeId="0" xr:uid="{3B803AE2-FB38-411C-86DA-1CEB19BBE082}">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20" authorId="323" shapeId="0" xr:uid="{6FAFEA5A-A50E-4651-9DB7-C5AA60303649}">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20" authorId="324" shapeId="0" xr:uid="{CA212B99-10D4-4D17-B028-19920618B5EE}">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20" authorId="325" shapeId="0" xr:uid="{3F324814-A05D-42CC-8CBA-D8AD67370A49}">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21" authorId="326" shapeId="0" xr:uid="{DEC90869-70DE-4A1D-B410-0988199F776F}">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21" authorId="327" shapeId="0" xr:uid="{ECCE5751-229E-41D8-A0CA-3198AD35A73F}">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21" authorId="328" shapeId="0" xr:uid="{038ED2CE-83A7-4113-9509-063178B4874E}">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21" authorId="329" shapeId="0" xr:uid="{FCA7362C-11D5-4D39-845C-71AC4862E63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23" authorId="330" shapeId="0" xr:uid="{75430070-7334-4BD2-8C3F-0A9E3D2935E4}">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23" authorId="331" shapeId="0" xr:uid="{6FB8D9F9-B684-4438-A579-B13E14BC34B2}">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23" authorId="332" shapeId="0" xr:uid="{A849CE03-6B05-4779-9D4B-BC452420886A}">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23" authorId="333" shapeId="0" xr:uid="{30B16E5E-F69F-4A9C-86CB-3F4F56DDBFA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25" authorId="334" shapeId="0" xr:uid="{E76897E5-4F58-450B-B3AB-B9F97A3A5C02}">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25" authorId="335" shapeId="0" xr:uid="{5DA30EE5-B657-4366-AC32-39A61C00B610}">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25" authorId="336" shapeId="0" xr:uid="{3D8076C5-2B08-4F41-A1E0-54EBCDF3F5E9}">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25" authorId="337" shapeId="0" xr:uid="{670C916E-A05A-43B5-A809-7EC300328C78}">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25" authorId="338" shapeId="0" xr:uid="{A77E8F12-FFB2-436D-8CF7-E0FA50268872}">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26" authorId="339" shapeId="0" xr:uid="{7100B467-9466-4D30-BE0A-3E8E4EFEE194}">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26" authorId="340" shapeId="0" xr:uid="{026ABE2A-C35E-43D8-855A-4E3CD9234260}">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26" authorId="341" shapeId="0" xr:uid="{84A8E273-0E21-467D-BDC3-D8FBCC73DE01}">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26" authorId="342" shapeId="0" xr:uid="{6E025324-463B-4907-9B6F-ACE61276F669}">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28" authorId="343" shapeId="0" xr:uid="{868FEE62-E1B5-48A3-A7A9-9866D69F2C9C}">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28" authorId="344" shapeId="0" xr:uid="{223FD02B-7965-45CA-82F1-BE08ECB0B6DB}">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28" authorId="345" shapeId="0" xr:uid="{0E729C59-EA1C-4EFA-BD67-6A88827940BD}">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28" authorId="346" shapeId="0" xr:uid="{0D24F8F8-EEDA-4AB9-A536-101C40FA9756}">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30" authorId="347" shapeId="0" xr:uid="{72F2C5B8-83D0-492E-8D8A-5B2EA2B15685}">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30" authorId="348" shapeId="0" xr:uid="{057830FA-950B-4245-A155-29C0924BCCE7}">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30" authorId="349" shapeId="0" xr:uid="{F80F3CA0-601D-49EC-BF9C-45EF76777035}">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30" authorId="350" shapeId="0" xr:uid="{8FD7EF69-84E5-401F-BB86-3158DEAB4D82}">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30" authorId="351" shapeId="0" xr:uid="{89C23A98-1464-4B52-A79B-6171BCFFAE7B}">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31" authorId="352" shapeId="0" xr:uid="{ED68F188-00AB-4848-8CB0-B312632EEC54}">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31" authorId="353" shapeId="0" xr:uid="{84B1F011-6AD6-4D61-923E-03616EF0A4C8}">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31" authorId="354" shapeId="0" xr:uid="{0CF9A6CB-3E64-4D5A-A3B8-C4980D5B2409}">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31" authorId="355" shapeId="0" xr:uid="{B544B0AE-C4B3-4F11-9B96-8E82CFF6D8D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33" authorId="356" shapeId="0" xr:uid="{ECEBC348-30B5-4471-BC3D-C9EA48D1E1D1}">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33" authorId="357" shapeId="0" xr:uid="{EF158F61-FBD6-4043-A4E9-1ACD16578BC9}">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33" authorId="358" shapeId="0" xr:uid="{597C14B3-C225-4B5F-A93C-C96380B436F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33" authorId="359" shapeId="0" xr:uid="{18ED6604-D867-4A6A-ACE3-8CBEF3757DF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35" authorId="360" shapeId="0" xr:uid="{ADD49F94-F91D-4005-96D0-800C8777F6E1}">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35" authorId="361" shapeId="0" xr:uid="{6D0A3BCA-05B8-49A5-A8A2-809CE61454DA}">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35" authorId="362" shapeId="0" xr:uid="{2DDE452E-D103-476B-8E6F-66F8D1D24AA2}">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35" authorId="363" shapeId="0" xr:uid="{67061CDA-8A26-4968-AAA9-FFA2E915C229}">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35" authorId="364" shapeId="0" xr:uid="{AFCD74C3-EEC5-4BA9-BE0F-F76AF46BF26D}">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36" authorId="365" shapeId="0" xr:uid="{43795600-3823-4116-BD5A-D90C74F92608}">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36" authorId="366" shapeId="0" xr:uid="{996B8EF0-55A9-4A62-A128-183E78BEFF0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36" authorId="367" shapeId="0" xr:uid="{626BD50A-3903-4130-9436-5EB8C667EC41}">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36" authorId="368" shapeId="0" xr:uid="{AA0E7F67-4DB0-4950-B841-4DF8E7D6D96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38" authorId="369" shapeId="0" xr:uid="{21C43391-E460-4BD4-A663-8C0F5EE1005F}">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38" authorId="370" shapeId="0" xr:uid="{491877AD-9896-405D-91B3-DB35934B506B}">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38" authorId="371" shapeId="0" xr:uid="{33652DAD-FFAB-406E-94E8-60F355D0069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38" authorId="372" shapeId="0" xr:uid="{9FC576FB-FC1B-443F-A2F1-F55D19FA47AD}">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40" authorId="373" shapeId="0" xr:uid="{AE10CC37-03C9-4E95-8EBB-2170B6F9BC52}">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40" authorId="374" shapeId="0" xr:uid="{FF2755E8-1DA8-4A8C-A265-615318B1DFCC}">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40" authorId="375" shapeId="0" xr:uid="{45B5AA37-EFC8-400F-92BE-DA3B3D404B6A}">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40" authorId="376" shapeId="0" xr:uid="{7BAFE3DB-D6A1-407C-A831-5EFF2CE74827}">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40" authorId="377" shapeId="0" xr:uid="{70226615-DD00-4D0D-B434-C8A2D0461755}">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41" authorId="378" shapeId="0" xr:uid="{75EB4019-6CF9-4C89-8012-A117A0F0A39D}">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41" authorId="379" shapeId="0" xr:uid="{7B3712ED-DBE1-4A07-828F-C093D5B561A9}">
      <text>
        <t>[스레드 댓글]
사용 중인 버전의 Excel에서 이 스레드 댓글을 읽을 수 있지만 파일을 이후 버전의 Excel에서 열면 편집 내용이 모두 제거됩니다. 자세한 정보: https://go.microsoft.com/fwlink/?linkid=870924.
댓글:
    20% at EBL
답글:
    Expected to obtain 7th May '25</t>
      </text>
    </comment>
    <comment ref="AE141" authorId="380" shapeId="0" xr:uid="{8F2CF16A-359E-4A03-B986-B1DA94BED34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41" authorId="381" shapeId="0" xr:uid="{63EB12F1-8649-458F-AF2A-7B4F7D9B090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43" authorId="382" shapeId="0" xr:uid="{247BCBC9-7FAB-4F95-940B-DFB25B864D4B}">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43" authorId="383" shapeId="0" xr:uid="{7B08C48D-4B20-4C24-B770-EEA1D1F60388}">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43" authorId="384" shapeId="0" xr:uid="{4E68F180-524E-4FEF-8C1D-D27A268C357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43" authorId="385" shapeId="0" xr:uid="{5A20172A-D699-45DF-A69B-F0542E2C4010}">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45" authorId="386" shapeId="0" xr:uid="{3944394C-EF97-48D9-8DED-85C5518731FA}">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45" authorId="387" shapeId="0" xr:uid="{24433057-6872-4CD2-831C-8ECDF42247F5}">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45" authorId="388" shapeId="0" xr:uid="{858AD462-1A7C-40B1-B0B1-AEC4B461B84B}">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45" authorId="389" shapeId="0" xr:uid="{8F699407-4F80-4645-B00A-B782930CA0B6}">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45" authorId="390" shapeId="0" xr:uid="{F579F291-9DB2-4418-9DA3-4CAF982B7ECA}">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46" authorId="391" shapeId="0" xr:uid="{8AF84550-6711-45B2-86C3-905431CEFE35}">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46" authorId="392" shapeId="0" xr:uid="{21B8D186-C408-4EF6-BD2E-7CE73D2F7FA3}">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46" authorId="393" shapeId="0" xr:uid="{56BCBB27-FF95-4FB7-B357-5D74EB97E612}">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46" authorId="394" shapeId="0" xr:uid="{DDD0FD99-B3EA-486F-BF0B-18B13661566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48" authorId="395" shapeId="0" xr:uid="{DED92EB8-E6C9-4CD5-A0E2-86C72363B58E}">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48" authorId="396" shapeId="0" xr:uid="{BF223CE8-42DC-4276-882D-6AD012AA4DFE}">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48" authorId="397" shapeId="0" xr:uid="{8277C8B4-83D8-4B07-BDED-31FF9012455B}">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48" authorId="398" shapeId="0" xr:uid="{76FF4F31-2C12-4AE4-BD66-FDE59081C3FE}">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50" authorId="399" shapeId="0" xr:uid="{D8C68F9C-02EB-4AEC-ACE3-78CDEA34BB8B}">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50" authorId="400" shapeId="0" xr:uid="{5EE9F13E-ECB6-421B-9855-7BE5700C670A}">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50" authorId="401" shapeId="0" xr:uid="{71082005-4033-4B24-9518-A182B5CAB7EF}">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50" authorId="402" shapeId="0" xr:uid="{B4D3FA10-AFF0-4138-AAFD-88C2DC8978A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50" authorId="403" shapeId="0" xr:uid="{D2198875-1173-4392-8971-B3B6D786096D}">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51" authorId="404" shapeId="0" xr:uid="{92E7ED28-B2D1-4941-9232-CD8F7192FBF4}">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51" authorId="405" shapeId="0" xr:uid="{EEA50B2C-6850-4F44-A2CD-5ACD10C69C0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51" authorId="406" shapeId="0" xr:uid="{A7B63FC4-8D7F-4697-88F7-23488A69BB4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51" authorId="407" shapeId="0" xr:uid="{E2982B55-B2DB-4ECD-8D72-57AE729E4947}">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53" authorId="408" shapeId="0" xr:uid="{23CE5CF3-C9D8-4AF7-BB3A-83C96E6D5BEC}">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53" authorId="409" shapeId="0" xr:uid="{DD95190E-602E-4608-9BD3-C0D2BB3A802C}">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53" authorId="410" shapeId="0" xr:uid="{FD5044BC-01CE-4E8D-8074-27B18964CA12}">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53" authorId="411" shapeId="0" xr:uid="{A69483C0-B5EB-4432-AFB7-4DEF48518513}">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55" authorId="412" shapeId="0" xr:uid="{D931CF5C-1972-466A-BD65-C2936707CED6}">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55" authorId="413" shapeId="0" xr:uid="{796141E4-658D-4103-A8AF-B20D0C7BE776}">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55" authorId="414" shapeId="0" xr:uid="{BB3B0C60-2C5B-40E9-B638-5D7B9F682ECF}">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55" authorId="415" shapeId="0" xr:uid="{16ED8C6E-E64F-4E3A-A32B-962B5F22CD2E}">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55" authorId="416" shapeId="0" xr:uid="{CDC547D8-D920-47C7-99D6-1EBA79221C25}">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56" authorId="417" shapeId="0" xr:uid="{0B2BDF19-7990-4976-A0CB-F0FFC0AB43DD}">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56" authorId="418" shapeId="0" xr:uid="{837B63EA-03ED-41C6-B855-5A5297433901}">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56" authorId="419" shapeId="0" xr:uid="{0BF3EF50-960E-470A-9B29-534DC12433B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56" authorId="420" shapeId="0" xr:uid="{13DC622E-E4CD-4C5E-9032-50014A41130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58" authorId="421" shapeId="0" xr:uid="{E61FC595-DB22-498F-8778-DE03D896F0FB}">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58" authorId="422" shapeId="0" xr:uid="{CE8D26BF-7783-42E9-8176-379D0BA9AA00}">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58" authorId="423" shapeId="0" xr:uid="{2BD8B260-13B4-4FDD-9137-B252C038C283}">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58" authorId="424" shapeId="0" xr:uid="{A78E751D-9D94-47EC-B599-09F1337338F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60" authorId="425" shapeId="0" xr:uid="{9675DBA8-AE97-4EAC-9574-A7E1700E6EE9}">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60" authorId="426" shapeId="0" xr:uid="{1AE287C1-DC9A-436C-8420-C2199F18D154}">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60" authorId="427" shapeId="0" xr:uid="{57E3998F-F563-41EB-8163-F60F15AFB912}">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60" authorId="428" shapeId="0" xr:uid="{EEDFC1CA-6778-4754-A03D-FE3A1A81E3E1}">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60" authorId="429" shapeId="0" xr:uid="{A554C2C7-F708-421F-B91C-692BADB46B5D}">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61" authorId="430" shapeId="0" xr:uid="{CE2A6EEB-46AB-4CEA-B598-81453630F928}">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61" authorId="431" shapeId="0" xr:uid="{C7D6B33C-E275-402E-8FF3-C2032908AE4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61" authorId="432" shapeId="0" xr:uid="{B9787564-46BB-428D-A6BC-2FCF2C50FFA7}">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61" authorId="433" shapeId="0" xr:uid="{A6B0361D-3674-47C4-8613-F7E7A7E0C63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63" authorId="434" shapeId="0" xr:uid="{E6285A81-E5BE-4AEC-80E3-04762E2DA9BA}">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63" authorId="435" shapeId="0" xr:uid="{8E34F523-8380-4D2D-BBB1-402C2C868A14}">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63" authorId="436" shapeId="0" xr:uid="{4F0593CE-110A-4084-ABB7-70C53ED5644E}">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63" authorId="437" shapeId="0" xr:uid="{078EABFD-ED96-4C21-8F92-B45860D1AA7F}">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65" authorId="438" shapeId="0" xr:uid="{BFF597EF-8785-4D22-BE51-D8227F166F3C}">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65" authorId="439" shapeId="0" xr:uid="{F48A0527-DFE9-4573-890B-8B8EAEA702FA}">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65" authorId="440" shapeId="0" xr:uid="{89822991-A7B4-4784-AEA6-B8397EF30BBF}">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65" authorId="441" shapeId="0" xr:uid="{29F825CA-935A-4F40-A794-3437626C6F2F}">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65" authorId="442" shapeId="0" xr:uid="{E5B0949F-11D9-4F9D-801F-CC54E2A01CB7}">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66" authorId="443" shapeId="0" xr:uid="{368E6AAC-6F76-4AEB-9F47-E633DD781583}">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66" authorId="444" shapeId="0" xr:uid="{142BEDC5-9338-4571-BC49-785893AE253F}">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66" authorId="445" shapeId="0" xr:uid="{946EFAB5-D858-4B34-9588-A23D998CBBD4}">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66" authorId="446" shapeId="0" xr:uid="{D248AF4F-D7CD-4805-A174-48B086F9104A}">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68" authorId="447" shapeId="0" xr:uid="{A599C3D4-43CD-4572-8294-14647E0FAC56}">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68" authorId="448" shapeId="0" xr:uid="{4EA46745-46F2-4DDA-845A-7ED5F77A0286}">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68" authorId="449" shapeId="0" xr:uid="{D8D10BD8-FC67-4FCA-B651-EB903DF04732}">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68" authorId="450" shapeId="0" xr:uid="{7648FB44-71FF-4EF3-B090-C02F6B2E90B4}">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69" authorId="451" shapeId="0" xr:uid="{A7F9EC3D-A7C8-45F7-A81C-AA5A74431AD8}">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W170" authorId="452" shapeId="0" xr:uid="{2CEED150-C88E-4E11-9ACA-F55A06A0E066}">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70" authorId="453" shapeId="0" xr:uid="{B330CC2B-5D3B-4A30-8358-7671811C747C}">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70" authorId="454" shapeId="0" xr:uid="{769F0245-DE96-45AE-8EA8-1248E7078EFA}">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70" authorId="455" shapeId="0" xr:uid="{3CF9C095-5A43-43B7-811D-51D5C709925D}">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70" authorId="456" shapeId="0" xr:uid="{1A9C787C-CB36-4B93-A51C-F1086AC9D5BF}">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71" authorId="457" shapeId="0" xr:uid="{9BE531BA-DC41-4F44-8A07-6B7E5282AB1F}">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71" authorId="458" shapeId="0" xr:uid="{747AC25E-95A9-4DD1-8915-D78C6889E87E}">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71" authorId="459" shapeId="0" xr:uid="{A1B3F9FC-4043-4A59-9CAF-BFCB44A6867F}">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71" authorId="460" shapeId="0" xr:uid="{0268E51F-422D-4EDD-9FAA-CCACA6E4EA3E}">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73" authorId="461" shapeId="0" xr:uid="{3D55E591-EBF3-4F9B-BC58-3F24F8ED3D7E}">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73" authorId="462" shapeId="0" xr:uid="{95093A89-CC11-4663-9815-374972317C15}">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73" authorId="463" shapeId="0" xr:uid="{968197D5-38C3-45CA-8762-62BCCE5349FD}">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73" authorId="464" shapeId="0" xr:uid="{8560527D-AE86-490A-B29D-604C31FAA021}">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74" authorId="465" shapeId="0" xr:uid="{11C7C80D-8485-40C1-A244-A9AC2523328C}">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W175" authorId="466" shapeId="0" xr:uid="{8878595B-52AB-4B9E-A3FE-527BA49961C7}">
      <text>
        <t>[스레드 댓글]
사용 중인 버전의 Excel에서 이 스레드 댓글을 읽을 수 있지만 파일을 이후 버전의 Excel에서 열면 편집 내용이 모두 제거됩니다. 자세한 정보: https://go.microsoft.com/fwlink/?linkid=870924.
댓글:
    10% at DP</t>
      </text>
    </comment>
    <comment ref="AB175" authorId="467" shapeId="0" xr:uid="{AB65AA94-C58C-4CCA-ACE6-DC82FA20C851}">
      <text>
        <t>[스레드 댓글]
사용 중인 버전의 Excel에서 이 스레드 댓글을 읽을 수 있지만 파일을 이후 버전의 Excel에서 열면 편집 내용이 모두 제거됩니다. 자세한 정보: https://go.microsoft.com/fwlink/?linkid=870924.
댓글:
    20% at NTP</t>
      </text>
    </comment>
    <comment ref="AE175" authorId="468" shapeId="0" xr:uid="{44B3E025-8F99-4D14-B4C6-ABBEBBDF8C55}">
      <text>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text>
    </comment>
    <comment ref="AH175" authorId="469" shapeId="0" xr:uid="{D58FF652-24B8-432C-AFC8-D66413B35302}">
      <text>
        <t>[스레드 댓글]
사용 중인 버전의 Excel에서 이 스레드 댓글을 읽을 수 있지만 파일을 이후 버전의 Excel에서 열면 편집 내용이 모두 제거됩니다. 자세한 정보: https://go.microsoft.com/fwlink/?linkid=870924.
댓글:
    25% at Pre-use inspection</t>
      </text>
    </comment>
    <comment ref="AK175" authorId="470" shapeId="0" xr:uid="{1221BEAD-7478-4FCB-8E02-451C05000F16}">
      <text>
        <t>[스레드 댓글]
사용 중인 버전의 Excel에서 이 스레드 댓글을 읽을 수 있지만 파일을 이후 버전의 Excel에서 열면 편집 내용이 모두 제거됩니다. 자세한 정보: https://go.microsoft.com/fwlink/?linkid=870924.
댓글:
    5% at COD</t>
      </text>
    </comment>
    <comment ref="W176" authorId="471" shapeId="0" xr:uid="{1299EA9E-43AE-49CE-96AD-3FBFACD2A218}">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76" authorId="472" shapeId="0" xr:uid="{3FC65BB6-235A-4790-A68D-9BDDDA739742}">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76" authorId="473" shapeId="0" xr:uid="{F09A5624-ACD5-4251-9363-08821B493ABC}">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76" authorId="474" shapeId="0" xr:uid="{CF45CC81-AF99-437A-AD41-0B6E2FADAC15}">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78" authorId="475" shapeId="0" xr:uid="{3491F89C-8ED2-4161-BFDC-EEC4941E355C}">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 ref="AB178" authorId="476" shapeId="0" xr:uid="{28CD668F-56A0-499A-8F38-7FA249E9156C}">
      <text>
        <t>[스레드 댓글]
사용 중인 버전의 Excel에서 이 스레드 댓글을 읽을 수 있지만 파일을 이후 버전의 Excel에서 열면 편집 내용이 모두 제거됩니다. 자세한 정보: https://go.microsoft.com/fwlink/?linkid=870924.
댓글:
    20% at EBL</t>
      </text>
    </comment>
    <comment ref="AE178" authorId="477" shapeId="0" xr:uid="{D10C1679-33CD-4F7D-8E4E-B9A27DF26A50}">
      <text>
        <t>[스레드 댓글]
사용 중인 버전의 Excel에서 이 스레드 댓글을 읽을 수 있지만 파일을 이후 버전의 Excel에서 열면 편집 내용이 모두 제거됩니다. 자세한 정보: https://go.microsoft.com/fwlink/?linkid=870924.
댓글:
    50% at DAP</t>
      </text>
    </comment>
    <comment ref="AH178" authorId="478" shapeId="0" xr:uid="{5B886175-8FF6-4D79-8D21-CE10B2747F63}">
      <text>
        <t>[스레드 댓글]
사용 중인 버전의 Excel에서 이 스레드 댓글을 읽을 수 있지만 파일을 이후 버전의 Excel에서 열면 편집 내용이 모두 제거됩니다. 자세한 정보: https://go.microsoft.com/fwlink/?linkid=870924.
댓글:
    10% at COD</t>
      </text>
    </comment>
    <comment ref="W179" authorId="479" shapeId="0" xr:uid="{4913824E-394F-4A5F-BE3B-0EDBC34720B2}">
      <text>
        <t>[스레드 댓글]
사용 중인 버전의 Excel에서 이 스레드 댓글을 읽을 수 있지만 파일을 이후 버전의 Excel에서 열면 편집 내용이 모두 제거됩니다. 자세한 정보: https://go.microsoft.com/fwlink/?linkid=870924.
댓글:
    20% at DP</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tc={020411BE-FF3A-44E6-9A82-A2A9EA06EFFE}</author>
    <author>tc={2FB1656A-7E17-4DB7-8A57-8881DACBE877}</author>
    <author>tc={8F910DA3-50BC-457E-93F5-857C3AE45640}</author>
    <author>tc={2B6ECBE9-1190-421A-B20D-2EBB5EE7E854}</author>
    <author>tc={E5FC713D-376C-442B-9B3E-E0A8C03689A6}</author>
    <author>tc={7B8DE223-5319-41F8-B6A3-59FBAB63B354}</author>
    <author>tc={12D975B6-1574-471E-94A6-C80AECC4CCF6}</author>
    <author>tc={91B8F3B8-467C-4181-89B2-7B8387049863}</author>
    <author>tc={43D1AA64-27E9-42C8-BE99-A0F7E66DC11B}</author>
    <author>tc={0A2F02C5-C0A5-4A61-B426-9F28455ECBC7}</author>
    <author>tc={C7AC8107-98A3-4555-8370-205566C0B9F0}</author>
    <author>tc={FE56A1C6-B7A8-4050-9116-9043A768E224}</author>
    <author>tc={6DD51201-5787-4866-994F-8FC92F5CD456}</author>
    <author>tc={CB2F58F5-EF15-40F5-BE62-6017E743569D}</author>
    <author>tc={06EC4FFC-BECF-4D7D-B2A2-16B811D1C488}</author>
    <author>tc={AED05475-2C08-4924-934C-7A935682A275}</author>
    <author>tc={2500E4E7-BE21-496C-8529-897052C493BB}</author>
    <author>tc={76EB6AEF-8EA7-43CF-A039-CF968480D012}</author>
    <author>tc={6899E4B1-891A-4071-B103-D1615B37E814}</author>
    <author>tc={534E78FA-BBA6-4CAD-A92A-C547BF031856}</author>
    <author>tc={9695EE95-D967-4A31-AF1A-41F027DF2A0E}</author>
    <author>tc={6E757BD9-42D3-4BCA-AB1B-315DDAF18392}</author>
    <author>tc={665419C3-17C0-4E7B-83F4-2C2472D6ABA6}</author>
    <author>tc={00DC166E-CE18-4176-ACB4-C6B5CDC52E86}</author>
    <author>tc={26A5624F-E0B9-4501-A545-DE864BCE1D19}</author>
    <author>tc={06AB6BA2-A46B-4266-B8BA-8D903A8FDF83}</author>
    <author>tc={CE8F7D99-3DB5-4079-99C2-3215ADF80BB2}</author>
    <author>tc={0F7C24B1-238B-4688-9DC2-5711A37F3DF4}</author>
    <author>tc={C72896C4-64E2-422A-AAE0-B51DD8B3AB05}</author>
    <author>tc={99DD9256-84DF-4D8F-AD8B-1ED958647D41}</author>
  </authors>
  <commentList>
    <comment ref="G2" authorId="0" shapeId="0" xr:uid="{020411BE-FF3A-44E6-9A82-A2A9EA06EFFE}">
      <text>
        <t>[스레드 댓글]
사용 중인 버전의 Excel에서 이 스레드 댓글을 읽을 수 있지만 파일을 이후 버전의 Excel에서 열면 편집 내용이 모두 제거됩니다. 자세한 정보: https://go.microsoft.com/fwlink/?linkid=870924.
댓글:
    각종 공사 착공 신고</t>
      </text>
    </comment>
    <comment ref="T2" authorId="1" shapeId="0" xr:uid="{2FB1656A-7E17-4DB7-8A57-8881DACBE877}">
      <text>
        <t>[스레드 댓글]
사용 중인 버전의 Excel에서 이 스레드 댓글을 읽을 수 있지만 파일을 이후 버전의 Excel에서 열면 편집 내용이 모두 제거됩니다. 자세한 정보: https://go.microsoft.com/fwlink/?linkid=870924.
댓글:
    KRW 40M/MW</t>
      </text>
    </comment>
    <comment ref="AU2" authorId="2" shapeId="0" xr:uid="{8F910DA3-50BC-457E-93F5-857C3AE45640}">
      <text>
        <t>[스레드 댓글]
사용 중인 버전의 Excel에서 이 스레드 댓글을 읽을 수 있지만 파일을 이후 버전의 Excel에서 열면 편집 내용이 모두 제거됩니다. 자세한 정보: https://go.microsoft.com/fwlink/?linkid=870924.
댓글:
    Expected production</t>
      </text>
    </comment>
    <comment ref="AO3" authorId="3" shapeId="0" xr:uid="{2B6ECBE9-1190-421A-B20D-2EBB5EE7E854}">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3" authorId="4" shapeId="0" xr:uid="{E5FC713D-376C-442B-9B3E-E0A8C03689A6}">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AO4" authorId="5" shapeId="0" xr:uid="{7B8DE223-5319-41F8-B6A3-59FBAB63B354}">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4" authorId="6" shapeId="0" xr:uid="{12D975B6-1574-471E-94A6-C80AECC4CCF6}">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AO5" authorId="7" shapeId="0" xr:uid="{91B8F3B8-467C-4181-89B2-7B8387049863}">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5" authorId="8" shapeId="0" xr:uid="{43D1AA64-27E9-42C8-BE99-A0F7E66DC11B}">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AO6" authorId="9" shapeId="0" xr:uid="{0A2F02C5-C0A5-4A61-B426-9F28455ECBC7}">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6" authorId="10" shapeId="0" xr:uid="{C7AC8107-98A3-4555-8370-205566C0B9F0}">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AO7" authorId="11" shapeId="0" xr:uid="{FE56A1C6-B7A8-4050-9116-9043A768E224}">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7" authorId="12" shapeId="0" xr:uid="{6DD51201-5787-4866-994F-8FC92F5CD456}">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AO8" authorId="13" shapeId="0" xr:uid="{CB2F58F5-EF15-40F5-BE62-6017E743569D}">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8" authorId="14" shapeId="0" xr:uid="{06EC4FFC-BECF-4D7D-B2A2-16B811D1C488}">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AO9" authorId="15" shapeId="0" xr:uid="{AED05475-2C08-4924-934C-7A935682A275}">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9" authorId="16" shapeId="0" xr:uid="{2500E4E7-BE21-496C-8529-897052C493BB}">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Z10" authorId="17" shapeId="0" xr:uid="{76EB6AEF-8EA7-43CF-A039-CF968480D012}">
      <text>
        <t>[스레드 댓글]
사용 중인 버전의 Excel에서 이 스레드 댓글을 읽을 수 있지만 파일을 이후 버전의 Excel에서 열면 편집 내용이 모두 제거됩니다. 자세한 정보: https://go.microsoft.com/fwlink/?linkid=870924.
댓글:
    Mountain 56 : 385㎡ - KRW 7,510/Pyeong &amp; #619: 8311㎡ - KRW 7,800/Pyeong</t>
      </text>
    </comment>
    <comment ref="AO10" authorId="18" shapeId="0" xr:uid="{6899E4B1-891A-4071-B103-D1615B37E814}">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10" authorId="19" shapeId="0" xr:uid="{534E78FA-BBA6-4CAD-A92A-C547BF031856}">
      <text>
        <t>[스레드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text>
    </comment>
    <comment ref="R11" authorId="20" shapeId="0" xr:uid="{9695EE95-D967-4A31-AF1A-41F027DF2A0E}">
      <text>
        <t>[스레드 댓글]
사용 중인 버전의 Excel에서 이 스레드 댓글을 읽을 수 있지만 파일을 이후 버전의 Excel에서 열면 편집 내용이 모두 제거됩니다. 자세한 정보: https://go.microsoft.com/fwlink/?linkid=870924.
댓글:
    Grid connection:2025</t>
      </text>
    </comment>
    <comment ref="R12" authorId="21" shapeId="0" xr:uid="{6E757BD9-42D3-4BCA-AB1B-315DDAF18392}">
      <text>
        <t>[스레드 댓글]
사용 중인 버전의 Excel에서 이 스레드 댓글을 읽을 수 있지만 파일을 이후 버전의 Excel에서 열면 편집 내용이 모두 제거됩니다. 자세한 정보: https://go.microsoft.com/fwlink/?linkid=870924.
댓글:
    Grid connection:2025</t>
      </text>
    </comment>
    <comment ref="R13" authorId="22" shapeId="0" xr:uid="{665419C3-17C0-4E7B-83F4-2C2472D6ABA6}">
      <text>
        <t>[스레드 댓글]
사용 중인 버전의 Excel에서 이 스레드 댓글을 읽을 수 있지만 파일을 이후 버전의 Excel에서 열면 편집 내용이 모두 제거됩니다. 자세한 정보: https://go.microsoft.com/fwlink/?linkid=870924.
댓글:
    Grid connection:2026</t>
      </text>
    </comment>
    <comment ref="R14" authorId="23" shapeId="0" xr:uid="{00DC166E-CE18-4176-ACB4-C6B5CDC52E86}">
      <text>
        <t>[스레드 댓글]
사용 중인 버전의 Excel에서 이 스레드 댓글을 읽을 수 있지만 파일을 이후 버전의 Excel에서 열면 편집 내용이 모두 제거됩니다. 자세한 정보: https://go.microsoft.com/fwlink/?linkid=870924.
댓글:
    Grid connection:2026</t>
      </text>
    </comment>
    <comment ref="R15" authorId="24" shapeId="0" xr:uid="{26A5624F-E0B9-4501-A545-DE864BCE1D19}">
      <text>
        <t>[스레드 댓글]
사용 중인 버전의 Excel에서 이 스레드 댓글을 읽을 수 있지만 파일을 이후 버전의 Excel에서 열면 편집 내용이 모두 제거됩니다. 자세한 정보: https://go.microsoft.com/fwlink/?linkid=870924.
댓글:
    Grid connection:2026</t>
      </text>
    </comment>
    <comment ref="R16" authorId="25" shapeId="0" xr:uid="{06AB6BA2-A46B-4266-B8BA-8D903A8FDF83}">
      <text>
        <t>[스레드 댓글]
사용 중인 버전의 Excel에서 이 스레드 댓글을 읽을 수 있지만 파일을 이후 버전의 Excel에서 열면 편집 내용이 모두 제거됩니다. 자세한 정보: https://go.microsoft.com/fwlink/?linkid=870924.
댓글:
    Grid connection:2026</t>
      </text>
    </comment>
    <comment ref="R17" authorId="26" shapeId="0" xr:uid="{CE8F7D99-3DB5-4079-99C2-3215ADF80BB2}">
      <text>
        <t>[스레드 댓글]
사용 중인 버전의 Excel에서 이 스레드 댓글을 읽을 수 있지만 파일을 이후 버전의 Excel에서 열면 편집 내용이 모두 제거됩니다. 자세한 정보: https://go.microsoft.com/fwlink/?linkid=870924.
댓글:
    Grid connection:2027</t>
      </text>
    </comment>
    <comment ref="R18" authorId="27" shapeId="0" xr:uid="{0F7C24B1-238B-4688-9DC2-5711A37F3DF4}">
      <text>
        <t>[스레드 댓글]
사용 중인 버전의 Excel에서 이 스레드 댓글을 읽을 수 있지만 파일을 이후 버전의 Excel에서 열면 편집 내용이 모두 제거됩니다. 자세한 정보: https://go.microsoft.com/fwlink/?linkid=870924.
댓글:
    Grid connection:2027</t>
      </text>
    </comment>
    <comment ref="R19" authorId="28" shapeId="0" xr:uid="{C72896C4-64E2-422A-AAE0-B51DD8B3AB05}">
      <text>
        <t>[스레드 댓글]
사용 중인 버전의 Excel에서 이 스레드 댓글을 읽을 수 있지만 파일을 이후 버전의 Excel에서 열면 편집 내용이 모두 제거됩니다. 자세한 정보: https://go.microsoft.com/fwlink/?linkid=870924.
댓글:
    Grid connection:2027</t>
      </text>
    </comment>
    <comment ref="R20" authorId="29" shapeId="0" xr:uid="{99DD9256-84DF-4D8F-AD8B-1ED958647D41}">
      <text>
        <t>[스레드 댓글]
사용 중인 버전의 Excel에서 이 스레드 댓글을 읽을 수 있지만 파일을 이후 버전의 Excel에서 열면 편집 내용이 모두 제거됩니다. 자세한 정보: https://go.microsoft.com/fwlink/?linkid=870924.
댓글:
    Grid connection:2027</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tc={97253432-E53F-4B80-B073-A4FF241B20A6}</author>
    <author>tc={DEDF5C86-7918-41BB-8FA8-5A22B31F17F8}</author>
    <author>tc={F7A13B4B-3573-4D57-9EDE-EB5566333B25}</author>
    <author>tc={800F88B5-D26B-49D5-96B8-90F4DCB3E19E}</author>
  </authors>
  <commentList>
    <comment ref="E2" authorId="0" shapeId="0" xr:uid="{97253432-E53F-4B80-B073-A4FF241B20A6}">
      <text>
        <t>[스레드 댓글]
사용 중인 버전의 Excel에서 이 스레드 댓글을 읽을 수 있지만 파일을 이후 버전의 Excel에서 열면 편집 내용이 모두 제거됩니다. 자세한 정보: https://go.microsoft.com/fwlink/?linkid=870924.
댓글:
    각종 공사 착공 신고</t>
      </text>
    </comment>
    <comment ref="T2" authorId="1" shapeId="0" xr:uid="{DEDF5C86-7918-41BB-8FA8-5A22B31F17F8}">
      <text>
        <t>[스레드 댓글]
사용 중인 버전의 Excel에서 이 스레드 댓글을 읽을 수 있지만 파일을 이후 버전의 Excel에서 열면 편집 내용이 모두 제거됩니다. 자세한 정보: https://go.microsoft.com/fwlink/?linkid=870924.
댓글:
    20Milion KRW Per MW</t>
      </text>
    </comment>
    <comment ref="AY2" authorId="2" shapeId="0" xr:uid="{F7A13B4B-3573-4D57-9EDE-EB5566333B25}">
      <text>
        <t>[스레드 댓글]
사용 중인 버전의 Excel에서 이 스레드 댓글을 읽을 수 있지만 파일을 이후 버전의 Excel에서 열면 편집 내용이 모두 제거됩니다. 자세한 정보: https://go.microsoft.com/fwlink/?linkid=870924.
댓글:
    Expected production</t>
      </text>
    </comment>
    <comment ref="AB10" authorId="3" shapeId="0" xr:uid="{800F88B5-D26B-49D5-96B8-90F4DCB3E19E}">
      <text>
        <t>[스레드 댓글]
사용 중인 버전의 Excel에서 이 스레드 댓글을 읽을 수 있지만 파일을 이후 버전의 Excel에서 열면 편집 내용이 모두 제거됩니다. 자세한 정보: https://go.microsoft.com/fwlink/?linkid=870924.
댓글:
    Mountain 56 : 385㎡ - KRW 7,510/Pyeong &amp; #619: 8311㎡ - KRW 7,800/Pyeong</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tc={9AC764C5-95AB-4978-9569-7FF187FEDD49}</author>
    <author>tc={1A9E0878-734F-41E5-B1DF-00322DA575CB}</author>
    <author>tc={145E615D-AA6D-48AF-AD1B-C448C85820DD}</author>
  </authors>
  <commentList>
    <comment ref="G2" authorId="0" shapeId="0" xr:uid="{9AC764C5-95AB-4978-9569-7FF187FEDD49}">
      <text>
        <t>[스레드 댓글]
사용 중인 버전의 Excel에서 이 스레드 댓글을 읽을 수 있지만 파일을 이후 버전의 Excel에서 열면 편집 내용이 모두 제거됩니다. 자세한 정보: https://go.microsoft.com/fwlink/?linkid=870924.
댓글:
    각종 공사 착공 신고</t>
      </text>
    </comment>
    <comment ref="U2" authorId="1" shapeId="0" xr:uid="{1A9E0878-734F-41E5-B1DF-00322DA575CB}">
      <text>
        <t>[스레드 댓글]
사용 중인 버전의 Excel에서 이 스레드 댓글을 읽을 수 있지만 파일을 이후 버전의 Excel에서 열면 편집 내용이 모두 제거됩니다. 자세한 정보: https://go.microsoft.com/fwlink/?linkid=870924.
댓글:
    20Milion KRW Per MW</t>
      </text>
    </comment>
    <comment ref="AZ2" authorId="2" shapeId="0" xr:uid="{145E615D-AA6D-48AF-AD1B-C448C85820DD}">
      <text>
        <t>[스레드 댓글]
사용 중인 버전의 Excel에서 이 스레드 댓글을 읽을 수 있지만 파일을 이후 버전의 Excel에서 열면 편집 내용이 모두 제거됩니다. 자세한 정보: https://go.microsoft.com/fwlink/?linkid=870924.
댓글:
    Expected production</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tc={F423D085-100F-460A-8697-2BA21D5F2356}</author>
    <author>tc={96BA7183-8D88-4428-B415-45B278835C01}</author>
    <author>tc={1BBA56F4-BD2D-4CC0-B692-095639784E17}</author>
    <author>tc={4E98D738-240D-44A9-9468-63254577927F}</author>
    <author>tc={25C68F21-2A41-4E0E-9C1C-184E3639B241}</author>
    <author>tc={AC6DD1C5-EEBC-4802-8554-EAF3105C588D}</author>
  </authors>
  <commentList>
    <comment ref="AC3" authorId="0" shapeId="0" xr:uid="{F423D085-100F-460A-8697-2BA21D5F2356}">
      <text>
        <t>[스레드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text>
    </comment>
    <comment ref="AC4" authorId="1" shapeId="0" xr:uid="{96BA7183-8D88-4428-B415-45B278835C01}">
      <text>
        <t>[스레드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text>
    </comment>
    <comment ref="Z5" authorId="2" shapeId="0" xr:uid="{1BBA56F4-BD2D-4CC0-B692-095639784E17}">
      <text>
        <t>[스레드 댓글]
사용 중인 버전의 Excel에서 이 스레드 댓글을 읽을 수 있지만 파일을 이후 버전의 Excel에서 열면 편집 내용이 모두 제거됩니다. 자세한 정보: https://go.microsoft.com/fwlink/?linkid=870924.
댓글:
    Conditionally authorized</t>
      </text>
    </comment>
    <comment ref="AC5" authorId="3" shapeId="0" xr:uid="{4E98D738-240D-44A9-9468-63254577927F}">
      <text>
        <t>[스레드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text>
    </comment>
    <comment ref="AC6" authorId="4" shapeId="0" xr:uid="{25C68F21-2A41-4E0E-9C1C-184E3639B241}">
      <text>
        <t>[스레드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text>
    </comment>
    <comment ref="AC7" authorId="5" shapeId="0" xr:uid="{AC6DD1C5-EEBC-4802-8554-EAF3105C588D}">
      <text>
        <t>[스레드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tc={52075D84-759E-4C64-BCBB-C2E97BD9BE5B}</author>
  </authors>
  <commentList>
    <comment ref="AA11" authorId="0" shapeId="0" xr:uid="{52075D84-759E-4C64-BCBB-C2E97BD9BE5B}">
      <text>
        <t>[스레드 댓글]
사용 중인 버전의 Excel에서 이 스레드 댓글을 읽을 수 있지만 파일을 이후 버전의 Excel에서 열면 편집 내용이 모두 제거됩니다. 자세한 정보: https://go.microsoft.com/fwlink/?linkid=870924.
댓글:
    KRW 35,000,000 for 5years then KRW 40,000,000 after 6th year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tc={A486DC7B-A2C7-4ECC-BB91-D15207871DF0}</author>
    <author>tc={B1ABF23F-23E5-4F00-8665-E53AD6FA39A3}</author>
    <author>tc={42589E7C-5162-4084-AA8F-75B6C26FFD59}</author>
    <author>tc={F47CC302-471A-4640-A1F8-15D7881D2150}</author>
  </authors>
  <commentList>
    <comment ref="F2" authorId="0" shapeId="0" xr:uid="{A486DC7B-A2C7-4ECC-BB91-D15207871DF0}">
      <text>
        <t>[스레드 댓글]
사용 중인 버전의 Excel에서 이 스레드 댓글을 읽을 수 있지만 파일을 이후 버전의 Excel에서 열면 편집 내용이 모두 제거됩니다. 자세한 정보: https://go.microsoft.com/fwlink/?linkid=870924.
댓글:
    각종 공사 착공 신고</t>
      </text>
    </comment>
    <comment ref="T2" authorId="1" shapeId="0" xr:uid="{B1ABF23F-23E5-4F00-8665-E53AD6FA39A3}">
      <text>
        <t>[스레드 댓글]
사용 중인 버전의 Excel에서 이 스레드 댓글을 읽을 수 있지만 파일을 이후 버전의 Excel에서 열면 편집 내용이 모두 제거됩니다. 자세한 정보: https://go.microsoft.com/fwlink/?linkid=870924.
댓글:
    20Milion KRW Per MW</t>
      </text>
    </comment>
    <comment ref="AM2" authorId="2" shapeId="0" xr:uid="{42589E7C-5162-4084-AA8F-75B6C26FFD59}">
      <text>
        <t>[스레드 댓글]
사용 중인 버전의 Excel에서 이 스레드 댓글을 읽을 수 있지만 파일을 이후 버전의 Excel에서 열면 편집 내용이 모두 제거됩니다. 자세한 정보: https://go.microsoft.com/fwlink/?linkid=870924.
댓글:
    =영업비</t>
      </text>
    </comment>
    <comment ref="AX2" authorId="3" shapeId="0" xr:uid="{F47CC302-471A-4640-A1F8-15D7881D2150}">
      <text>
        <t>[스레드 댓글]
사용 중인 버전의 Excel에서 이 스레드 댓글을 읽을 수 있지만 파일을 이후 버전의 Excel에서 열면 편집 내용이 모두 제거됩니다. 자세한 정보: https://go.microsoft.com/fwlink/?linkid=870924.
댓글:
    Expected production</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tc={7FCB5EC9-CBE2-48F2-8056-E795097EF170}</author>
    <author>tc={7C20AFD2-E9AD-48A3-8B2C-5D47FBCFFBA5}</author>
    <author>tc={69ADC3BE-1130-4E19-822F-B0B0C40144DE}</author>
    <author>tc={A886AEC3-B6DE-4DF5-9E75-AE762E20FE4E}</author>
    <author>tc={48959E50-827F-4D2F-BAB3-18C84789E610}</author>
    <author>tc={4F457D0E-88F7-4762-A35E-D6D7F532F696}</author>
    <author>tc={CFCE69B6-6645-43CF-B5D5-F67701C2C4D5}</author>
    <author>tc={E86ADD4D-B67A-40EF-8613-9186A635221B}</author>
    <author>tc={D9472DE8-7EFB-4CFB-881A-02E6A235F8C9}</author>
    <author>tc={4DFE2077-82E1-4678-BAD6-FEED8F010353}</author>
    <author>tc={EB6A105F-C800-47F5-B42A-79CE56D19DA3}</author>
    <author>tc={48B8DF87-8790-4821-B64F-9417CB183752}</author>
    <author>tc={93B9F940-2938-4BB2-A9CD-61967B73B6E0}</author>
  </authors>
  <commentList>
    <comment ref="F2" authorId="0" shapeId="0" xr:uid="{7FCB5EC9-CBE2-48F2-8056-E795097EF170}">
      <text>
        <t>[스레드 댓글]
사용 중인 버전의 Excel에서 이 스레드 댓글을 읽을 수 있지만 파일을 이후 버전의 Excel에서 열면 편집 내용이 모두 제거됩니다. 자세한 정보: https://go.microsoft.com/fwlink/?linkid=870924.
댓글:
    각종 공사 착공 신고</t>
      </text>
    </comment>
    <comment ref="U2" authorId="1" shapeId="0" xr:uid="{7C20AFD2-E9AD-48A3-8B2C-5D47FBCFFBA5}">
      <text>
        <t>[스레드 댓글]
사용 중인 버전의 Excel에서 이 스레드 댓글을 읽을 수 있지만 파일을 이후 버전의 Excel에서 열면 편집 내용이 모두 제거됩니다. 자세한 정보: https://go.microsoft.com/fwlink/?linkid=870924.
댓글:
    20Milion KRW Per MW</t>
      </text>
    </comment>
    <comment ref="AZ2" authorId="2" shapeId="0" xr:uid="{69ADC3BE-1130-4E19-822F-B0B0C40144DE}">
      <text>
        <t>[스레드 댓글]
사용 중인 버전의 Excel에서 이 스레드 댓글을 읽을 수 있지만 파일을 이후 버전의 Excel에서 열면 편집 내용이 모두 제거됩니다. 자세한 정보: https://go.microsoft.com/fwlink/?linkid=870924.
댓글:
    Expected production</t>
      </text>
    </comment>
    <comment ref="AG3" authorId="3" shapeId="0" xr:uid="{A886AEC3-B6DE-4DF5-9E75-AE762E20FE4E}">
      <text>
        <t>[스레드 댓글]
사용 중인 버전의 Excel에서 이 스레드 댓글을 읽을 수 있지만 파일을 이후 버전의 Excel에서 열면 편집 내용이 모두 제거됩니다. 자세한 정보: https://go.microsoft.com/fwlink/?linkid=870924.
댓글:
    Forest: 12,363, Farmland 5,954</t>
      </text>
    </comment>
    <comment ref="AP3" authorId="4" shapeId="0" xr:uid="{48959E50-827F-4D2F-BAB3-18C84789E610}">
      <text>
        <t>[스레드 댓글]
사용 중인 버전의 Excel에서 이 스레드 댓글을 읽을 수 있지만 파일을 이후 버전의 Excel에서 열면 편집 내용이 모두 제거됩니다. 자세한 정보: https://go.microsoft.com/fwlink/?linkid=870924.
댓글:
    Reflected as the amount of the lease consolidation fee of "GM_1.8 MW" in the budget sheet</t>
      </text>
    </comment>
    <comment ref="AR3" authorId="5" shapeId="0" xr:uid="{4F457D0E-88F7-4762-A35E-D6D7F532F696}">
      <text>
        <t>[스레드 댓글]
사용 중인 버전의 Excel에서 이 스레드 댓글을 읽을 수 있지만 파일을 이후 버전의 Excel에서 열면 편집 내용이 모두 제거됩니다. 자세한 정보: https://go.microsoft.com/fwlink/?linkid=870924.
댓글:
    Reflected as the permit amount of "ref-GM" on the budget sheet</t>
      </text>
    </comment>
    <comment ref="AS3" authorId="6" shapeId="0" xr:uid="{CFCE69B6-6645-43CF-B5D5-F67701C2C4D5}">
      <text>
        <t>[스레드 댓글]
사용 중인 버전의 Excel에서 이 스레드 댓글을 읽을 수 있지만 파일을 이후 버전의 Excel에서 열면 편집 내용이 모두 제거됩니다. 자세한 정보: https://go.microsoft.com/fwlink/?linkid=870924.
댓글:
    Reflected as EPC amount of "GM_1.8MW" in budget sheet</t>
      </text>
    </comment>
    <comment ref="AQ9" authorId="7" shapeId="0" xr:uid="{E86ADD4D-B67A-40EF-8613-9186A635221B}">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10" authorId="8" shapeId="0" xr:uid="{D9472DE8-7EFB-4CFB-881A-02E6A235F8C9}">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Q11" authorId="9" shapeId="0" xr:uid="{4DFE2077-82E1-4678-BAD6-FEED8F010353}">
      <text>
        <t>[스레드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text>
    </comment>
    <comment ref="AN70" authorId="10" shapeId="0" xr:uid="{EB6A105F-C800-47F5-B42A-79CE56D19DA3}">
      <text>
        <t>[스레드 댓글]
사용 중인 버전의 Excel에서 이 스레드 댓글을 읽을 수 있지만 파일을 이후 버전의 Excel에서 열면 편집 내용이 모두 제거됩니다. 자세한 정보: https://go.microsoft.com/fwlink/?linkid=870924.
댓글:
    Apply Land depot related cost in "Wind 98MW, M&amp;A98MW" sheet of budget sheet</t>
      </text>
    </comment>
    <comment ref="AP70" authorId="11" shapeId="0" xr:uid="{48B8DF87-8790-4821-B64F-9417CB183752}">
      <text>
        <t>[스레드 댓글]
사용 중인 버전의 Excel에서 이 스레드 댓글을 읽을 수 있지만 파일을 이후 버전의 Excel에서 열면 편집 내용이 모두 제거됩니다. 자세한 정보: https://go.microsoft.com/fwlink/?linkid=870924.
댓글:
    Apply EBL related cost in "Wind 98MW, M&amp;A98MW" sheet of budget sheet</t>
      </text>
    </comment>
    <comment ref="AQ70" authorId="12" shapeId="0" xr:uid="{93B9F940-2938-4BB2-A9CD-61967B73B6E0}">
      <text>
        <t>[스레드 댓글]
사용 중인 버전의 Excel에서 이 스레드 댓글을 읽을 수 있지만 파일을 이후 버전의 Excel에서 열면 편집 내용이 모두 제거됩니다. 자세한 정보: https://go.microsoft.com/fwlink/?linkid=870924.
댓글:
    EPC is set at KRW 2,400,000,000 per MW and reflected</t>
      </text>
    </comment>
  </commentList>
</comments>
</file>

<file path=xl/sharedStrings.xml><?xml version="1.0" encoding="utf-8"?>
<sst xmlns="http://schemas.openxmlformats.org/spreadsheetml/2006/main" count="10016" uniqueCount="2805">
  <si>
    <t>Unit KRW</t>
  </si>
  <si>
    <t>Phase 1</t>
  </si>
  <si>
    <t>Paid amount for each site</t>
  </si>
  <si>
    <t>Total Paid amount</t>
  </si>
  <si>
    <t>김한용</t>
  </si>
  <si>
    <t>드림1</t>
  </si>
  <si>
    <t>드림2</t>
  </si>
  <si>
    <t>제일테크1</t>
  </si>
  <si>
    <t>제일테크2</t>
  </si>
  <si>
    <t>이홍연</t>
  </si>
  <si>
    <t>가시솔라1 (오은주)</t>
  </si>
  <si>
    <t>가시솔라2 (오은주)</t>
  </si>
  <si>
    <t>행원햇빛</t>
  </si>
  <si>
    <t>와이제이 수산</t>
  </si>
  <si>
    <t>Phase 2</t>
  </si>
  <si>
    <t>Divide for Phase 1</t>
    <phoneticPr fontId="19" type="noConversion"/>
  </si>
  <si>
    <t>Amount of Divided into 5</t>
  </si>
  <si>
    <t>빛나리2</t>
  </si>
  <si>
    <t>빛나리3</t>
  </si>
  <si>
    <t>빛나리4</t>
  </si>
  <si>
    <t>빛나리7</t>
  </si>
  <si>
    <t>흥산2 (김명현)</t>
  </si>
  <si>
    <t xml:space="preserve">와이제이 덕천 </t>
  </si>
  <si>
    <t xml:space="preserve">   Korea Weekly Update</t>
  </si>
  <si>
    <t>SN</t>
  </si>
  <si>
    <t>Subject</t>
  </si>
  <si>
    <t>Discription</t>
  </si>
  <si>
    <t>Political Environment Update</t>
  </si>
  <si>
    <t>a. The Prime Minister is in power, the President is being slowly removed from his functions and the former Minister of Defense jailed. The country is likely to be preparing for elections in 2025 and few is expected from the government side in terms of new policies. This is basically a frozen environment. However, in the beginning of next year 2 major things are expected on REN side: grid release schedule and PPA price adjustment for DG.</t>
  </si>
  <si>
    <t>KEPCO / Grid availability</t>
  </si>
  <si>
    <t>a.	Grid release tips this week shows 1.3GW of grid release in Honam and Jeju regions announcement in January 2025. Originated plans to look after a few more ground PV from the pipeline that had secured GIA to add 3 to 5 MW to Batch 1 and 2 and completed a 21MW+ GM PV batch overall.</t>
  </si>
  <si>
    <t>b.	More GW are expected to be released in 2026 as MoTIE extended the period of construction to frozen projects having received connection to YE 2025. Meaning many projects with limited capital may be on sale in 2025.</t>
  </si>
  <si>
    <t>4MWp PPA at 180won/KRW</t>
  </si>
  <si>
    <t>a.	RWE Energy Trading reached out to Originated to get an urgent 4MWp RtB available for cPPA for one of their coal power producer clients. The expected price per MWh is said to be 180,000KRW (EUR120)</t>
  </si>
  <si>
    <t>b.	Detailed meeting about contracting planned on Dec. 30th.</t>
  </si>
  <si>
    <t xml:space="preserve">   Outstanding by year end</t>
  </si>
  <si>
    <t>Project</t>
  </si>
  <si>
    <t>What to do next</t>
  </si>
  <si>
    <t>Ground mounted Batch 1: 8MW</t>
  </si>
  <si>
    <t>a. EPC contract
b. pre-PPA binding contract
c. KEPCO grid release date</t>
  </si>
  <si>
    <t>Ground mounted Batch 2: 6.8MW</t>
  </si>
  <si>
    <t>a. APA x 6 / SPA x 4
b. LDD and taxation DD final
c. 4MWp PPA with RWE @ 180KRW/kWh
d. Transfer of c. 2m EUR</t>
    <phoneticPr fontId="19" type="noConversion"/>
  </si>
  <si>
    <t>DG organic 3.633MW (+8MW tender)</t>
  </si>
  <si>
    <t>a. SPA completed
b. Approval of 3.2MW
c. Sign lease
d. Transfer of 20% DEVEX to Solar City
e. (Tender 8MW DG Port Kukyang Logitek)</t>
  </si>
  <si>
    <t>Wind 37.2MW</t>
  </si>
  <si>
    <t>a. NBO
b. LDD, Technical DD, Texation DD
c. SPA/SHA/DSA
d. Site extension + 37.2MW</t>
  </si>
  <si>
    <t>Conclusion Korea on the map with 55.7 locked in pipeline for construction in 2025 18.5MW and development 37.2MW.
Next lock in campaign: + 13.8MW of DG in pipeline to be locked in by end of January 2025.</t>
  </si>
  <si>
    <t>Phase 1</t>
    <phoneticPr fontId="85" type="noConversion"/>
  </si>
  <si>
    <t>[단위 : 원]</t>
    <phoneticPr fontId="85" type="noConversion"/>
  </si>
  <si>
    <t>구분</t>
    <phoneticPr fontId="85" type="noConversion"/>
  </si>
  <si>
    <t>지급일자</t>
    <phoneticPr fontId="85" type="noConversion"/>
  </si>
  <si>
    <t>YJ NANSAN1</t>
    <phoneticPr fontId="85" type="noConversion"/>
  </si>
  <si>
    <t>YJ NANSAN2</t>
    <phoneticPr fontId="85" type="noConversion"/>
  </si>
  <si>
    <t>YJ GASI1</t>
    <phoneticPr fontId="85" type="noConversion"/>
  </si>
  <si>
    <t>YJ GASI2</t>
    <phoneticPr fontId="85" type="noConversion"/>
  </si>
  <si>
    <t>Dream1</t>
    <phoneticPr fontId="85" type="noConversion"/>
  </si>
  <si>
    <t>Dream2</t>
    <phoneticPr fontId="85" type="noConversion"/>
  </si>
  <si>
    <t>Jeil Tech1</t>
    <phoneticPr fontId="85" type="noConversion"/>
  </si>
  <si>
    <t>Jeil Tech2</t>
    <phoneticPr fontId="85" type="noConversion"/>
  </si>
  <si>
    <t>합계</t>
    <phoneticPr fontId="85" type="noConversion"/>
  </si>
  <si>
    <t>발전용량(kw)</t>
    <phoneticPr fontId="85" type="noConversion"/>
  </si>
  <si>
    <t>입금액(EUR)</t>
    <phoneticPr fontId="85" type="noConversion"/>
  </si>
  <si>
    <t>전체금액</t>
    <phoneticPr fontId="85" type="noConversion"/>
  </si>
  <si>
    <t>추가입금액 (10%)</t>
    <phoneticPr fontId="85" type="noConversion"/>
  </si>
  <si>
    <t>입금 금액</t>
    <phoneticPr fontId="85" type="noConversion"/>
  </si>
  <si>
    <t>잔금</t>
    <phoneticPr fontId="85" type="noConversion"/>
  </si>
  <si>
    <t>입금처</t>
    <phoneticPr fontId="85" type="noConversion"/>
  </si>
  <si>
    <t>YJ SOLAR CO.LTD</t>
    <phoneticPr fontId="85" type="noConversion"/>
  </si>
  <si>
    <t>KIM HAN YONG</t>
    <phoneticPr fontId="85" type="noConversion"/>
  </si>
  <si>
    <t>LEE SU KYUNG</t>
    <phoneticPr fontId="85" type="noConversion"/>
  </si>
  <si>
    <t>KIM JUNG HEE</t>
    <phoneticPr fontId="85" type="noConversion"/>
  </si>
  <si>
    <t>JEIL TECH CO.LTD</t>
    <phoneticPr fontId="85" type="noConversion"/>
  </si>
  <si>
    <t>이홍연</t>
    <phoneticPr fontId="85" type="noConversion"/>
  </si>
  <si>
    <t>김한용</t>
    <phoneticPr fontId="85" type="noConversion"/>
  </si>
  <si>
    <t xml:space="preserve"> </t>
    <phoneticPr fontId="85" type="noConversion"/>
  </si>
  <si>
    <t>Phase 2</t>
    <phoneticPr fontId="85" type="noConversion"/>
  </si>
  <si>
    <t>Hangwon Hatbit PV</t>
    <phoneticPr fontId="85" type="noConversion"/>
  </si>
  <si>
    <t>YJ SUSAN PV</t>
    <phoneticPr fontId="85" type="noConversion"/>
  </si>
  <si>
    <t>Gasi Solar 1PV</t>
    <phoneticPr fontId="85" type="noConversion"/>
  </si>
  <si>
    <t>Gasi Solar 2PV</t>
    <phoneticPr fontId="85" type="noConversion"/>
  </si>
  <si>
    <t>Bitnari 2</t>
    <phoneticPr fontId="85" type="noConversion"/>
  </si>
  <si>
    <t>Bitnari 3</t>
    <phoneticPr fontId="85" type="noConversion"/>
  </si>
  <si>
    <t>Bitnari 4</t>
    <phoneticPr fontId="85" type="noConversion"/>
  </si>
  <si>
    <t>Bitnari 7</t>
    <phoneticPr fontId="85" type="noConversion"/>
  </si>
  <si>
    <t>Heungsan 2 PV</t>
    <phoneticPr fontId="85" type="noConversion"/>
  </si>
  <si>
    <t>YJ DUCKHUN</t>
    <phoneticPr fontId="85" type="noConversion"/>
  </si>
  <si>
    <t>OH EUN JU</t>
    <phoneticPr fontId="85" type="noConversion"/>
  </si>
  <si>
    <t>KIM MYUNG HYUN</t>
    <phoneticPr fontId="85" type="noConversion"/>
  </si>
  <si>
    <t>▶ 작성 내용</t>
    <phoneticPr fontId="19" type="noConversion"/>
  </si>
  <si>
    <t>1. Pipeline에 있는 각 Project 별 내용을 SPV별로 나눠 관리를 하기 위해 SPV별로 정리</t>
    <phoneticPr fontId="19" type="noConversion"/>
  </si>
  <si>
    <t>2. 승인 받은 DG (Liquidity projection for April &amp; May 2025) 관련 내용을 근거로 작성(지급일자)</t>
    <phoneticPr fontId="19" type="noConversion"/>
  </si>
  <si>
    <t xml:space="preserve">   - 지급일자 4월로 승인받았으나 자금 지급이 늦어짐으로 4월을 5월로 지급하는 일정으로 작성 됨</t>
    <phoneticPr fontId="19" type="noConversion"/>
  </si>
  <si>
    <t>▶ 지급일자 확인</t>
    <phoneticPr fontId="19" type="noConversion"/>
  </si>
  <si>
    <t>1. 지급일자는 DEVEX 추가 지급 일정이 확정 됐을때 자료 보완 필요(계속적인 업데이트 필요)</t>
    <phoneticPr fontId="19" type="noConversion"/>
  </si>
  <si>
    <t xml:space="preserve">  - SPV 별 자금 현황 확인 및 Broker(솔라시티, 에너지플랜 등)과 협의 후 일정 업데이트</t>
    <phoneticPr fontId="19" type="noConversion"/>
  </si>
  <si>
    <t>▶Project 추가 여부</t>
    <phoneticPr fontId="19" type="noConversion"/>
  </si>
  <si>
    <t>1. 그린볼트 승인 및 자금 투여 시 해당 SPV에 추가 업데이트 진행</t>
    <phoneticPr fontId="19" type="noConversion"/>
  </si>
  <si>
    <t>2. 현 추가 사업자등록 완료 된 4,5,8,9,10호의 사업자도 추가 진행 가능</t>
    <phoneticPr fontId="19" type="noConversion"/>
  </si>
  <si>
    <t>NO</t>
    <phoneticPr fontId="19" type="noConversion"/>
  </si>
  <si>
    <t>Name of Project</t>
    <phoneticPr fontId="19" type="noConversion"/>
  </si>
  <si>
    <t>Capacity (kWp)</t>
    <phoneticPr fontId="85" type="noConversion"/>
  </si>
  <si>
    <t>Broker</t>
    <phoneticPr fontId="19" type="noConversion"/>
  </si>
  <si>
    <t>Expenditure Categories</t>
    <phoneticPr fontId="85" type="noConversion"/>
  </si>
  <si>
    <t>Total Amount</t>
    <phoneticPr fontId="85" type="noConversion"/>
  </si>
  <si>
    <t>10% VAT 
of Total Amount</t>
    <phoneticPr fontId="85" type="noConversion"/>
  </si>
  <si>
    <t>Total Amount 
+ 
10% VAT</t>
    <phoneticPr fontId="85" type="noConversion"/>
  </si>
  <si>
    <t>Current Payment Status</t>
    <phoneticPr fontId="19" type="noConversion"/>
  </si>
  <si>
    <t>Milestone 1</t>
    <phoneticPr fontId="85" type="noConversion"/>
  </si>
  <si>
    <t>Milestone 2</t>
    <phoneticPr fontId="85" type="noConversion"/>
  </si>
  <si>
    <t>Milestone 3</t>
  </si>
  <si>
    <t>Milestone 4</t>
  </si>
  <si>
    <t>Milestone 5</t>
  </si>
  <si>
    <t>Milestone 6</t>
  </si>
  <si>
    <t>Milestone 7</t>
  </si>
  <si>
    <t>Check.</t>
    <phoneticPr fontId="19" type="noConversion"/>
  </si>
  <si>
    <t>%</t>
    <phoneticPr fontId="19" type="noConversion"/>
  </si>
  <si>
    <t>Paid Amount
(KRW)</t>
    <phoneticPr fontId="19" type="noConversion"/>
  </si>
  <si>
    <t>Total Unpaid Amount</t>
    <phoneticPr fontId="19" type="noConversion"/>
  </si>
  <si>
    <t>scheduled Date to Paid</t>
    <phoneticPr fontId="19" type="noConversion"/>
  </si>
  <si>
    <t>Date to Paid</t>
    <phoneticPr fontId="19" type="noConversion"/>
  </si>
  <si>
    <t>scheduled Paid Amount</t>
    <phoneticPr fontId="19" type="noConversion"/>
  </si>
  <si>
    <t>Paid Amount</t>
    <phoneticPr fontId="19" type="noConversion"/>
  </si>
  <si>
    <t>Unpaid Amount</t>
    <phoneticPr fontId="19" type="noConversion"/>
  </si>
  <si>
    <t>content</t>
    <phoneticPr fontId="19" type="noConversion"/>
  </si>
  <si>
    <t>Solar city</t>
    <phoneticPr fontId="19" type="noConversion"/>
  </si>
  <si>
    <t>CAPEX</t>
    <phoneticPr fontId="85" type="noConversion"/>
  </si>
  <si>
    <t>DEVEX</t>
    <phoneticPr fontId="85" type="noConversion"/>
  </si>
  <si>
    <t>Land Purchase</t>
    <phoneticPr fontId="85" type="noConversion"/>
  </si>
  <si>
    <t>Brokerage+Finder fee</t>
    <phoneticPr fontId="19" type="noConversion"/>
  </si>
  <si>
    <t>Pre-payment  Amount</t>
  </si>
  <si>
    <t>Total</t>
    <phoneticPr fontId="19" type="noConversion"/>
  </si>
  <si>
    <t>[Unit : KRW, EUR]</t>
    <phoneticPr fontId="74" type="noConversion"/>
  </si>
  <si>
    <t>SPV</t>
    <phoneticPr fontId="74" type="noConversion"/>
  </si>
  <si>
    <t>Name of Project</t>
    <phoneticPr fontId="74" type="noConversion"/>
  </si>
  <si>
    <t>DEVEX per kWp</t>
    <phoneticPr fontId="74" type="noConversion"/>
  </si>
  <si>
    <t>Capacity (kWp)</t>
    <phoneticPr fontId="74" type="noConversion"/>
  </si>
  <si>
    <t>Total amount to be settled</t>
    <phoneticPr fontId="74" type="noConversion"/>
  </si>
  <si>
    <t>Amount scheduled to be paid in Jul. to Aug.</t>
    <phoneticPr fontId="74" type="noConversion"/>
  </si>
  <si>
    <t>Total</t>
    <phoneticPr fontId="74" type="noConversion"/>
  </si>
  <si>
    <t>Paid</t>
    <phoneticPr fontId="74" type="noConversion"/>
  </si>
  <si>
    <t>Balance on Jul. 21, 2025</t>
    <phoneticPr fontId="74" type="noConversion"/>
  </si>
  <si>
    <t>Jul.</t>
    <phoneticPr fontId="74" type="noConversion"/>
  </si>
  <si>
    <t>Aug.</t>
    <phoneticPr fontId="74" type="noConversion"/>
  </si>
  <si>
    <t>Sep.</t>
    <phoneticPr fontId="74" type="noConversion"/>
  </si>
  <si>
    <r>
      <t xml:space="preserve">Amount scheduled to be paid in Aug. to Sep.
</t>
    </r>
    <r>
      <rPr>
        <b/>
        <sz val="10"/>
        <color rgb="FFFF0000"/>
        <rFont val="Calibri"/>
        <family val="2"/>
      </rPr>
      <t>(2nd Drawdown Amount)</t>
    </r>
    <phoneticPr fontId="74" type="noConversion"/>
  </si>
  <si>
    <t>Oct.</t>
    <phoneticPr fontId="74" type="noConversion"/>
  </si>
  <si>
    <t>After Oct.</t>
    <phoneticPr fontId="74" type="noConversion"/>
  </si>
  <si>
    <t>Review</t>
    <phoneticPr fontId="74" type="noConversion"/>
  </si>
  <si>
    <t>Date</t>
    <phoneticPr fontId="74" type="noConversion"/>
  </si>
  <si>
    <t>Payment</t>
    <phoneticPr fontId="74" type="noConversion"/>
  </si>
  <si>
    <t>Bolt Taeyanggwang 1HO</t>
    <phoneticPr fontId="19" type="noConversion"/>
  </si>
  <si>
    <t>YJ NANSAN 1</t>
  </si>
  <si>
    <t>YJ NANSAN 2</t>
  </si>
  <si>
    <t>YJ GASI 1</t>
  </si>
  <si>
    <t>YJ GASI 2</t>
  </si>
  <si>
    <t>Dream 1</t>
  </si>
  <si>
    <t>Dream 2</t>
  </si>
  <si>
    <t>JEIL TECH 1</t>
  </si>
  <si>
    <t>JEIL TECH 2</t>
  </si>
  <si>
    <t>Jangchon 1 (APA)</t>
  </si>
  <si>
    <t>Soltop Masan 1 (APA)</t>
  </si>
  <si>
    <t>Hanil Mugok 15 (APA)</t>
  </si>
  <si>
    <t>Hanil Jigyeong 1 (APA)</t>
  </si>
  <si>
    <t>Hanil Jigyeong 2 (APA)</t>
  </si>
  <si>
    <t>Ho Duck4 (APA)</t>
  </si>
  <si>
    <t>Galsan (SPA)</t>
  </si>
  <si>
    <t>Mineuri (SPA)</t>
  </si>
  <si>
    <t>Saegol (SPA)</t>
  </si>
  <si>
    <t>Jaesan (SPA)</t>
  </si>
  <si>
    <t>POS-1</t>
    <phoneticPr fontId="19" type="noConversion"/>
  </si>
  <si>
    <t>POS-3</t>
    <phoneticPr fontId="19" type="noConversion"/>
  </si>
  <si>
    <t>POS-4</t>
    <phoneticPr fontId="19" type="noConversion"/>
  </si>
  <si>
    <t>POS-8</t>
    <phoneticPr fontId="19" type="noConversion"/>
  </si>
  <si>
    <t>Balance by SPV</t>
  </si>
  <si>
    <t>Currency</t>
    <phoneticPr fontId="74" type="noConversion"/>
  </si>
  <si>
    <t xml:space="preserve">KRW </t>
    <phoneticPr fontId="74" type="noConversion"/>
  </si>
  <si>
    <t>Bolt Taeyanggwang 1HO</t>
    <phoneticPr fontId="74" type="noConversion"/>
  </si>
  <si>
    <t>KRW</t>
    <phoneticPr fontId="74" type="noConversion"/>
  </si>
  <si>
    <t>EUR</t>
    <phoneticPr fontId="74" type="noConversion"/>
  </si>
  <si>
    <t>KRW Total</t>
    <phoneticPr fontId="74" type="noConversion"/>
  </si>
  <si>
    <t>Exchange</t>
    <phoneticPr fontId="74" type="noConversion"/>
  </si>
  <si>
    <t>SPV Name</t>
    <phoneticPr fontId="19" type="noConversion"/>
  </si>
  <si>
    <t>Business 
License
Number</t>
    <phoneticPr fontId="19" type="noConversion"/>
  </si>
  <si>
    <t>388-86-03459</t>
    <phoneticPr fontId="19" type="noConversion"/>
  </si>
  <si>
    <t>Corporate
Registry Number</t>
    <phoneticPr fontId="19" type="noConversion"/>
  </si>
  <si>
    <t>110111-9077515</t>
    <phoneticPr fontId="19" type="noConversion"/>
  </si>
  <si>
    <t>SPV Address</t>
    <phoneticPr fontId="19" type="noConversion"/>
  </si>
  <si>
    <t>#214, 42, Eonju-ro 147-gil, Gangnam-gu, Seoul, Korea</t>
    <phoneticPr fontId="19" type="noConversion"/>
  </si>
  <si>
    <t>Project 
Tech.</t>
    <phoneticPr fontId="19" type="noConversion"/>
  </si>
  <si>
    <t>GM_Batch1,2, DG_M&amp;A</t>
    <phoneticPr fontId="19" type="noConversion"/>
  </si>
  <si>
    <t>Bank &amp; 
Bank account Number</t>
    <phoneticPr fontId="19" type="noConversion"/>
  </si>
  <si>
    <t>KB Bank : 096301-04-103314</t>
    <phoneticPr fontId="19" type="noConversion"/>
  </si>
  <si>
    <t>[Unit : KRW, EUR / 1EUR=1,470KRW]</t>
    <phoneticPr fontId="74" type="noConversion"/>
  </si>
  <si>
    <t>Batch</t>
    <phoneticPr fontId="74" type="noConversion"/>
  </si>
  <si>
    <t>CAPEX per kWp</t>
    <phoneticPr fontId="74" type="noConversion"/>
  </si>
  <si>
    <t>Paid
(By Aug. 31, 2025)</t>
    <phoneticPr fontId="74" type="noConversion"/>
  </si>
  <si>
    <t>Balance on Aug. 20, 2025</t>
    <phoneticPr fontId="74" type="noConversion"/>
  </si>
  <si>
    <r>
      <t xml:space="preserve">Amount scheduled to be paid in Oct. to After Oct.
</t>
    </r>
    <r>
      <rPr>
        <b/>
        <sz val="10"/>
        <color rgb="FFFF0000"/>
        <rFont val="Calibri"/>
        <family val="2"/>
      </rPr>
      <t>(3rd Drawdown Amount)</t>
    </r>
    <phoneticPr fontId="74" type="noConversion"/>
  </si>
  <si>
    <t>Nov.</t>
    <phoneticPr fontId="74" type="noConversion"/>
  </si>
  <si>
    <t>After Nov.</t>
    <phoneticPr fontId="74" type="noConversion"/>
  </si>
  <si>
    <t>GM_Batch1</t>
    <phoneticPr fontId="19" type="noConversion"/>
  </si>
  <si>
    <t>GM_Batch2 APA</t>
    <phoneticPr fontId="19" type="noConversion"/>
  </si>
  <si>
    <t>GM_Batch2 SPA</t>
    <phoneticPr fontId="19" type="noConversion"/>
  </si>
  <si>
    <t>DG_M&amp;A_SPA_POSN</t>
    <phoneticPr fontId="19" type="noConversion"/>
  </si>
  <si>
    <t>GM_Batch1,2</t>
    <phoneticPr fontId="19" type="noConversion"/>
  </si>
  <si>
    <t>30% of CAPEX</t>
    <phoneticPr fontId="19" type="noConversion"/>
  </si>
  <si>
    <t>40% of CAPEX</t>
    <phoneticPr fontId="19" type="noConversion"/>
  </si>
  <si>
    <t>Milestone 3</t>
    <phoneticPr fontId="19" type="noConversion"/>
  </si>
  <si>
    <t>Milestone 4</t>
    <phoneticPr fontId="19" type="noConversion"/>
  </si>
  <si>
    <t>Milestone 8</t>
  </si>
  <si>
    <t>YJ NANSAN 1</t>
    <phoneticPr fontId="19" type="noConversion"/>
  </si>
  <si>
    <t>YJ NANSAN 2</t>
    <phoneticPr fontId="19" type="noConversion"/>
  </si>
  <si>
    <t>YJ GASI 1</t>
    <phoneticPr fontId="19" type="noConversion"/>
  </si>
  <si>
    <t>YJ GASI 2</t>
    <phoneticPr fontId="19" type="noConversion"/>
  </si>
  <si>
    <t>Dream 1</t>
    <phoneticPr fontId="19" type="noConversion"/>
  </si>
  <si>
    <t>Dream 2</t>
    <phoneticPr fontId="19" type="noConversion"/>
  </si>
  <si>
    <t>JEIL TECH 1</t>
    <phoneticPr fontId="19" type="noConversion"/>
  </si>
  <si>
    <t>JEIL TECH 2</t>
    <phoneticPr fontId="19" type="noConversion"/>
  </si>
  <si>
    <t>Total Amount 
(Direct transfer, No VAT)</t>
    <phoneticPr fontId="85" type="noConversion"/>
  </si>
  <si>
    <t>estimated date of transfer</t>
    <phoneticPr fontId="19" type="noConversion"/>
  </si>
  <si>
    <t>Jangchon 1 (APA)</t>
    <phoneticPr fontId="19" type="noConversion"/>
  </si>
  <si>
    <t>Soltop Masan 1 (APA)</t>
    <phoneticPr fontId="19" type="noConversion"/>
  </si>
  <si>
    <t>Hanil Mugok 15 (APA)</t>
    <phoneticPr fontId="19" type="noConversion"/>
  </si>
  <si>
    <t>Hanil Jigyeong 1 (APA)</t>
    <phoneticPr fontId="19" type="noConversion"/>
  </si>
  <si>
    <t>Hanil Jigyeong 2 (APA)</t>
    <phoneticPr fontId="19" type="noConversion"/>
  </si>
  <si>
    <t>Ho Duck4 (APA)</t>
    <phoneticPr fontId="19" type="noConversion"/>
  </si>
  <si>
    <t>Galsan (SPA)</t>
    <phoneticPr fontId="19" type="noConversion"/>
  </si>
  <si>
    <t>Mineuri (SPA)</t>
    <phoneticPr fontId="19" type="noConversion"/>
  </si>
  <si>
    <t>Jaesan (SPA)</t>
    <phoneticPr fontId="19" type="noConversion"/>
  </si>
  <si>
    <t>지급해야할 잔여금액</t>
    <phoneticPr fontId="19" type="noConversion"/>
  </si>
  <si>
    <t>전력연결비용</t>
    <phoneticPr fontId="19" type="noConversion"/>
  </si>
  <si>
    <t>선납임대료</t>
    <phoneticPr fontId="19" type="noConversion"/>
  </si>
  <si>
    <t>지급한 비용</t>
    <phoneticPr fontId="19" type="noConversion"/>
  </si>
  <si>
    <t>잔여 취득 금액</t>
    <phoneticPr fontId="19" type="noConversion"/>
  </si>
  <si>
    <t>공사 시작 시(20%)</t>
    <phoneticPr fontId="19" type="noConversion"/>
  </si>
  <si>
    <t>OK</t>
    <phoneticPr fontId="19" type="noConversion"/>
  </si>
  <si>
    <t>COD(10%)</t>
    <phoneticPr fontId="19" type="noConversion"/>
  </si>
  <si>
    <r>
      <t xml:space="preserve">GM_Batch2 broker Fee </t>
    </r>
    <r>
      <rPr>
        <sz val="10"/>
        <color theme="1"/>
        <rFont val="맑은 고딕"/>
        <family val="2"/>
        <charset val="129"/>
      </rPr>
      <t>지급 계획</t>
    </r>
    <phoneticPr fontId="19" type="noConversion"/>
  </si>
  <si>
    <t>Milestone 2</t>
  </si>
  <si>
    <t>Beginning of July</t>
    <phoneticPr fontId="19" type="noConversion"/>
  </si>
  <si>
    <t>Feb. 2026</t>
    <phoneticPr fontId="19" type="noConversion"/>
  </si>
  <si>
    <t>Jun. 2026</t>
    <phoneticPr fontId="19" type="noConversion"/>
  </si>
  <si>
    <t>Jul. 2026</t>
    <phoneticPr fontId="19" type="noConversion"/>
  </si>
  <si>
    <t>Mar. 2026</t>
    <phoneticPr fontId="19" type="noConversion"/>
  </si>
  <si>
    <t>Aug. 2026</t>
    <phoneticPr fontId="19" type="noConversion"/>
  </si>
  <si>
    <t>Sep. 2025</t>
    <phoneticPr fontId="19" type="noConversion"/>
  </si>
  <si>
    <t>Oct. 2025</t>
    <phoneticPr fontId="19" type="noConversion"/>
  </si>
  <si>
    <t>Jan. 2026</t>
    <phoneticPr fontId="19" type="noConversion"/>
  </si>
  <si>
    <t>Apr. 2026</t>
    <phoneticPr fontId="19" type="noConversion"/>
  </si>
  <si>
    <t>May. 2026</t>
    <phoneticPr fontId="19" type="noConversion"/>
  </si>
  <si>
    <t>APA Total</t>
    <phoneticPr fontId="19" type="noConversion"/>
  </si>
  <si>
    <t>SPA Total</t>
    <phoneticPr fontId="19" type="noConversion"/>
  </si>
  <si>
    <t>APA + SPA Total</t>
    <phoneticPr fontId="19" type="noConversion"/>
  </si>
  <si>
    <t>*</t>
    <phoneticPr fontId="19" type="noConversion"/>
  </si>
  <si>
    <t>Once SPA's brokerage condition fulfilled, SPA's and APA's Milestone 1 would be paid at once - agreed by broker</t>
    <phoneticPr fontId="19" type="noConversion"/>
  </si>
  <si>
    <t>난산</t>
    <phoneticPr fontId="19" type="noConversion"/>
  </si>
  <si>
    <t>가사</t>
    <phoneticPr fontId="19" type="noConversion"/>
  </si>
  <si>
    <t>첫달</t>
    <phoneticPr fontId="19" type="noConversion"/>
  </si>
  <si>
    <t>두번째 달</t>
    <phoneticPr fontId="19" type="noConversion"/>
  </si>
  <si>
    <t>4번째 달</t>
    <phoneticPr fontId="19" type="noConversion"/>
  </si>
  <si>
    <t>COD</t>
    <phoneticPr fontId="19" type="noConversion"/>
  </si>
  <si>
    <r>
      <rPr>
        <sz val="10"/>
        <color theme="1"/>
        <rFont val="맑은 고딕"/>
        <family val="2"/>
        <charset val="128"/>
      </rPr>
      <t>솔라시티</t>
    </r>
    <r>
      <rPr>
        <sz val="10"/>
        <color theme="1"/>
        <rFont val="Calibri"/>
        <family val="2"/>
      </rPr>
      <t xml:space="preserve"> </t>
    </r>
    <r>
      <rPr>
        <sz val="10"/>
        <color theme="1"/>
        <rFont val="맑은 고딕"/>
        <family val="2"/>
        <charset val="128"/>
      </rPr>
      <t>지급기준</t>
    </r>
    <phoneticPr fontId="19" type="noConversion"/>
  </si>
  <si>
    <r>
      <rPr>
        <sz val="10"/>
        <color theme="1"/>
        <rFont val="맑은 고딕"/>
        <family val="2"/>
        <charset val="129"/>
      </rPr>
      <t>구분</t>
    </r>
    <phoneticPr fontId="85" type="noConversion"/>
  </si>
  <si>
    <r>
      <rPr>
        <sz val="10"/>
        <color theme="1"/>
        <rFont val="맑은 고딕"/>
        <family val="2"/>
        <charset val="129"/>
      </rPr>
      <t>지급기준</t>
    </r>
    <r>
      <rPr>
        <sz val="10"/>
        <color theme="1"/>
        <rFont val="Calibri"/>
        <family val="2"/>
      </rPr>
      <t>(MW</t>
    </r>
    <r>
      <rPr>
        <sz val="10"/>
        <color theme="1"/>
        <rFont val="맑은 고딕"/>
        <family val="2"/>
        <charset val="129"/>
      </rPr>
      <t>당</t>
    </r>
    <r>
      <rPr>
        <sz val="10"/>
        <color theme="1"/>
        <rFont val="Calibri"/>
        <family val="2"/>
      </rPr>
      <t>)</t>
    </r>
    <phoneticPr fontId="19" type="noConversion"/>
  </si>
  <si>
    <r>
      <t>1</t>
    </r>
    <r>
      <rPr>
        <sz val="10"/>
        <color theme="1"/>
        <rFont val="맑은 고딕"/>
        <family val="2"/>
        <charset val="129"/>
      </rPr>
      <t>차</t>
    </r>
    <phoneticPr fontId="85" type="noConversion"/>
  </si>
  <si>
    <r>
      <t>2</t>
    </r>
    <r>
      <rPr>
        <sz val="10"/>
        <color theme="1"/>
        <rFont val="맑은 고딕"/>
        <family val="2"/>
        <charset val="129"/>
      </rPr>
      <t>차</t>
    </r>
  </si>
  <si>
    <r>
      <t>3</t>
    </r>
    <r>
      <rPr>
        <sz val="10"/>
        <color theme="1"/>
        <rFont val="맑은 고딕"/>
        <family val="2"/>
        <charset val="129"/>
      </rPr>
      <t>차</t>
    </r>
  </si>
  <si>
    <r>
      <t>4</t>
    </r>
    <r>
      <rPr>
        <sz val="10"/>
        <color theme="1"/>
        <rFont val="맑은 고딕"/>
        <family val="2"/>
        <charset val="129"/>
      </rPr>
      <t>차</t>
    </r>
  </si>
  <si>
    <r>
      <t>5</t>
    </r>
    <r>
      <rPr>
        <sz val="10"/>
        <color theme="1"/>
        <rFont val="맑은 고딕"/>
        <family val="2"/>
        <charset val="129"/>
      </rPr>
      <t>차</t>
    </r>
    <phoneticPr fontId="85" type="noConversion"/>
  </si>
  <si>
    <r>
      <t>6</t>
    </r>
    <r>
      <rPr>
        <sz val="10"/>
        <color theme="1"/>
        <rFont val="맑은 고딕"/>
        <family val="2"/>
        <charset val="129"/>
      </rPr>
      <t>차</t>
    </r>
    <phoneticPr fontId="19" type="noConversion"/>
  </si>
  <si>
    <r>
      <t>7</t>
    </r>
    <r>
      <rPr>
        <sz val="10"/>
        <color theme="1"/>
        <rFont val="맑은 고딕"/>
        <family val="2"/>
        <charset val="129"/>
      </rPr>
      <t>차</t>
    </r>
    <phoneticPr fontId="19" type="noConversion"/>
  </si>
  <si>
    <r>
      <t>8차</t>
    </r>
    <r>
      <rPr>
        <sz val="10"/>
        <color theme="1"/>
        <rFont val="맑은 고딕"/>
        <family val="2"/>
        <charset val="129"/>
      </rPr>
      <t/>
    </r>
  </si>
  <si>
    <r>
      <t>9차</t>
    </r>
    <r>
      <rPr>
        <sz val="10"/>
        <color theme="1"/>
        <rFont val="맑은 고딕"/>
        <family val="2"/>
        <charset val="129"/>
      </rPr>
      <t/>
    </r>
  </si>
  <si>
    <r>
      <t>10차</t>
    </r>
    <r>
      <rPr>
        <sz val="10"/>
        <color theme="1"/>
        <rFont val="맑은 고딕"/>
        <family val="2"/>
        <charset val="129"/>
      </rPr>
      <t/>
    </r>
  </si>
  <si>
    <r>
      <t>11차</t>
    </r>
    <r>
      <rPr>
        <sz val="10"/>
        <color theme="1"/>
        <rFont val="맑은 고딕"/>
        <family val="2"/>
        <charset val="129"/>
      </rPr>
      <t/>
    </r>
  </si>
  <si>
    <r>
      <t>12차</t>
    </r>
    <r>
      <rPr>
        <sz val="10"/>
        <color theme="1"/>
        <rFont val="맑은 고딕"/>
        <family val="2"/>
        <charset val="129"/>
      </rPr>
      <t/>
    </r>
  </si>
  <si>
    <r>
      <t>13차</t>
    </r>
    <r>
      <rPr>
        <sz val="10"/>
        <color theme="1"/>
        <rFont val="맑은 고딕"/>
        <family val="2"/>
        <charset val="129"/>
      </rPr>
      <t/>
    </r>
  </si>
  <si>
    <r>
      <t>8</t>
    </r>
    <r>
      <rPr>
        <sz val="10"/>
        <color theme="1"/>
        <rFont val="맑은 고딕"/>
        <family val="2"/>
        <charset val="129"/>
      </rPr>
      <t>차</t>
    </r>
    <phoneticPr fontId="19" type="noConversion"/>
  </si>
  <si>
    <r>
      <rPr>
        <sz val="10"/>
        <color theme="1"/>
        <rFont val="맑은 고딕"/>
        <family val="2"/>
        <charset val="129"/>
      </rPr>
      <t>합계</t>
    </r>
    <phoneticPr fontId="85" type="noConversion"/>
  </si>
  <si>
    <r>
      <rPr>
        <sz val="10"/>
        <color theme="1"/>
        <rFont val="맑은 고딕"/>
        <family val="2"/>
        <charset val="128"/>
      </rPr>
      <t>솔라시티</t>
    </r>
    <r>
      <rPr>
        <sz val="10"/>
        <color theme="1"/>
        <rFont val="Calibri"/>
        <family val="2"/>
      </rPr>
      <t>1</t>
    </r>
    <phoneticPr fontId="19" type="noConversion"/>
  </si>
  <si>
    <r>
      <rPr>
        <sz val="10"/>
        <color rgb="FF404040"/>
        <rFont val="맑은 고딕"/>
        <family val="2"/>
        <charset val="129"/>
      </rPr>
      <t>토지매입</t>
    </r>
    <phoneticPr fontId="19" type="noConversion"/>
  </si>
  <si>
    <t>Broker Fee</t>
    <phoneticPr fontId="19" type="noConversion"/>
  </si>
  <si>
    <r>
      <rPr>
        <sz val="10"/>
        <color rgb="FF404040"/>
        <rFont val="맑은 고딕"/>
        <family val="2"/>
        <charset val="129"/>
      </rPr>
      <t>선급임차료</t>
    </r>
    <phoneticPr fontId="19" type="noConversion"/>
  </si>
  <si>
    <r>
      <rPr>
        <sz val="10"/>
        <color theme="1"/>
        <rFont val="맑은 고딕"/>
        <family val="2"/>
        <charset val="128"/>
      </rPr>
      <t>솔라시티</t>
    </r>
    <r>
      <rPr>
        <sz val="10"/>
        <color theme="1"/>
        <rFont val="Calibri"/>
        <family val="2"/>
      </rPr>
      <t>2</t>
    </r>
    <phoneticPr fontId="19" type="noConversion"/>
  </si>
  <si>
    <t>GM_Batch2</t>
    <phoneticPr fontId="19" type="noConversion"/>
  </si>
  <si>
    <t>APA</t>
    <phoneticPr fontId="19" type="noConversion"/>
  </si>
  <si>
    <t>Land Purchase</t>
  </si>
  <si>
    <t>Brokerage+Finder fee</t>
  </si>
  <si>
    <r>
      <rPr>
        <sz val="10"/>
        <color theme="1"/>
        <rFont val="맑은 고딕"/>
        <family val="2"/>
        <charset val="128"/>
      </rPr>
      <t>솔라시티</t>
    </r>
    <r>
      <rPr>
        <sz val="10"/>
        <color theme="1"/>
        <rFont val="Calibri"/>
        <family val="2"/>
      </rPr>
      <t>3</t>
    </r>
    <phoneticPr fontId="19" type="noConversion"/>
  </si>
  <si>
    <t>SPA</t>
    <phoneticPr fontId="19" type="noConversion"/>
  </si>
  <si>
    <t>DG</t>
    <phoneticPr fontId="19" type="noConversion"/>
  </si>
  <si>
    <r>
      <rPr>
        <sz val="10"/>
        <color theme="1"/>
        <rFont val="맑은 고딕"/>
        <family val="2"/>
        <charset val="128"/>
      </rPr>
      <t>지급</t>
    </r>
    <r>
      <rPr>
        <sz val="10"/>
        <color theme="1"/>
        <rFont val="Calibri"/>
        <family val="2"/>
      </rPr>
      <t>1</t>
    </r>
    <phoneticPr fontId="19" type="noConversion"/>
  </si>
  <si>
    <r>
      <rPr>
        <sz val="10"/>
        <color theme="1"/>
        <rFont val="맑은 고딕"/>
        <family val="2"/>
        <charset val="128"/>
      </rPr>
      <t>솔라시티</t>
    </r>
    <r>
      <rPr>
        <sz val="10"/>
        <color theme="1"/>
        <rFont val="Calibri"/>
        <family val="2"/>
      </rPr>
      <t>4</t>
    </r>
    <phoneticPr fontId="19" type="noConversion"/>
  </si>
  <si>
    <r>
      <rPr>
        <sz val="10"/>
        <color theme="1"/>
        <rFont val="맑은 고딕"/>
        <family val="2"/>
        <charset val="128"/>
      </rPr>
      <t>솔라시티</t>
    </r>
    <r>
      <rPr>
        <sz val="10"/>
        <color theme="1"/>
        <rFont val="Calibri"/>
        <family val="2"/>
      </rPr>
      <t>5</t>
    </r>
    <phoneticPr fontId="19" type="noConversion"/>
  </si>
  <si>
    <r>
      <rPr>
        <sz val="10"/>
        <color theme="1"/>
        <rFont val="맑은 고딕"/>
        <family val="2"/>
        <charset val="128"/>
      </rPr>
      <t>지급</t>
    </r>
    <r>
      <rPr>
        <sz val="10"/>
        <color theme="1"/>
        <rFont val="Calibri"/>
        <family val="2"/>
      </rPr>
      <t>2</t>
    </r>
    <phoneticPr fontId="19" type="noConversion"/>
  </si>
  <si>
    <r>
      <rPr>
        <sz val="10"/>
        <color theme="1"/>
        <rFont val="맑은 고딕"/>
        <family val="2"/>
        <charset val="128"/>
      </rPr>
      <t>에너지플랜</t>
    </r>
    <r>
      <rPr>
        <sz val="10"/>
        <color theme="1"/>
        <rFont val="Calibri"/>
        <family val="2"/>
      </rPr>
      <t>1</t>
    </r>
    <phoneticPr fontId="19" type="noConversion"/>
  </si>
  <si>
    <r>
      <rPr>
        <sz val="10"/>
        <color theme="1"/>
        <rFont val="맑은 고딕"/>
        <family val="2"/>
        <charset val="128"/>
      </rPr>
      <t>일반</t>
    </r>
    <phoneticPr fontId="19" type="noConversion"/>
  </si>
  <si>
    <r>
      <rPr>
        <sz val="10"/>
        <color theme="1"/>
        <rFont val="맑은 고딕"/>
        <family val="2"/>
        <charset val="128"/>
      </rPr>
      <t>에너지플랜</t>
    </r>
    <r>
      <rPr>
        <sz val="10"/>
        <color theme="1"/>
        <rFont val="Calibri"/>
        <family val="2"/>
      </rPr>
      <t>2</t>
    </r>
    <phoneticPr fontId="19" type="noConversion"/>
  </si>
  <si>
    <r>
      <rPr>
        <sz val="10"/>
        <color theme="1"/>
        <rFont val="맑은 고딕"/>
        <family val="2"/>
        <charset val="128"/>
      </rPr>
      <t>에너지플랜</t>
    </r>
    <r>
      <rPr>
        <sz val="10"/>
        <color theme="1"/>
        <rFont val="Calibri"/>
        <family val="2"/>
      </rPr>
      <t>3</t>
    </r>
    <phoneticPr fontId="19" type="noConversion"/>
  </si>
  <si>
    <r>
      <t>3</t>
    </r>
    <r>
      <rPr>
        <sz val="10"/>
        <color theme="1"/>
        <rFont val="맑은 고딕"/>
        <family val="2"/>
        <charset val="129"/>
      </rPr>
      <t>차</t>
    </r>
    <r>
      <rPr>
        <sz val="10"/>
        <color theme="1"/>
        <rFont val="Calibri"/>
        <family val="2"/>
      </rPr>
      <t>(25.09)</t>
    </r>
    <phoneticPr fontId="19" type="noConversion"/>
  </si>
  <si>
    <r>
      <t>8</t>
    </r>
    <r>
      <rPr>
        <sz val="10"/>
        <color theme="1"/>
        <rFont val="맑은 고딕"/>
        <family val="2"/>
        <charset val="129"/>
      </rPr>
      <t>차</t>
    </r>
    <r>
      <rPr>
        <sz val="10"/>
        <color theme="1"/>
        <rFont val="Calibri"/>
        <family val="2"/>
      </rPr>
      <t>(25.12)</t>
    </r>
    <phoneticPr fontId="19" type="noConversion"/>
  </si>
  <si>
    <t>POSN</t>
    <phoneticPr fontId="19" type="noConversion"/>
  </si>
  <si>
    <t>DG-M&amp;A</t>
    <phoneticPr fontId="19" type="noConversion"/>
  </si>
  <si>
    <t>가시, 난산</t>
    <phoneticPr fontId="19" type="noConversion"/>
  </si>
  <si>
    <t>드림</t>
    <phoneticPr fontId="19" type="noConversion"/>
  </si>
  <si>
    <t>제일</t>
    <phoneticPr fontId="19" type="noConversion"/>
  </si>
  <si>
    <t>GreenVolt New Batch 2_RTB</t>
  </si>
  <si>
    <t>　</t>
  </si>
  <si>
    <t>땅값</t>
  </si>
  <si>
    <t>3억</t>
  </si>
  <si>
    <t>솔라시티</t>
  </si>
  <si>
    <t>2억</t>
  </si>
  <si>
    <t>셀러프리미엄</t>
  </si>
  <si>
    <t>3억 5천</t>
  </si>
  <si>
    <t>License Holder</t>
  </si>
  <si>
    <t>Power Plant Name</t>
  </si>
  <si>
    <t>Permitted Capacity(kw)</t>
  </si>
  <si>
    <t>MW기준650,000,000원(토지금액3억원포함)</t>
  </si>
  <si>
    <t>비고</t>
  </si>
  <si>
    <t>deal type/reason</t>
  </si>
  <si>
    <t>계약시</t>
  </si>
  <si>
    <t>SOC시(착공시)</t>
  </si>
  <si>
    <t>사용전검사완료시</t>
  </si>
  <si>
    <t>COD완료시</t>
  </si>
  <si>
    <t>합계</t>
  </si>
  <si>
    <t>Ssoltop Miracle</t>
  </si>
  <si>
    <t>APA/유한회사</t>
  </si>
  <si>
    <t>장촌1호</t>
  </si>
  <si>
    <t>₩259,802,400</t>
  </si>
  <si>
    <t>₩129,901,200</t>
  </si>
  <si>
    <t>₩194,851,800</t>
  </si>
  <si>
    <t>₩64,950,600</t>
  </si>
  <si>
    <t>₩649,506,000</t>
  </si>
  <si>
    <r>
      <rPr>
        <b/>
        <sz val="10"/>
        <color rgb="FF000000"/>
        <rFont val="맑은 고딕"/>
        <family val="3"/>
        <charset val="129"/>
      </rPr>
      <t xml:space="preserve">1.사업권 2.8억 → 3.5억원으로 금액 상승
</t>
    </r>
    <r>
      <rPr>
        <sz val="10"/>
        <color rgb="FF000000"/>
        <rFont val="맑은 고딕"/>
        <family val="3"/>
        <charset val="129"/>
      </rPr>
      <t xml:space="preserve">NBO 및 계약서에 26년 12월 31일까지 계통연계 불가시 MW 5,000만원 감액 이후 초과일수(일일계산) 명시
기존 솔라시티 영업비에서 위 금액을 부담하고 계통연계가 늦어질때도
매도자에게는 보장금액을 적용하려 했으나 솔라시티 영업비용이 너무 높게 보여짐
</t>
    </r>
    <r>
      <rPr>
        <b/>
        <sz val="10"/>
        <color rgb="FF000000"/>
        <rFont val="맑은 고딕"/>
        <family val="3"/>
        <charset val="129"/>
      </rPr>
      <t>2.지급비율 재조정
해당 발전소 토지는 매매계약조건상 개발행위 완료후 토지계약 100% 지급 필요하나
매도자 자금 사정으로 토지 잔금 지급 보류상태 이에 매매계약 체결 계약금으로 해당 잔금 지불예정
전체 13개소 토지 매입 잔금 17억5천만원 필요 - 40%시 19.7억
계약금 지급시 7일이내 SPC명의 토지인수 완료 후 변경된 등기사항 제출하는 조건 NBO 및 계약서에 명시</t>
    </r>
    <r>
      <rPr>
        <sz val="10"/>
        <color rgb="FF000000"/>
        <rFont val="맑은 고딕"/>
        <family val="3"/>
        <charset val="129"/>
      </rPr>
      <t xml:space="preserve">  
</t>
    </r>
    <r>
      <rPr>
        <sz val="10"/>
        <color rgb="FFFF0000"/>
        <rFont val="맑은 고딕"/>
        <family val="3"/>
        <charset val="129"/>
      </rPr>
      <t>3. (Rex) 상기 이유 불구하고, 해당 모든 거래는 APA형태이므로, 최초 협의된 40% 지급하나, 명의 이전까지 최소 30% 남겨둘 계획임. 따라서, 계약시 40% / 착공시 지급 안함 / 사용전검사 완료시 30% / COD 완료시 30% 계획 중</t>
    </r>
  </si>
  <si>
    <r>
      <rPr>
        <b/>
        <sz val="10"/>
        <color rgb="FF000000"/>
        <rFont val="맑은 고딕"/>
        <family val="3"/>
        <charset val="129"/>
      </rPr>
      <t xml:space="preserve">1. Project premium 2.8 billion → 3.5 billion won in amount increase
</t>
    </r>
    <r>
      <rPr>
        <sz val="10"/>
        <color rgb="FF000000"/>
        <rFont val="맑은 고딕"/>
        <family val="3"/>
        <charset val="129"/>
      </rPr>
      <t xml:space="preserve">NBO and contract specify the number of days in excess (calculated daily) after the reduction of 50 million won per MW if grid connection is not possible by 31 December 2026.
The seller tried to apply the guaranteed amount even when the grid connection was delayed, but the seller's operating costs seemed too high.
</t>
    </r>
    <r>
      <rPr>
        <b/>
        <sz val="10"/>
        <color rgb="FF000000"/>
        <rFont val="맑은 고딕"/>
        <family val="3"/>
        <charset val="129"/>
      </rPr>
      <t xml:space="preserve">
2. Re-adjustment of payment ratio
</t>
    </r>
    <r>
      <rPr>
        <sz val="10"/>
        <color rgb="FF000000"/>
        <rFont val="맑은 고딕"/>
        <family val="3"/>
        <charset val="129"/>
      </rPr>
      <t xml:space="preserve">The land of the power plant is required to pay 100% of the land contract after the completion of the development activities under the terms of the sale and purchase agreement, but the seller has withheld the payment of the land balance due to financial reasons. Therefore, the seller will pay the remaining balance as the down payment for the sale and purchase agreement.
The remaining balance of 1.75 billion won is required to purchase the land of 13 locations in total - 1.97 billion won at 40%
The condition is that the SPC completes the acquisition of the land within 7 days after the payment of the down payment and submits the changed registration information. It is specified in the NBO and the contract.  
</t>
    </r>
    <r>
      <rPr>
        <sz val="10"/>
        <color rgb="FFFF0000"/>
        <rFont val="맑은 고딕"/>
        <family val="3"/>
        <charset val="129"/>
      </rPr>
      <t>3. (Rex) Regardless of above reason, we decide to inject fund as 40% at signing / nothing at SOC / 30% at energizing / 30% at COD</t>
    </r>
  </si>
  <si>
    <t>Ssoltop Masan</t>
  </si>
  <si>
    <t>APA/indivisual</t>
  </si>
  <si>
    <t>마산1호</t>
  </si>
  <si>
    <t>₩103,750,400</t>
  </si>
  <si>
    <t>₩51,875,200</t>
  </si>
  <si>
    <t>₩77,812,800</t>
  </si>
  <si>
    <t>₩25,937,600</t>
  </si>
  <si>
    <t>₩259,376,000</t>
  </si>
  <si>
    <t>Mugok</t>
  </si>
  <si>
    <t>한일무곡15호</t>
  </si>
  <si>
    <t>₩129,989,600</t>
  </si>
  <si>
    <t>₩64,994,800</t>
  </si>
  <si>
    <t>₩324,974,000</t>
  </si>
  <si>
    <t>Jigyeong</t>
  </si>
  <si>
    <t>한일지경1호</t>
  </si>
  <si>
    <t>Sungsi3</t>
  </si>
  <si>
    <t>한일지경2호</t>
  </si>
  <si>
    <t>₩38,906,400</t>
  </si>
  <si>
    <t>₩19,453,200</t>
  </si>
  <si>
    <t>₩97,266,000</t>
  </si>
  <si>
    <t>Sim Cheol-woo</t>
  </si>
  <si>
    <t>호덕4호</t>
  </si>
  <si>
    <t>₩194,532,000</t>
  </si>
  <si>
    <t>소계</t>
  </si>
  <si>
    <t>₩740,251,200</t>
  </si>
  <si>
    <t>₩370,125,600</t>
  </si>
  <si>
    <t>₩461,013,800</t>
  </si>
  <si>
    <t>₩279,237,400</t>
  </si>
  <si>
    <t>₩1,850,628,000</t>
  </si>
  <si>
    <t>MW기준630,000,000원(토지금액3억원포함)</t>
  </si>
  <si>
    <t>HaengWoon16</t>
  </si>
  <si>
    <t>봉양1호</t>
  </si>
  <si>
    <t>₩251,793,360</t>
  </si>
  <si>
    <t>₩125,896,680</t>
  </si>
  <si>
    <t>₩188,845,020</t>
  </si>
  <si>
    <t>₩62,948,340</t>
  </si>
  <si>
    <t>₩629,483,400</t>
  </si>
  <si>
    <r>
      <rPr>
        <b/>
        <sz val="10"/>
        <color rgb="FF000000"/>
        <rFont val="맑은 고딕"/>
        <family val="3"/>
        <charset val="129"/>
      </rPr>
      <t xml:space="preserve">1.사업권 2.8억 → 3.3억원으로 금액 상승
</t>
    </r>
    <r>
      <rPr>
        <sz val="10"/>
        <color rgb="FF000000"/>
        <rFont val="맑은 고딕"/>
        <family val="3"/>
        <charset val="129"/>
      </rPr>
      <t xml:space="preserve">1~6번과 동일이유 및 감액조건 적용 + 현재 개발행위 예정 발전소로 1~6번보다 2,000만원 감액
계약 체결시 계약금 지급일로부터 3개월이내 개발행위완료 및 PPA접수완료 조건협의중
미이행시 계약금 지급금액의 반환조건 및 위약금 조항 조건 협의중
</t>
    </r>
    <r>
      <rPr>
        <b/>
        <sz val="10"/>
        <color rgb="FF000000"/>
        <rFont val="맑은 고딕"/>
        <family val="3"/>
        <charset val="129"/>
      </rPr>
      <t>2. 지급비율 재조정
1~6번과 동일이유
전체 13개소 토지 매입 잔금 17억5천만원 필요 - 40%시 19.7억(농지전용비,취등록세 비용으로 사용)
계약금 지급시 7일이내 SPC명의 토지인수 완료 후 변경된 등기사항 제출하는조건 NBO 및 계약서에 명시</t>
    </r>
  </si>
  <si>
    <t>HaengWoon15</t>
  </si>
  <si>
    <t>봉양3호</t>
  </si>
  <si>
    <t>₩94,422,510</t>
  </si>
  <si>
    <t>₩31,474,170</t>
  </si>
  <si>
    <t>₩314,741,700</t>
  </si>
  <si>
    <t>BongYang4</t>
  </si>
  <si>
    <t>봉양4호</t>
  </si>
  <si>
    <t>₩125,989,920</t>
  </si>
  <si>
    <t>₩62,994,960</t>
  </si>
  <si>
    <t>₩314,974,800</t>
  </si>
  <si>
    <t>BongYang6</t>
  </si>
  <si>
    <t>봉양6호</t>
  </si>
  <si>
    <t>₩176,268,960</t>
  </si>
  <si>
    <t>₩88,134,480</t>
  </si>
  <si>
    <t>₩440,672,400</t>
  </si>
  <si>
    <t>BongYang10</t>
  </si>
  <si>
    <t>봉양10호</t>
  </si>
  <si>
    <t>₩226,835,280</t>
  </si>
  <si>
    <t>₩113,417,640</t>
  </si>
  <si>
    <t>₩567,088,200</t>
  </si>
  <si>
    <t>MunChon</t>
  </si>
  <si>
    <t>문촌태양광</t>
  </si>
  <si>
    <t>₩201,408,480</t>
  </si>
  <si>
    <t>₩100,704,240</t>
  </si>
  <si>
    <t>₩503,521,200</t>
  </si>
  <si>
    <t>WolTan</t>
  </si>
  <si>
    <t>월탄태양광</t>
  </si>
  <si>
    <t>₩1,234,182,600</t>
  </si>
  <si>
    <t>₩617,091,300</t>
  </si>
  <si>
    <t>₩711,513,810</t>
  </si>
  <si>
    <t>₩522,668,790</t>
  </si>
  <si>
    <t>₩3,085,456,500</t>
  </si>
  <si>
    <t>1.5억</t>
  </si>
  <si>
    <t>땅값은 3억</t>
  </si>
  <si>
    <t>솔라시티 프리미엄</t>
  </si>
  <si>
    <t>2025년 3월 전액</t>
  </si>
  <si>
    <t>MW기준450,000,000원(토지금액3억원포함)</t>
  </si>
  <si>
    <t>Galsan Solar</t>
  </si>
  <si>
    <t>갈산태양광</t>
  </si>
  <si>
    <t>₩447,120,000</t>
  </si>
  <si>
    <r>
      <rPr>
        <b/>
        <sz val="11"/>
        <color rgb="FF000000"/>
        <rFont val="맑은 고딕"/>
        <family val="3"/>
        <charset val="129"/>
      </rPr>
      <t xml:space="preserve"> 1. 지급비율
</t>
    </r>
    <r>
      <rPr>
        <sz val="11"/>
        <color rgb="FF000000"/>
        <rFont val="맑은 고딕"/>
        <family val="3"/>
        <charset val="129"/>
      </rPr>
      <t>사업권 매각금액이 타사보다 비교적 적은 금액으로 계약시 100%지급을 희망함
계통연계비용 및 민원은 매수자 측 해결하는 조건
그린볼트 수용 불가시 2안으로 MW기준 6.5억(토지포함) (1~6번과 동일한조건)
계약시 30% 착공시 30% 사용전검사시 30%  COD완료시 10% 제안 예정
이번주 목요일 사업주와 솔라시티 직접 미팅 예정</t>
    </r>
  </si>
  <si>
    <t xml:space="preserve"> 1. Payment ratio
- The seller wishes to receive 100% of the sale price of the business right at the time of the contract, as the sale price is relatively lower than that of other companies.
- Conditions for the buyer to resolve grid connection costs and complaints.
- If the Green Bolt is not accepted, the second option is 650 million won per MW (including land) (same conditions as No. 1-6).
- 30% at the time of contract, 30% at the time of construction commencement, 30% at the time of pre-inspection, and 10% at the time of COD completion.
- A meeting between the business owner and SolarCity is scheduled for Thursday of this week.</t>
  </si>
  <si>
    <t>Mineuri Solar</t>
  </si>
  <si>
    <t>미느리태양광</t>
  </si>
  <si>
    <t>20/60이 유력한데, 한달 안에 지급이 중요하니 80/20 또는 90/10 이 될 수 있다. 그리고나서 og가 가져오는 걸로</t>
  </si>
  <si>
    <t>Saegol Solar</t>
  </si>
  <si>
    <t>새골태양광</t>
  </si>
  <si>
    <t>1억5천+3억 = 4억5천인데 80% 바로 지급 후 나머지 20% 페이</t>
  </si>
  <si>
    <t>Jaesan Solar</t>
  </si>
  <si>
    <t>재산태양광</t>
  </si>
  <si>
    <t>그래서 원래는 총 26억 이였는데 18억이 되므로 8억 아낌</t>
  </si>
  <si>
    <t>18억의 10% 보증보험 발행하고, 공사 시작 시 해지</t>
  </si>
  <si>
    <t>₩1,788,480,000</t>
  </si>
  <si>
    <t>Seodeul Solar</t>
  </si>
  <si>
    <t>서들태양광</t>
  </si>
  <si>
    <t>₩175,353,750</t>
  </si>
  <si>
    <t>₩58,451,250</t>
  </si>
  <si>
    <t>₩584,512,500</t>
  </si>
  <si>
    <r>
      <rPr>
        <b/>
        <sz val="10"/>
        <color rgb="FF000000"/>
        <rFont val="맑은 고딕"/>
        <family val="3"/>
        <charset val="129"/>
      </rPr>
      <t xml:space="preserve">1.사업권 2.3억 → 3.5억으로 금액 상승
</t>
    </r>
    <r>
      <rPr>
        <sz val="10"/>
        <color rgb="FF000000"/>
        <rFont val="맑은 고딕"/>
        <family val="3"/>
        <charset val="129"/>
      </rPr>
      <t xml:space="preserve">1~6번과 동일이유 및 감액조건 적용
기존 토지주 최근 사망으로 자녀들 상속 예정이며 
토지 매각을 희망하지 않는의사를 밝혀 수요일까지 토지주와 직접 협의 중
협의가 안되는 경우 사업권 허가 취소 가처분 신청 예정 매각 불가시 다른 사이트로 대체
27년계통예정 함양 </t>
    </r>
    <r>
      <rPr>
        <sz val="10"/>
        <color rgb="FFFF0000"/>
        <rFont val="맑은 고딕"/>
        <family val="3"/>
        <charset val="129"/>
      </rPr>
      <t xml:space="preserve">3.1MW MW기준 6억(토지3억포함)
</t>
    </r>
    <r>
      <rPr>
        <sz val="10"/>
        <color rgb="FF000000"/>
        <rFont val="맑은 고딕"/>
        <family val="3"/>
        <charset val="129"/>
      </rPr>
      <t>발전허가/개발행위허가/PPA접수증 첨부</t>
    </r>
  </si>
  <si>
    <t>Siwol Solar</t>
  </si>
  <si>
    <t>시월태양광</t>
  </si>
  <si>
    <t>₩151,760,700</t>
  </si>
  <si>
    <t>₩50,586,900</t>
  </si>
  <si>
    <t>₩505,869,000</t>
  </si>
  <si>
    <t>Geumjeong Solar</t>
  </si>
  <si>
    <t>금정태양광</t>
  </si>
  <si>
    <t>₩97,344,000</t>
  </si>
  <si>
    <t>₩389,376,000</t>
  </si>
  <si>
    <t>₩424,458,450</t>
  </si>
  <si>
    <t>₩206,382,150</t>
  </si>
  <si>
    <t>₩1,479,757,500</t>
  </si>
  <si>
    <t>DEVEX/MW</t>
    <phoneticPr fontId="85" type="noConversion"/>
  </si>
  <si>
    <t>Land Purchase/MW</t>
    <phoneticPr fontId="85" type="noConversion"/>
  </si>
  <si>
    <t>Brokerage/MW</t>
    <phoneticPr fontId="85" type="noConversion"/>
  </si>
  <si>
    <t>Brokerage</t>
    <phoneticPr fontId="85" type="noConversion"/>
  </si>
  <si>
    <t>Total</t>
    <phoneticPr fontId="85" type="noConversion"/>
  </si>
  <si>
    <t>Galsan Solar (SPA)</t>
    <phoneticPr fontId="19" type="noConversion"/>
  </si>
  <si>
    <t>Mineuri Solar (SPA)</t>
    <phoneticPr fontId="19" type="noConversion"/>
  </si>
  <si>
    <t>Saegol Solar (SPA)</t>
    <phoneticPr fontId="19" type="noConversion"/>
  </si>
  <si>
    <t>Jaesan Solar (SPA)</t>
    <phoneticPr fontId="19" type="noConversion"/>
  </si>
  <si>
    <t>DG-PV Organic</t>
  </si>
  <si>
    <t xml:space="preserve"> </t>
    <phoneticPr fontId="9"/>
  </si>
  <si>
    <t xml:space="preserve">UTILITY  </t>
    <phoneticPr fontId="10"/>
  </si>
  <si>
    <t>LAND</t>
  </si>
  <si>
    <t>MoTIE
PERMITS</t>
    <phoneticPr fontId="9"/>
  </si>
  <si>
    <t>PERMITS</t>
    <phoneticPr fontId="10"/>
  </si>
  <si>
    <t>EXPENSE FORECAST(KRW)</t>
  </si>
  <si>
    <t>Project &amp; 
Total Capacity(kWp)</t>
    <phoneticPr fontId="10"/>
  </si>
  <si>
    <t>Site Name</t>
  </si>
  <si>
    <t>Location (English)</t>
    <phoneticPr fontId="10"/>
  </si>
  <si>
    <t>Location (Korean)</t>
    <phoneticPr fontId="10"/>
  </si>
  <si>
    <t>Coordinates
N / E</t>
    <phoneticPr fontId="9"/>
  </si>
  <si>
    <t>SPV</t>
    <phoneticPr fontId="9"/>
  </si>
  <si>
    <t>Credit Worthiness</t>
    <phoneticPr fontId="9"/>
  </si>
  <si>
    <t>IRR</t>
  </si>
  <si>
    <t>IRR ASSUM based on GV</t>
    <phoneticPr fontId="9"/>
  </si>
  <si>
    <t>GV
sensitivity analysis</t>
    <phoneticPr fontId="9"/>
  </si>
  <si>
    <t>Specific 
Production  (MWh/year)</t>
  </si>
  <si>
    <t>NEH
(Year/Day)</t>
    <phoneticPr fontId="9"/>
  </si>
  <si>
    <t>Pipeline registration date</t>
    <phoneticPr fontId="9"/>
  </si>
  <si>
    <t>DC
(kWp)</t>
  </si>
  <si>
    <t>Supply
Voltage (V)</t>
    <phoneticPr fontId="9"/>
  </si>
  <si>
    <t>RTB
Date</t>
  </si>
  <si>
    <t>PPA
Company</t>
    <phoneticPr fontId="9"/>
  </si>
  <si>
    <t>PPA
Date</t>
  </si>
  <si>
    <t>GV COD
Date</t>
  </si>
  <si>
    <t>Set</t>
    <phoneticPr fontId="9"/>
  </si>
  <si>
    <t>Interconnection fee(KRW)/MW</t>
    <phoneticPr fontId="74" type="noConversion"/>
  </si>
  <si>
    <t>construction period (months)</t>
    <phoneticPr fontId="9"/>
  </si>
  <si>
    <t>Utility Company Area</t>
    <phoneticPr fontId="10"/>
  </si>
  <si>
    <t>Roof Lease Contract</t>
    <phoneticPr fontId="10"/>
  </si>
  <si>
    <r>
      <t xml:space="preserve">EBL
</t>
    </r>
    <r>
      <rPr>
        <b/>
        <sz val="8"/>
        <color theme="0"/>
        <rFont val="Calibri"/>
        <family val="2"/>
      </rPr>
      <t>Expirated Date</t>
    </r>
    <phoneticPr fontId="9"/>
  </si>
  <si>
    <r>
      <t xml:space="preserve">EIA
</t>
    </r>
    <r>
      <rPr>
        <b/>
        <sz val="8"/>
        <color theme="0"/>
        <rFont val="Calibri"/>
        <family val="2"/>
      </rPr>
      <t>Expirated Date</t>
    </r>
    <phoneticPr fontId="9"/>
  </si>
  <si>
    <r>
      <t xml:space="preserve">DAP
</t>
    </r>
    <r>
      <rPr>
        <b/>
        <sz val="8"/>
        <color theme="0"/>
        <rFont val="Calibri"/>
        <family val="2"/>
      </rPr>
      <t>Expirated Date</t>
    </r>
    <phoneticPr fontId="9"/>
  </si>
  <si>
    <t>Grid available to connect</t>
    <phoneticPr fontId="9"/>
  </si>
  <si>
    <t>Broker</t>
    <phoneticPr fontId="9"/>
  </si>
  <si>
    <r>
      <t>Roof Area(</t>
    </r>
    <r>
      <rPr>
        <b/>
        <sz val="10"/>
        <color rgb="FFFFFFFF"/>
        <rFont val="맑은 고딕"/>
        <family val="3"/>
        <charset val="129"/>
      </rPr>
      <t>㎡</t>
    </r>
    <r>
      <rPr>
        <b/>
        <sz val="10"/>
        <color rgb="FFFFFFFF"/>
        <rFont val="Calibri"/>
        <family val="2"/>
      </rPr>
      <t>)</t>
    </r>
    <phoneticPr fontId="9"/>
  </si>
  <si>
    <t>Roof Lease amount/kWp</t>
    <phoneticPr fontId="9"/>
  </si>
  <si>
    <t>Annual  Roof Lease Payment</t>
    <phoneticPr fontId="9"/>
  </si>
  <si>
    <t>Pre-payment (Year)</t>
    <phoneticPr fontId="9"/>
  </si>
  <si>
    <t>Brokerage 
Fee</t>
    <phoneticPr fontId="9"/>
  </si>
  <si>
    <t>Devex</t>
    <phoneticPr fontId="9"/>
  </si>
  <si>
    <t>EPC</t>
    <phoneticPr fontId="9"/>
  </si>
  <si>
    <t>Remark</t>
    <phoneticPr fontId="9"/>
  </si>
  <si>
    <t>Eco Inshutech(Maegok GV Power)</t>
  </si>
  <si>
    <t>8, Greengongdan 2-gil, Yangsan-si, Gyeongsangnam-do</t>
  </si>
  <si>
    <r>
      <rPr>
        <sz val="9"/>
        <color rgb="FF000000"/>
        <rFont val="맑은 고딕"/>
        <family val="3"/>
        <charset val="129"/>
      </rPr>
      <t>경상남도</t>
    </r>
    <r>
      <rPr>
        <sz val="9"/>
        <color rgb="FF000000"/>
        <rFont val="Calibri"/>
        <family val="2"/>
      </rPr>
      <t xml:space="preserve"> </t>
    </r>
    <r>
      <rPr>
        <sz val="9"/>
        <color rgb="FF000000"/>
        <rFont val="맑은 고딕"/>
        <family val="3"/>
        <charset val="129"/>
      </rPr>
      <t>양산시</t>
    </r>
    <r>
      <rPr>
        <sz val="9"/>
        <color rgb="FF000000"/>
        <rFont val="Calibri"/>
        <family val="2"/>
      </rPr>
      <t xml:space="preserve"> </t>
    </r>
    <r>
      <rPr>
        <sz val="9"/>
        <color rgb="FF000000"/>
        <rFont val="맑은 고딕"/>
        <family val="3"/>
        <charset val="129"/>
      </rPr>
      <t>그린공단</t>
    </r>
    <r>
      <rPr>
        <sz val="9"/>
        <color rgb="FF000000"/>
        <rFont val="Calibri"/>
        <family val="2"/>
      </rPr>
      <t>2</t>
    </r>
    <r>
      <rPr>
        <sz val="9"/>
        <color rgb="FF000000"/>
        <rFont val="맑은 고딕"/>
        <family val="3"/>
        <charset val="129"/>
      </rPr>
      <t>길</t>
    </r>
    <r>
      <rPr>
        <sz val="9"/>
        <color rgb="FF000000"/>
        <rFont val="Calibri"/>
        <family val="2"/>
      </rPr>
      <t xml:space="preserve"> 8</t>
    </r>
  </si>
  <si>
    <t xml:space="preserve"> 35.364962 / 129.169206</t>
    <phoneticPr fontId="9"/>
  </si>
  <si>
    <t>Bolt Taeyanggwang 7HO</t>
    <phoneticPr fontId="9"/>
  </si>
  <si>
    <t>BB0</t>
    <phoneticPr fontId="10"/>
  </si>
  <si>
    <t>Gyeongsangnam-do</t>
  </si>
  <si>
    <t>Yes</t>
    <phoneticPr fontId="9"/>
  </si>
  <si>
    <t>Seochang S/S, Deokil D/L 12MW</t>
    <phoneticPr fontId="9"/>
  </si>
  <si>
    <t>Solar city</t>
    <phoneticPr fontId="9"/>
  </si>
  <si>
    <t>EBL Obtained</t>
    <phoneticPr fontId="9"/>
  </si>
  <si>
    <t>Younggwang Industry(Kisol GV Power)</t>
    <phoneticPr fontId="9"/>
  </si>
  <si>
    <t>278-27, Guksabong-ro, Samjuk-myeon, Anseong-si, Gyeonggi-do</t>
  </si>
  <si>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안성시</t>
    </r>
    <r>
      <rPr>
        <sz val="9"/>
        <color rgb="FF000000"/>
        <rFont val="Calibri"/>
        <family val="2"/>
      </rPr>
      <t xml:space="preserve"> </t>
    </r>
    <r>
      <rPr>
        <sz val="9"/>
        <color rgb="FF000000"/>
        <rFont val="맑은 고딕"/>
        <family val="3"/>
        <charset val="129"/>
      </rPr>
      <t>삼죽면</t>
    </r>
    <r>
      <rPr>
        <sz val="9"/>
        <color rgb="FF000000"/>
        <rFont val="Calibri"/>
        <family val="2"/>
      </rPr>
      <t xml:space="preserve"> </t>
    </r>
    <r>
      <rPr>
        <sz val="9"/>
        <color rgb="FF000000"/>
        <rFont val="맑은 고딕"/>
        <family val="3"/>
        <charset val="129"/>
      </rPr>
      <t>국사봉로</t>
    </r>
    <r>
      <rPr>
        <sz val="9"/>
        <color rgb="FF000000"/>
        <rFont val="Calibri"/>
        <family val="2"/>
      </rPr>
      <t xml:space="preserve"> 279</t>
    </r>
    <phoneticPr fontId="9"/>
  </si>
  <si>
    <t>37.054948 / 127.342079</t>
  </si>
  <si>
    <t>Bolt Taeyanggwang 7HO</t>
  </si>
  <si>
    <t>CCC0</t>
  </si>
  <si>
    <t>Gyeonggi-do</t>
    <phoneticPr fontId="9"/>
  </si>
  <si>
    <t>No</t>
  </si>
  <si>
    <t>SeowoonSA S/S, Yongwol D/L 8MW</t>
    <phoneticPr fontId="9"/>
  </si>
  <si>
    <t>Solar city</t>
  </si>
  <si>
    <t>EBL Obtained on 23rd April 2025</t>
    <phoneticPr fontId="9"/>
  </si>
  <si>
    <t>Ajin P&amp;S(Jangdong GV Power)</t>
  </si>
  <si>
    <t>20, Munhwahoegwan 11an-gil, Dalseo-gu, Daegu, Republic of Korea</t>
    <phoneticPr fontId="9"/>
  </si>
  <si>
    <t>대구광역시 달서구 문화회관 11안길 20</t>
    <phoneticPr fontId="9"/>
  </si>
  <si>
    <t>35.839857 / 128.525736</t>
    <phoneticPr fontId="9"/>
  </si>
  <si>
    <t>B+</t>
  </si>
  <si>
    <t>Daegu</t>
  </si>
  <si>
    <t>Wolbae S/S, Choolpan D/L 10MW</t>
    <phoneticPr fontId="9"/>
  </si>
  <si>
    <t>EBL Applied, Expected to obtain 07 May 2025</t>
    <phoneticPr fontId="9"/>
  </si>
  <si>
    <t>Myunghyun Tech(Jicheon GV Power)</t>
  </si>
  <si>
    <t>9-62 &amp; 9-64 Geumho-ro 1-gil, Jicheon-myeon, Chilgok-gun, Gyeongsangbuk-do</t>
  </si>
  <si>
    <r>
      <rPr>
        <sz val="9"/>
        <color rgb="FF000000"/>
        <rFont val="맑은 고딕"/>
        <family val="2"/>
        <charset val="129"/>
      </rPr>
      <t>경상북도</t>
    </r>
    <r>
      <rPr>
        <sz val="9"/>
        <color rgb="FF000000"/>
        <rFont val="Calibri"/>
        <family val="2"/>
      </rPr>
      <t xml:space="preserve"> </t>
    </r>
    <r>
      <rPr>
        <sz val="9"/>
        <color rgb="FF000000"/>
        <rFont val="맑은 고딕"/>
        <family val="2"/>
        <charset val="129"/>
      </rPr>
      <t>칠곡군</t>
    </r>
    <r>
      <rPr>
        <sz val="9"/>
        <color rgb="FF000000"/>
        <rFont val="Calibri"/>
        <family val="2"/>
      </rPr>
      <t xml:space="preserve"> </t>
    </r>
    <r>
      <rPr>
        <sz val="9"/>
        <color rgb="FF000000"/>
        <rFont val="맑은 고딕"/>
        <family val="2"/>
        <charset val="129"/>
      </rPr>
      <t>지천면</t>
    </r>
    <r>
      <rPr>
        <sz val="9"/>
        <color rgb="FF000000"/>
        <rFont val="Calibri"/>
        <family val="2"/>
      </rPr>
      <t xml:space="preserve"> </t>
    </r>
    <r>
      <rPr>
        <sz val="9"/>
        <color rgb="FF000000"/>
        <rFont val="맑은 고딕"/>
        <family val="2"/>
        <charset val="129"/>
      </rPr>
      <t>금호리</t>
    </r>
    <r>
      <rPr>
        <sz val="9"/>
        <color rgb="FF000000"/>
        <rFont val="Calibri"/>
        <family val="2"/>
      </rPr>
      <t xml:space="preserve"> 196-7, 196-8</t>
    </r>
    <phoneticPr fontId="9"/>
  </si>
  <si>
    <t>35.953814 / 128.439590</t>
  </si>
  <si>
    <t>Gyeongsangbuk-do</t>
    <phoneticPr fontId="9"/>
  </si>
  <si>
    <t>Applied</t>
    <phoneticPr fontId="9"/>
  </si>
  <si>
    <t>Waegwan S/S, Waesan D/L 6MW</t>
    <phoneticPr fontId="9"/>
  </si>
  <si>
    <t>EBL Applied 06 Mar 2025, Expected to obtain 30 May 2025. Only the creditworthiness of Myunghyun Tech is confirmed among the two other sole proprietors (Myunghyun Tech, Bae Hyo), and the two are related by family.</t>
    <phoneticPr fontId="9"/>
  </si>
  <si>
    <t>Sejin SMC</t>
  </si>
  <si>
    <t>174-7, Yangseong-ro, Yangseong-myeon, Anseong-si, Gyeonggi-do</t>
  </si>
  <si>
    <r>
      <rPr>
        <sz val="9"/>
        <color rgb="FF000000"/>
        <rFont val="맑은 고딕"/>
        <family val="2"/>
      </rPr>
      <t>경기도</t>
    </r>
    <r>
      <rPr>
        <sz val="9"/>
        <color rgb="FF000000"/>
        <rFont val="Calibri"/>
        <family val="2"/>
      </rPr>
      <t xml:space="preserve"> </t>
    </r>
    <r>
      <rPr>
        <sz val="9"/>
        <color rgb="FF000000"/>
        <rFont val="맑은 고딕"/>
        <family val="2"/>
      </rPr>
      <t>안성시</t>
    </r>
    <r>
      <rPr>
        <sz val="9"/>
        <color rgb="FF000000"/>
        <rFont val="Calibri"/>
        <family val="2"/>
      </rPr>
      <t xml:space="preserve"> </t>
    </r>
    <r>
      <rPr>
        <sz val="9"/>
        <color rgb="FF000000"/>
        <rFont val="맑은 고딕"/>
        <family val="2"/>
      </rPr>
      <t>양성면</t>
    </r>
    <r>
      <rPr>
        <sz val="9"/>
        <color rgb="FF000000"/>
        <rFont val="Calibri"/>
        <family val="2"/>
      </rPr>
      <t xml:space="preserve"> </t>
    </r>
    <r>
      <rPr>
        <sz val="9"/>
        <color rgb="FF000000"/>
        <rFont val="맑은 고딕"/>
        <family val="2"/>
      </rPr>
      <t>양성로</t>
    </r>
    <r>
      <rPr>
        <sz val="9"/>
        <color rgb="FF000000"/>
        <rFont val="Calibri"/>
        <family val="2"/>
      </rPr>
      <t xml:space="preserve"> 174-7</t>
    </r>
    <phoneticPr fontId="9"/>
  </si>
  <si>
    <t>37.068518 / 127.206031</t>
  </si>
  <si>
    <t>Bolt Taeyanggwang 6HO</t>
  </si>
  <si>
    <t>CCC-</t>
  </si>
  <si>
    <t>Gyeonggi-do</t>
  </si>
  <si>
    <t>Namsa S/S, Seokhwa D/L 12MW</t>
    <phoneticPr fontId="9"/>
  </si>
  <si>
    <t>Scheduled to be submitted EBL</t>
    <phoneticPr fontId="9"/>
  </si>
  <si>
    <t>Seoyong</t>
  </si>
  <si>
    <t>155, Yanggyo 1-gil, Oseong-myeon, Pyeongtaek-si, Gyeonggi-do</t>
  </si>
  <si>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오성면</t>
    </r>
    <r>
      <rPr>
        <sz val="9"/>
        <color rgb="FF000000"/>
        <rFont val="Calibri"/>
        <family val="2"/>
      </rPr>
      <t xml:space="preserve"> </t>
    </r>
    <r>
      <rPr>
        <sz val="9"/>
        <color rgb="FF000000"/>
        <rFont val="맑은 고딕"/>
        <family val="2"/>
      </rPr>
      <t>양교</t>
    </r>
    <r>
      <rPr>
        <sz val="9"/>
        <color rgb="FF000000"/>
        <rFont val="Calibri"/>
        <family val="2"/>
      </rPr>
      <t>1</t>
    </r>
    <r>
      <rPr>
        <sz val="9"/>
        <color rgb="FF000000"/>
        <rFont val="맑은 고딕"/>
        <family val="2"/>
      </rPr>
      <t>길</t>
    </r>
    <r>
      <rPr>
        <sz val="9"/>
        <color rgb="FF000000"/>
        <rFont val="Calibri"/>
        <family val="2"/>
      </rPr>
      <t xml:space="preserve"> 155</t>
    </r>
    <phoneticPr fontId="9"/>
  </si>
  <si>
    <t>37.025554 / 126.965970</t>
  </si>
  <si>
    <t>CC+</t>
  </si>
  <si>
    <t>Cheongbuk S/S, Baekyang D/L 2MW</t>
    <phoneticPr fontId="9"/>
  </si>
  <si>
    <t>Jinyoung Metal Factory 1
Jinyoung Metal Factory 2</t>
  </si>
  <si>
    <t>50, Garisae 2-ro, Gangseo-gu, Busan</t>
  </si>
  <si>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강서구</t>
    </r>
    <r>
      <rPr>
        <sz val="9"/>
        <color rgb="FF000000"/>
        <rFont val="Calibri"/>
        <family val="2"/>
      </rPr>
      <t xml:space="preserve"> </t>
    </r>
    <r>
      <rPr>
        <sz val="9"/>
        <color rgb="FF000000"/>
        <rFont val="맑은 고딕"/>
        <family val="3"/>
        <charset val="129"/>
      </rPr>
      <t>가리새</t>
    </r>
    <r>
      <rPr>
        <sz val="9"/>
        <color rgb="FF000000"/>
        <rFont val="Calibri"/>
        <family val="2"/>
      </rPr>
      <t>2</t>
    </r>
    <r>
      <rPr>
        <sz val="9"/>
        <color rgb="FF000000"/>
        <rFont val="맑은 고딕"/>
        <family val="3"/>
        <charset val="129"/>
      </rPr>
      <t>로</t>
    </r>
    <r>
      <rPr>
        <sz val="9"/>
        <color rgb="FF000000"/>
        <rFont val="Calibri"/>
        <family val="2"/>
      </rPr>
      <t xml:space="preserve"> 50(</t>
    </r>
    <r>
      <rPr>
        <sz val="9"/>
        <color rgb="FF000000"/>
        <rFont val="맑은 고딕"/>
        <family val="3"/>
        <charset val="129"/>
      </rPr>
      <t>범방동</t>
    </r>
    <r>
      <rPr>
        <sz val="9"/>
        <color rgb="FF000000"/>
        <rFont val="Calibri"/>
        <family val="2"/>
      </rPr>
      <t xml:space="preserve"> 1921-9)</t>
    </r>
    <phoneticPr fontId="0" type="noConversion"/>
  </si>
  <si>
    <t>37.185887 / 128.886199</t>
    <phoneticPr fontId="9"/>
  </si>
  <si>
    <t>Bolt Taeyanggwang 2HO</t>
  </si>
  <si>
    <t>B0</t>
    <phoneticPr fontId="10"/>
  </si>
  <si>
    <t>Busan</t>
  </si>
  <si>
    <t>Mieum S/S, Saemi D/L 6MW</t>
    <phoneticPr fontId="9"/>
  </si>
  <si>
    <t>Energy Plan</t>
    <phoneticPr fontId="9"/>
  </si>
  <si>
    <t>EBL application submitted</t>
    <phoneticPr fontId="9"/>
  </si>
  <si>
    <t>124, Mieumgukje 2-ro, Gangseo-gu, Busan</t>
  </si>
  <si>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강서구</t>
    </r>
    <r>
      <rPr>
        <sz val="9"/>
        <color rgb="FF000000"/>
        <rFont val="Calibri"/>
        <family val="2"/>
      </rPr>
      <t xml:space="preserve"> </t>
    </r>
    <r>
      <rPr>
        <sz val="9"/>
        <color rgb="FF000000"/>
        <rFont val="맑은 고딕"/>
        <family val="3"/>
        <charset val="129"/>
      </rPr>
      <t>미음국제</t>
    </r>
    <r>
      <rPr>
        <sz val="9"/>
        <color rgb="FF000000"/>
        <rFont val="Calibri"/>
        <family val="2"/>
      </rPr>
      <t>2</t>
    </r>
    <r>
      <rPr>
        <sz val="9"/>
        <color rgb="FF000000"/>
        <rFont val="맑은 고딕"/>
        <family val="3"/>
        <charset val="129"/>
      </rPr>
      <t>로</t>
    </r>
    <r>
      <rPr>
        <sz val="9"/>
        <color rgb="FF000000"/>
        <rFont val="Calibri"/>
        <family val="2"/>
      </rPr>
      <t xml:space="preserve"> 124(</t>
    </r>
    <r>
      <rPr>
        <sz val="9"/>
        <color rgb="FF000000"/>
        <rFont val="맑은 고딕"/>
        <family val="3"/>
        <charset val="129"/>
      </rPr>
      <t>미음동</t>
    </r>
    <r>
      <rPr>
        <sz val="9"/>
        <color rgb="FF000000"/>
        <rFont val="Calibri"/>
        <family val="2"/>
      </rPr>
      <t xml:space="preserve"> 1644-3)</t>
    </r>
    <phoneticPr fontId="9"/>
  </si>
  <si>
    <t>35.148711 / 128.863679</t>
    <phoneticPr fontId="9"/>
  </si>
  <si>
    <t>Jisa S/S, Misan D/L 7MW</t>
    <phoneticPr fontId="9"/>
  </si>
  <si>
    <t>Kairos</t>
  </si>
  <si>
    <t>35, Je 3sandan 3-ro, Jecheon-si, Chungcheongbuk-do</t>
  </si>
  <si>
    <r>
      <rPr>
        <sz val="9"/>
        <color rgb="FF000000"/>
        <rFont val="맑은 고딕"/>
        <family val="2"/>
        <charset val="129"/>
      </rPr>
      <t>충청북도</t>
    </r>
    <r>
      <rPr>
        <sz val="9"/>
        <color rgb="FF000000"/>
        <rFont val="Calibri"/>
        <family val="2"/>
      </rPr>
      <t xml:space="preserve"> </t>
    </r>
    <r>
      <rPr>
        <sz val="9"/>
        <color rgb="FF000000"/>
        <rFont val="맑은 고딕"/>
        <family val="2"/>
        <charset val="129"/>
      </rPr>
      <t>제천시</t>
    </r>
    <r>
      <rPr>
        <sz val="9"/>
        <color rgb="FF000000"/>
        <rFont val="Calibri"/>
        <family val="2"/>
      </rPr>
      <t xml:space="preserve"> </t>
    </r>
    <r>
      <rPr>
        <sz val="9"/>
        <color rgb="FF000000"/>
        <rFont val="맑은 고딕"/>
        <family val="2"/>
        <charset val="129"/>
      </rPr>
      <t>제</t>
    </r>
    <r>
      <rPr>
        <sz val="9"/>
        <color rgb="FF000000"/>
        <rFont val="Calibri"/>
        <family val="2"/>
      </rPr>
      <t>3</t>
    </r>
    <r>
      <rPr>
        <sz val="9"/>
        <color rgb="FF000000"/>
        <rFont val="맑은 고딕"/>
        <family val="2"/>
        <charset val="129"/>
      </rPr>
      <t>산단</t>
    </r>
    <r>
      <rPr>
        <sz val="9"/>
        <color rgb="FF000000"/>
        <rFont val="Calibri"/>
        <family val="2"/>
      </rPr>
      <t>3</t>
    </r>
    <r>
      <rPr>
        <sz val="9"/>
        <color rgb="FF000000"/>
        <rFont val="맑은 고딕"/>
        <family val="2"/>
        <charset val="129"/>
      </rPr>
      <t>로</t>
    </r>
    <r>
      <rPr>
        <sz val="9"/>
        <color rgb="FF000000"/>
        <rFont val="Calibri"/>
        <family val="2"/>
      </rPr>
      <t xml:space="preserve"> 35 (</t>
    </r>
    <r>
      <rPr>
        <sz val="9"/>
        <color rgb="FF000000"/>
        <rFont val="맑은 고딕"/>
        <family val="2"/>
        <charset val="129"/>
      </rPr>
      <t>충청북도</t>
    </r>
    <r>
      <rPr>
        <sz val="9"/>
        <color rgb="FF000000"/>
        <rFont val="Calibri"/>
        <family val="2"/>
      </rPr>
      <t xml:space="preserve"> </t>
    </r>
    <r>
      <rPr>
        <sz val="9"/>
        <color rgb="FF000000"/>
        <rFont val="맑은 고딕"/>
        <family val="2"/>
        <charset val="129"/>
      </rPr>
      <t>제천시</t>
    </r>
    <r>
      <rPr>
        <sz val="9"/>
        <color rgb="FF000000"/>
        <rFont val="Calibri"/>
        <family val="2"/>
      </rPr>
      <t xml:space="preserve"> </t>
    </r>
    <r>
      <rPr>
        <sz val="9"/>
        <color rgb="FF000000"/>
        <rFont val="맑은 고딕"/>
        <family val="2"/>
        <charset val="129"/>
      </rPr>
      <t>왕암동</t>
    </r>
    <r>
      <rPr>
        <sz val="9"/>
        <color rgb="FF000000"/>
        <rFont val="Calibri"/>
        <family val="2"/>
      </rPr>
      <t xml:space="preserve"> 1434 or 1435)</t>
    </r>
    <phoneticPr fontId="9"/>
  </si>
  <si>
    <t>Chungcheongbuk-do</t>
  </si>
  <si>
    <t>Wangam S/S, MyeongIl D/L 11MW</t>
    <phoneticPr fontId="9"/>
  </si>
  <si>
    <t>Sehyun Chemical</t>
  </si>
  <si>
    <t>9, Pungjeong 2-gil, Naesu-eup, Cheongwon-gu, Cheongju-si, Chungcheongbuk-do</t>
  </si>
  <si>
    <r>
      <rPr>
        <sz val="9"/>
        <color rgb="FF000000"/>
        <rFont val="맑은 고딕"/>
        <family val="2"/>
        <charset val="129"/>
      </rPr>
      <t>충청북도</t>
    </r>
    <r>
      <rPr>
        <sz val="9"/>
        <color rgb="FF000000"/>
        <rFont val="Calibri"/>
        <family val="2"/>
      </rPr>
      <t xml:space="preserve"> </t>
    </r>
    <r>
      <rPr>
        <sz val="9"/>
        <color rgb="FF000000"/>
        <rFont val="맑은 고딕"/>
        <family val="2"/>
        <charset val="129"/>
      </rPr>
      <t>청주시</t>
    </r>
    <r>
      <rPr>
        <sz val="9"/>
        <color rgb="FF000000"/>
        <rFont val="Calibri"/>
        <family val="2"/>
      </rPr>
      <t xml:space="preserve"> </t>
    </r>
    <r>
      <rPr>
        <sz val="9"/>
        <color rgb="FF000000"/>
        <rFont val="맑은 고딕"/>
        <family val="2"/>
        <charset val="129"/>
      </rPr>
      <t>청원구</t>
    </r>
    <r>
      <rPr>
        <sz val="9"/>
        <color rgb="FF000000"/>
        <rFont val="Calibri"/>
        <family val="2"/>
      </rPr>
      <t xml:space="preserve"> </t>
    </r>
    <r>
      <rPr>
        <sz val="9"/>
        <color rgb="FF000000"/>
        <rFont val="맑은 고딕"/>
        <family val="2"/>
        <charset val="129"/>
      </rPr>
      <t>내수읍</t>
    </r>
    <r>
      <rPr>
        <sz val="9"/>
        <color rgb="FF000000"/>
        <rFont val="Calibri"/>
        <family val="2"/>
      </rPr>
      <t xml:space="preserve"> </t>
    </r>
    <r>
      <rPr>
        <sz val="9"/>
        <color rgb="FF000000"/>
        <rFont val="맑은 고딕"/>
        <family val="2"/>
        <charset val="129"/>
      </rPr>
      <t>풍정</t>
    </r>
    <r>
      <rPr>
        <sz val="9"/>
        <color rgb="FF000000"/>
        <rFont val="Calibri"/>
        <family val="2"/>
      </rPr>
      <t>2</t>
    </r>
    <r>
      <rPr>
        <sz val="9"/>
        <color rgb="FF000000"/>
        <rFont val="맑은 고딕"/>
        <family val="2"/>
        <charset val="129"/>
      </rPr>
      <t>길</t>
    </r>
    <r>
      <rPr>
        <sz val="9"/>
        <color rgb="FF000000"/>
        <rFont val="Calibri"/>
        <family val="2"/>
      </rPr>
      <t xml:space="preserve"> 9</t>
    </r>
    <phoneticPr fontId="9"/>
  </si>
  <si>
    <t>36.712544 / 127.555940</t>
  </si>
  <si>
    <t>B-</t>
    <phoneticPr fontId="10"/>
  </si>
  <si>
    <t>Chungcheongbuk-do</t>
    <phoneticPr fontId="9"/>
  </si>
  <si>
    <t>No</t>
    <phoneticPr fontId="9"/>
  </si>
  <si>
    <t>Chojeong S/S, DeokAm D/L 10MW</t>
    <phoneticPr fontId="9"/>
  </si>
  <si>
    <t>EBL application rejected, Request for submission after supplementing the balance certificate</t>
    <phoneticPr fontId="9"/>
  </si>
  <si>
    <t>Cosmo chemical</t>
  </si>
  <si>
    <t>55, Wonbong-ro, Onsan-eup, Ulju-gun, Ulsan</t>
  </si>
  <si>
    <r>
      <rPr>
        <sz val="9"/>
        <color rgb="FF000000"/>
        <rFont val="맑은 고딕"/>
        <family val="3"/>
        <charset val="129"/>
      </rPr>
      <t>울산</t>
    </r>
    <r>
      <rPr>
        <sz val="9"/>
        <color rgb="FF000000"/>
        <rFont val="Calibri"/>
        <family val="2"/>
      </rPr>
      <t xml:space="preserve"> </t>
    </r>
    <r>
      <rPr>
        <sz val="9"/>
        <color rgb="FF000000"/>
        <rFont val="맑은 고딕"/>
        <family val="3"/>
        <charset val="129"/>
      </rPr>
      <t>울주군</t>
    </r>
    <r>
      <rPr>
        <sz val="9"/>
        <color rgb="FF000000"/>
        <rFont val="Calibri"/>
        <family val="2"/>
      </rPr>
      <t xml:space="preserve"> </t>
    </r>
    <r>
      <rPr>
        <sz val="9"/>
        <color rgb="FF000000"/>
        <rFont val="맑은 고딕"/>
        <family val="3"/>
        <charset val="129"/>
      </rPr>
      <t>온산읍</t>
    </r>
    <r>
      <rPr>
        <sz val="9"/>
        <color rgb="FF000000"/>
        <rFont val="Calibri"/>
        <family val="2"/>
      </rPr>
      <t xml:space="preserve"> </t>
    </r>
    <r>
      <rPr>
        <sz val="9"/>
        <color rgb="FF000000"/>
        <rFont val="맑은 고딕"/>
        <family val="3"/>
        <charset val="129"/>
      </rPr>
      <t>원산리</t>
    </r>
    <r>
      <rPr>
        <sz val="9"/>
        <color rgb="FF000000"/>
        <rFont val="Calibri"/>
        <family val="2"/>
      </rPr>
      <t xml:space="preserve"> 891</t>
    </r>
    <phoneticPr fontId="9"/>
  </si>
  <si>
    <t>35.421052 / 129.346203</t>
    <phoneticPr fontId="9"/>
  </si>
  <si>
    <t>Bolt Taeyanggwang 3HO</t>
  </si>
  <si>
    <t>BB+</t>
  </si>
  <si>
    <t>Ulsan</t>
  </si>
  <si>
    <t>Daeduck D/L 10MW : 2026</t>
    <phoneticPr fontId="9"/>
  </si>
  <si>
    <t>Daeheung Industry</t>
  </si>
  <si>
    <t>673, Yeonhwa-ri, Jicheon-myeon, Chilgok-gun, Gyeongsangbuk-do</t>
  </si>
  <si>
    <r>
      <rPr>
        <strike/>
        <sz val="9"/>
        <color rgb="FFC00000"/>
        <rFont val="Calibri"/>
        <family val="2"/>
        <charset val="129"/>
      </rPr>
      <t>경상북도</t>
    </r>
    <r>
      <rPr>
        <strike/>
        <sz val="9"/>
        <color rgb="FFC00000"/>
        <rFont val="Calibri"/>
        <family val="2"/>
      </rPr>
      <t xml:space="preserve"> </t>
    </r>
    <r>
      <rPr>
        <strike/>
        <sz val="9"/>
        <color rgb="FFC00000"/>
        <rFont val="Calibri"/>
        <family val="2"/>
        <charset val="129"/>
      </rPr>
      <t>칠곡군</t>
    </r>
    <r>
      <rPr>
        <strike/>
        <sz val="9"/>
        <color rgb="FFC00000"/>
        <rFont val="Calibri"/>
        <family val="2"/>
      </rPr>
      <t xml:space="preserve"> </t>
    </r>
    <r>
      <rPr>
        <strike/>
        <sz val="9"/>
        <color rgb="FFC00000"/>
        <rFont val="Calibri"/>
        <family val="2"/>
        <charset val="129"/>
      </rPr>
      <t>지천면</t>
    </r>
    <r>
      <rPr>
        <strike/>
        <sz val="9"/>
        <color rgb="FFC00000"/>
        <rFont val="Calibri"/>
        <family val="2"/>
      </rPr>
      <t xml:space="preserve"> </t>
    </r>
    <r>
      <rPr>
        <strike/>
        <sz val="9"/>
        <color rgb="FFC00000"/>
        <rFont val="Calibri"/>
        <family val="2"/>
        <charset val="129"/>
      </rPr>
      <t>연화리</t>
    </r>
    <r>
      <rPr>
        <strike/>
        <sz val="9"/>
        <color rgb="FFC00000"/>
        <rFont val="Calibri"/>
        <family val="2"/>
      </rPr>
      <t xml:space="preserve"> 673-2,673-5</t>
    </r>
  </si>
  <si>
    <t>35.958172 / 128.447976</t>
  </si>
  <si>
    <t>BB-</t>
  </si>
  <si>
    <t>Due to a delay in signing a contract with us, a contract was signed with another company first.</t>
    <phoneticPr fontId="9"/>
  </si>
  <si>
    <t>Jeonjin Tech</t>
    <phoneticPr fontId="9"/>
  </si>
  <si>
    <t>148-80, Geumho-ro, Jicheon-myeon, Chilgok-gun, Gyeongsangbuk-do</t>
  </si>
  <si>
    <r>
      <rPr>
        <strike/>
        <sz val="9"/>
        <color rgb="FFC00000"/>
        <rFont val="Calibri"/>
        <family val="2"/>
        <charset val="129"/>
      </rPr>
      <t>경상북도</t>
    </r>
    <r>
      <rPr>
        <strike/>
        <sz val="9"/>
        <color rgb="FFC00000"/>
        <rFont val="Calibri"/>
        <family val="2"/>
      </rPr>
      <t xml:space="preserve"> </t>
    </r>
    <r>
      <rPr>
        <strike/>
        <sz val="9"/>
        <color rgb="FFC00000"/>
        <rFont val="Calibri"/>
        <family val="2"/>
        <charset val="129"/>
      </rPr>
      <t>칠곡군</t>
    </r>
    <r>
      <rPr>
        <strike/>
        <sz val="9"/>
        <color rgb="FFC00000"/>
        <rFont val="Calibri"/>
        <family val="2"/>
      </rPr>
      <t xml:space="preserve"> </t>
    </r>
    <r>
      <rPr>
        <strike/>
        <sz val="9"/>
        <color rgb="FFC00000"/>
        <rFont val="Calibri"/>
        <family val="2"/>
        <charset val="129"/>
      </rPr>
      <t>지천면</t>
    </r>
    <r>
      <rPr>
        <strike/>
        <sz val="9"/>
        <color rgb="FFC00000"/>
        <rFont val="Calibri"/>
        <family val="2"/>
      </rPr>
      <t xml:space="preserve"> </t>
    </r>
    <r>
      <rPr>
        <strike/>
        <sz val="9"/>
        <color rgb="FFC00000"/>
        <rFont val="Calibri"/>
        <family val="2"/>
        <charset val="129"/>
      </rPr>
      <t>금호리</t>
    </r>
    <r>
      <rPr>
        <strike/>
        <sz val="9"/>
        <color rgb="FFC00000"/>
        <rFont val="Calibri"/>
        <family val="2"/>
      </rPr>
      <t xml:space="preserve"> 396-32</t>
    </r>
  </si>
  <si>
    <t>35.946724 / 128.445923</t>
  </si>
  <si>
    <t>B-</t>
  </si>
  <si>
    <t>Dasa S/S, Hyeonnae D/L 7.7MW</t>
    <phoneticPr fontId="9"/>
  </si>
  <si>
    <t>Fine Precision Industrial</t>
    <phoneticPr fontId="9"/>
  </si>
  <si>
    <t>174-42, Jeongoksandan-ro, Seosin-myeon, Hwaseong-si, Gyeonggi-do</t>
  </si>
  <si>
    <r>
      <rPr>
        <strike/>
        <sz val="9"/>
        <color rgb="FFC00000"/>
        <rFont val="맑은 고딕"/>
        <family val="3"/>
        <charset val="129"/>
      </rPr>
      <t>경기도</t>
    </r>
    <r>
      <rPr>
        <strike/>
        <sz val="9"/>
        <color rgb="FFC00000"/>
        <rFont val="Calibri"/>
        <family val="2"/>
      </rPr>
      <t xml:space="preserve"> </t>
    </r>
    <r>
      <rPr>
        <strike/>
        <sz val="9"/>
        <color rgb="FFC00000"/>
        <rFont val="맑은 고딕"/>
        <family val="3"/>
        <charset val="129"/>
      </rPr>
      <t>화성시</t>
    </r>
    <r>
      <rPr>
        <strike/>
        <sz val="9"/>
        <color rgb="FFC00000"/>
        <rFont val="Calibri"/>
        <family val="2"/>
      </rPr>
      <t xml:space="preserve"> </t>
    </r>
    <r>
      <rPr>
        <strike/>
        <sz val="9"/>
        <color rgb="FFC00000"/>
        <rFont val="맑은 고딕"/>
        <family val="3"/>
        <charset val="129"/>
      </rPr>
      <t>서신면</t>
    </r>
    <r>
      <rPr>
        <strike/>
        <sz val="9"/>
        <color rgb="FFC00000"/>
        <rFont val="Calibri"/>
        <family val="2"/>
      </rPr>
      <t xml:space="preserve"> </t>
    </r>
    <r>
      <rPr>
        <strike/>
        <sz val="9"/>
        <color rgb="FFC00000"/>
        <rFont val="맑은 고딕"/>
        <family val="3"/>
        <charset val="129"/>
      </rPr>
      <t>전곡산단로</t>
    </r>
    <r>
      <rPr>
        <strike/>
        <sz val="9"/>
        <color rgb="FFC00000"/>
        <rFont val="Calibri"/>
        <family val="2"/>
      </rPr>
      <t xml:space="preserve"> 174-42(</t>
    </r>
    <r>
      <rPr>
        <strike/>
        <sz val="9"/>
        <color rgb="FFC00000"/>
        <rFont val="맑은 고딕"/>
        <family val="2"/>
        <charset val="129"/>
      </rPr>
      <t>장외리</t>
    </r>
    <r>
      <rPr>
        <strike/>
        <sz val="9"/>
        <color rgb="FFC00000"/>
        <rFont val="Calibri"/>
        <family val="2"/>
      </rPr>
      <t xml:space="preserve"> 651-7)</t>
    </r>
    <phoneticPr fontId="9"/>
  </si>
  <si>
    <t>37.185887 / 126.666793</t>
  </si>
  <si>
    <t>Sagang S/S, Sanup D/L 7MW</t>
    <phoneticPr fontId="9"/>
  </si>
  <si>
    <t>Esun</t>
  </si>
  <si>
    <t>26, Euntongsandan 1-gil, Yeoncheon-eup, Yeoncheon-gun, Gyeonggi-do</t>
  </si>
  <si>
    <r>
      <rPr>
        <sz val="9"/>
        <color rgb="FF000000"/>
        <rFont val="맑은 고딕"/>
        <family val="2"/>
      </rPr>
      <t>경기</t>
    </r>
    <r>
      <rPr>
        <sz val="9"/>
        <color rgb="FF000000"/>
        <rFont val="Calibri"/>
        <family val="2"/>
      </rPr>
      <t xml:space="preserve"> </t>
    </r>
    <r>
      <rPr>
        <sz val="9"/>
        <color rgb="FF000000"/>
        <rFont val="맑은 고딕"/>
        <family val="2"/>
      </rPr>
      <t>연천군</t>
    </r>
    <r>
      <rPr>
        <sz val="9"/>
        <color rgb="FF000000"/>
        <rFont val="Calibri"/>
        <family val="2"/>
      </rPr>
      <t xml:space="preserve"> </t>
    </r>
    <r>
      <rPr>
        <sz val="9"/>
        <color rgb="FF000000"/>
        <rFont val="맑은 고딕"/>
        <family val="2"/>
      </rPr>
      <t>연천읍</t>
    </r>
    <r>
      <rPr>
        <sz val="9"/>
        <color rgb="FF000000"/>
        <rFont val="Calibri"/>
        <family val="2"/>
      </rPr>
      <t xml:space="preserve"> </t>
    </r>
    <r>
      <rPr>
        <sz val="9"/>
        <color rgb="FF000000"/>
        <rFont val="맑은 고딕"/>
        <family val="2"/>
      </rPr>
      <t>통현리</t>
    </r>
    <r>
      <rPr>
        <sz val="9"/>
        <color rgb="FF000000"/>
        <rFont val="Calibri"/>
        <family val="2"/>
      </rPr>
      <t xml:space="preserve"> 1069-7</t>
    </r>
    <phoneticPr fontId="9"/>
  </si>
  <si>
    <t>38.071849 / 127.077021</t>
    <phoneticPr fontId="9"/>
  </si>
  <si>
    <t>Jeongok S/S, Naesan S/S : 2026-27</t>
    <phoneticPr fontId="9"/>
  </si>
  <si>
    <t>Seun BNC</t>
    <phoneticPr fontId="9"/>
  </si>
  <si>
    <t>201, Cheolgangsandan-ro 130beon-gil, Ocheon-eup, Nam-gu, Pohang-si, Gyeongsangbuk-do</t>
    <phoneticPr fontId="9"/>
  </si>
  <si>
    <r>
      <rPr>
        <sz val="9"/>
        <color rgb="FF000000"/>
        <rFont val="맑은 고딕"/>
        <family val="2"/>
      </rPr>
      <t>경상북도</t>
    </r>
    <r>
      <rPr>
        <sz val="9"/>
        <color rgb="FF000000"/>
        <rFont val="Calibri"/>
        <family val="2"/>
      </rPr>
      <t xml:space="preserve"> </t>
    </r>
    <r>
      <rPr>
        <sz val="9"/>
        <color rgb="FF000000"/>
        <rFont val="맑은 고딕"/>
        <family val="2"/>
      </rPr>
      <t>포항시</t>
    </r>
    <r>
      <rPr>
        <sz val="9"/>
        <color rgb="FF000000"/>
        <rFont val="Calibri"/>
        <family val="2"/>
      </rPr>
      <t xml:space="preserve"> </t>
    </r>
    <r>
      <rPr>
        <sz val="9"/>
        <color rgb="FF000000"/>
        <rFont val="맑은 고딕"/>
        <family val="2"/>
      </rPr>
      <t>남구</t>
    </r>
    <r>
      <rPr>
        <sz val="9"/>
        <color rgb="FF000000"/>
        <rFont val="Calibri"/>
        <family val="2"/>
      </rPr>
      <t xml:space="preserve"> </t>
    </r>
    <r>
      <rPr>
        <sz val="9"/>
        <color rgb="FF000000"/>
        <rFont val="맑은 고딕"/>
        <family val="2"/>
      </rPr>
      <t>오천읍</t>
    </r>
    <r>
      <rPr>
        <sz val="9"/>
        <color rgb="FF000000"/>
        <rFont val="Calibri"/>
        <family val="2"/>
      </rPr>
      <t xml:space="preserve"> </t>
    </r>
    <r>
      <rPr>
        <sz val="9"/>
        <color rgb="FF000000"/>
        <rFont val="맑은 고딕"/>
        <family val="2"/>
      </rPr>
      <t>철강산단로</t>
    </r>
    <r>
      <rPr>
        <sz val="9"/>
        <color rgb="FF000000"/>
        <rFont val="Calibri"/>
        <family val="2"/>
      </rPr>
      <t xml:space="preserve"> 130</t>
    </r>
    <r>
      <rPr>
        <sz val="9"/>
        <color rgb="FF000000"/>
        <rFont val="맑은 고딕"/>
        <family val="2"/>
      </rPr>
      <t>번길</t>
    </r>
    <r>
      <rPr>
        <sz val="9"/>
        <color rgb="FF000000"/>
        <rFont val="Calibri"/>
        <family val="2"/>
      </rPr>
      <t xml:space="preserve"> 201</t>
    </r>
    <phoneticPr fontId="0" type="noConversion"/>
  </si>
  <si>
    <t>35.957090 / 129.391365</t>
  </si>
  <si>
    <t>Under Lease (Waiting list)</t>
  </si>
  <si>
    <t>Daesong S/S, Dohak D/L 10MW</t>
    <phoneticPr fontId="9"/>
  </si>
  <si>
    <t>Seun Steel Gyeongju</t>
    <phoneticPr fontId="9"/>
  </si>
  <si>
    <t>184-20, Cheonbuksandan-ro, Cheonbuk-myeon, Gyeongju-si, Gyeongsangbuk-do</t>
    <phoneticPr fontId="9"/>
  </si>
  <si>
    <r>
      <rPr>
        <sz val="9"/>
        <color rgb="FF000000"/>
        <rFont val="맑은 고딕"/>
        <family val="2"/>
      </rPr>
      <t>경상북도</t>
    </r>
    <r>
      <rPr>
        <sz val="9"/>
        <color rgb="FF000000"/>
        <rFont val="Calibri"/>
        <family val="2"/>
      </rPr>
      <t xml:space="preserve"> </t>
    </r>
    <r>
      <rPr>
        <sz val="9"/>
        <color rgb="FF000000"/>
        <rFont val="맑은 고딕"/>
        <family val="2"/>
      </rPr>
      <t>경주시</t>
    </r>
    <r>
      <rPr>
        <sz val="9"/>
        <color rgb="FF000000"/>
        <rFont val="Calibri"/>
        <family val="2"/>
      </rPr>
      <t xml:space="preserve"> </t>
    </r>
    <r>
      <rPr>
        <sz val="9"/>
        <color rgb="FF000000"/>
        <rFont val="맑은 고딕"/>
        <family val="2"/>
      </rPr>
      <t>천북면</t>
    </r>
    <r>
      <rPr>
        <sz val="9"/>
        <color rgb="FF000000"/>
        <rFont val="Calibri"/>
        <family val="2"/>
      </rPr>
      <t xml:space="preserve"> </t>
    </r>
    <r>
      <rPr>
        <sz val="9"/>
        <color rgb="FF000000"/>
        <rFont val="맑은 고딕"/>
        <family val="2"/>
      </rPr>
      <t>천북산단로</t>
    </r>
    <r>
      <rPr>
        <sz val="9"/>
        <color rgb="FF000000"/>
        <rFont val="Calibri"/>
        <family val="2"/>
      </rPr>
      <t xml:space="preserve"> 184-20</t>
    </r>
    <phoneticPr fontId="0" type="noConversion"/>
  </si>
  <si>
    <t xml:space="preserve"> 35.944606 / 129.271791</t>
  </si>
  <si>
    <t>Bolt Taeyanggwang 3HO</t>
    <phoneticPr fontId="9"/>
  </si>
  <si>
    <t>Cheonbuk SA S/S, Yangdong D/L 9MW</t>
    <phoneticPr fontId="9"/>
  </si>
  <si>
    <t xml:space="preserve">Tyson Foods Korea </t>
    <phoneticPr fontId="9"/>
  </si>
  <si>
    <t>258, Sandan-gil, Jeonui-myeon, Sejong</t>
    <phoneticPr fontId="9"/>
  </si>
  <si>
    <r>
      <rPr>
        <sz val="9"/>
        <color rgb="FF000000"/>
        <rFont val="맑은 고딕"/>
        <family val="3"/>
        <charset val="129"/>
      </rPr>
      <t>세종특별자치시</t>
    </r>
    <r>
      <rPr>
        <sz val="9"/>
        <color rgb="FF000000"/>
        <rFont val="Calibri"/>
        <family val="2"/>
      </rPr>
      <t xml:space="preserve"> </t>
    </r>
    <r>
      <rPr>
        <sz val="9"/>
        <color rgb="FF000000"/>
        <rFont val="맑은 고딕"/>
        <family val="3"/>
        <charset val="129"/>
      </rPr>
      <t>전의면</t>
    </r>
    <r>
      <rPr>
        <sz val="9"/>
        <color rgb="FF000000"/>
        <rFont val="Calibri"/>
        <family val="2"/>
      </rPr>
      <t xml:space="preserve"> </t>
    </r>
    <r>
      <rPr>
        <sz val="9"/>
        <color rgb="FF000000"/>
        <rFont val="맑은 고딕"/>
        <family val="3"/>
        <charset val="129"/>
      </rPr>
      <t>산단길</t>
    </r>
    <r>
      <rPr>
        <sz val="9"/>
        <color rgb="FF000000"/>
        <rFont val="Calibri"/>
        <family val="2"/>
      </rPr>
      <t xml:space="preserve"> 258</t>
    </r>
    <phoneticPr fontId="9"/>
  </si>
  <si>
    <t>36.700583 / 127.221549</t>
    <phoneticPr fontId="9"/>
  </si>
  <si>
    <t>BBB0</t>
  </si>
  <si>
    <t>Sejong</t>
  </si>
  <si>
    <t>Jeon S/S Gwanjeong D/L 6MW</t>
    <phoneticPr fontId="9"/>
  </si>
  <si>
    <t>Late March - early April 2025 Date of signing the lease agreement</t>
  </si>
  <si>
    <t>MPM Trade</t>
    <phoneticPr fontId="9"/>
  </si>
  <si>
    <t>238, Amsogogae-ro, Yanggam-myeon, Hwaseong-si, Gyeonggi-do</t>
    <phoneticPr fontId="9"/>
  </si>
  <si>
    <t>경기도 화성시 양감면 암소고개로 238</t>
    <phoneticPr fontId="9"/>
  </si>
  <si>
    <t>37.077854 / 126.915375</t>
  </si>
  <si>
    <t>Guseong S/S Guhyang D/L 12MW</t>
    <phoneticPr fontId="9"/>
  </si>
  <si>
    <t xml:space="preserve">Oneel </t>
    <phoneticPr fontId="9"/>
  </si>
  <si>
    <t>876-5, Mangdeok-ri, Juchon-myeon, Gimhae-si, Gyeongsangnam-do</t>
    <phoneticPr fontId="9"/>
  </si>
  <si>
    <t>경상남도 김해시 주촌면 망덕리 876-5</t>
    <phoneticPr fontId="9"/>
  </si>
  <si>
    <t>35.13768 / 128.492227</t>
    <phoneticPr fontId="9"/>
  </si>
  <si>
    <t>Bolt Taeyanggwang 3HO</t>
    <phoneticPr fontId="7" type="noConversion"/>
  </si>
  <si>
    <t>BBB</t>
    <phoneticPr fontId="9"/>
  </si>
  <si>
    <t>Joochon S/S, Hoopo D/L  12MW</t>
    <phoneticPr fontId="9"/>
  </si>
  <si>
    <t>25.03.21</t>
    <phoneticPr fontId="9"/>
  </si>
  <si>
    <t>BNB Composite</t>
    <phoneticPr fontId="9"/>
  </si>
  <si>
    <t>82, Geomsaegil, Samnangjin-eup, Miryang-si, Gyeongsangnam-do</t>
    <phoneticPr fontId="9"/>
  </si>
  <si>
    <r>
      <rPr>
        <sz val="9"/>
        <color rgb="FF000000"/>
        <rFont val="맑은 고딕"/>
        <family val="2"/>
        <charset val="129"/>
      </rPr>
      <t>경상남도</t>
    </r>
    <r>
      <rPr>
        <sz val="9"/>
        <color rgb="FF000000"/>
        <rFont val="Calibri"/>
        <family val="2"/>
      </rPr>
      <t xml:space="preserve"> </t>
    </r>
    <r>
      <rPr>
        <sz val="9"/>
        <color rgb="FF000000"/>
        <rFont val="맑은 고딕"/>
        <family val="2"/>
        <charset val="129"/>
      </rPr>
      <t>밀양시</t>
    </r>
    <r>
      <rPr>
        <sz val="9"/>
        <color rgb="FF000000"/>
        <rFont val="Calibri"/>
        <family val="2"/>
      </rPr>
      <t xml:space="preserve"> </t>
    </r>
    <r>
      <rPr>
        <sz val="9"/>
        <color rgb="FF000000"/>
        <rFont val="맑은 고딕"/>
        <family val="2"/>
        <charset val="129"/>
      </rPr>
      <t>삼랑진읍</t>
    </r>
    <r>
      <rPr>
        <sz val="9"/>
        <color rgb="FF000000"/>
        <rFont val="Calibri"/>
        <family val="2"/>
      </rPr>
      <t xml:space="preserve"> </t>
    </r>
    <r>
      <rPr>
        <sz val="9"/>
        <color rgb="FF000000"/>
        <rFont val="맑은 고딕"/>
        <family val="2"/>
        <charset val="129"/>
      </rPr>
      <t>검세길</t>
    </r>
    <r>
      <rPr>
        <sz val="9"/>
        <color rgb="FF000000"/>
        <rFont val="Calibri"/>
        <family val="2"/>
      </rPr>
      <t xml:space="preserve"> 82</t>
    </r>
    <phoneticPr fontId="9"/>
  </si>
  <si>
    <t>35.242419/ 128.51722</t>
    <phoneticPr fontId="9"/>
  </si>
  <si>
    <t>Applied Apr 16</t>
    <phoneticPr fontId="9"/>
  </si>
  <si>
    <t>Milyang S/S, Yongil D/L 5MW</t>
    <phoneticPr fontId="9"/>
  </si>
  <si>
    <t xml:space="preserve">Sammi </t>
    <phoneticPr fontId="9"/>
  </si>
  <si>
    <t>113, Bosero-ro, Dong-gu, Incheon</t>
    <phoneticPr fontId="9"/>
  </si>
  <si>
    <r>
      <rPr>
        <sz val="9"/>
        <color rgb="FF000000"/>
        <rFont val="맑은 고딕"/>
        <family val="3"/>
        <charset val="129"/>
      </rPr>
      <t>인천광역시</t>
    </r>
    <r>
      <rPr>
        <sz val="9"/>
        <color rgb="FF000000"/>
        <rFont val="Calibri"/>
        <family val="2"/>
      </rPr>
      <t xml:space="preserve"> </t>
    </r>
    <r>
      <rPr>
        <sz val="9"/>
        <color rgb="FF000000"/>
        <rFont val="맑은 고딕"/>
        <family val="3"/>
        <charset val="129"/>
      </rPr>
      <t>동구</t>
    </r>
    <r>
      <rPr>
        <sz val="9"/>
        <color rgb="FF000000"/>
        <rFont val="Calibri"/>
        <family val="2"/>
      </rPr>
      <t xml:space="preserve"> </t>
    </r>
    <r>
      <rPr>
        <sz val="9"/>
        <color rgb="FF000000"/>
        <rFont val="맑은 고딕"/>
        <family val="3"/>
        <charset val="129"/>
      </rPr>
      <t>보세로</t>
    </r>
    <r>
      <rPr>
        <sz val="9"/>
        <color rgb="FF000000"/>
        <rFont val="Calibri"/>
        <family val="2"/>
      </rPr>
      <t xml:space="preserve"> 113</t>
    </r>
  </si>
  <si>
    <t>37.291186/ 126,364101</t>
    <phoneticPr fontId="9"/>
  </si>
  <si>
    <t>BBB-</t>
    <phoneticPr fontId="9"/>
  </si>
  <si>
    <t>Incheon</t>
    <phoneticPr fontId="9"/>
  </si>
  <si>
    <t>Songwol S/S, Hwasu D/L 12MW</t>
    <phoneticPr fontId="9"/>
  </si>
  <si>
    <t>Kyunghan Korea 1</t>
    <phoneticPr fontId="9"/>
  </si>
  <si>
    <t>424, Gongdan-ro, Seongsan-gu, Changwon-si, Gyeongsangnam-do</t>
    <phoneticPr fontId="9"/>
  </si>
  <si>
    <t>경상남도 창원시 성산구 공단로 424</t>
  </si>
  <si>
    <t>AAA</t>
    <phoneticPr fontId="9"/>
  </si>
  <si>
    <t>Wanam S/S Banwol D/L 10MW</t>
    <phoneticPr fontId="9"/>
  </si>
  <si>
    <t>Kyunghan Korea 2</t>
  </si>
  <si>
    <t>172-18, Chasang-ro, Uichang-gu, Changwon-si, Gyeongsangnam-do</t>
    <phoneticPr fontId="9"/>
  </si>
  <si>
    <r>
      <rPr>
        <strike/>
        <sz val="9"/>
        <color rgb="FFC00000"/>
        <rFont val="맑은 고딕"/>
        <family val="3"/>
        <charset val="129"/>
      </rPr>
      <t>경상남도</t>
    </r>
    <r>
      <rPr>
        <strike/>
        <sz val="9"/>
        <color rgb="FFC00000"/>
        <rFont val="Calibri"/>
        <family val="2"/>
      </rPr>
      <t xml:space="preserve"> </t>
    </r>
    <r>
      <rPr>
        <strike/>
        <sz val="9"/>
        <color rgb="FFC00000"/>
        <rFont val="맑은 고딕"/>
        <family val="3"/>
        <charset val="129"/>
      </rPr>
      <t>창원시</t>
    </r>
    <r>
      <rPr>
        <strike/>
        <sz val="9"/>
        <color rgb="FFC00000"/>
        <rFont val="Calibri"/>
        <family val="2"/>
      </rPr>
      <t xml:space="preserve"> </t>
    </r>
    <r>
      <rPr>
        <strike/>
        <sz val="9"/>
        <color rgb="FFC00000"/>
        <rFont val="맑은 고딕"/>
        <family val="3"/>
        <charset val="129"/>
      </rPr>
      <t>의창구</t>
    </r>
    <r>
      <rPr>
        <strike/>
        <sz val="9"/>
        <color rgb="FFC00000"/>
        <rFont val="Calibri"/>
        <family val="2"/>
      </rPr>
      <t xml:space="preserve"> </t>
    </r>
    <r>
      <rPr>
        <strike/>
        <sz val="9"/>
        <color rgb="FFC00000"/>
        <rFont val="맑은 고딕"/>
        <family val="3"/>
        <charset val="129"/>
      </rPr>
      <t>차상로</t>
    </r>
    <r>
      <rPr>
        <strike/>
        <sz val="9"/>
        <color rgb="FFC00000"/>
        <rFont val="Calibri"/>
        <family val="2"/>
      </rPr>
      <t xml:space="preserve"> 172-18</t>
    </r>
  </si>
  <si>
    <t>Bolt Taeyanggwang 3HO(TBD)</t>
  </si>
  <si>
    <t>Charyong S/S Dongmyeong D/L  11MW</t>
    <phoneticPr fontId="9"/>
  </si>
  <si>
    <t>Yooil Rubber 1</t>
    <phoneticPr fontId="9"/>
  </si>
  <si>
    <t>152, Jangan Industrial Complex-ro, Jangan-eup, Gijang-gun, Busan</t>
    <phoneticPr fontId="9"/>
  </si>
  <si>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기장군</t>
    </r>
    <r>
      <rPr>
        <sz val="9"/>
        <color rgb="FF000000"/>
        <rFont val="Calibri"/>
        <family val="2"/>
      </rPr>
      <t xml:space="preserve"> </t>
    </r>
    <r>
      <rPr>
        <sz val="9"/>
        <color rgb="FF000000"/>
        <rFont val="맑은 고딕"/>
        <family val="3"/>
        <charset val="129"/>
      </rPr>
      <t>장안읍</t>
    </r>
    <r>
      <rPr>
        <sz val="9"/>
        <color rgb="FF000000"/>
        <rFont val="Calibri"/>
        <family val="2"/>
      </rPr>
      <t xml:space="preserve"> </t>
    </r>
    <r>
      <rPr>
        <sz val="9"/>
        <color rgb="FF000000"/>
        <rFont val="맑은 고딕"/>
        <family val="3"/>
        <charset val="129"/>
      </rPr>
      <t>장안산단로</t>
    </r>
    <r>
      <rPr>
        <sz val="9"/>
        <color rgb="FF000000"/>
        <rFont val="Calibri"/>
        <family val="2"/>
      </rPr>
      <t xml:space="preserve"> 152</t>
    </r>
  </si>
  <si>
    <t>Myeongnye S/S Bansan D/L 8MW</t>
    <phoneticPr fontId="9"/>
  </si>
  <si>
    <t>Yooil Rubber 2</t>
  </si>
  <si>
    <t>801, Jeonggwan-ro, Jeonggwan-eup, Gijang-gun, Busan</t>
    <phoneticPr fontId="9"/>
  </si>
  <si>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기장군</t>
    </r>
    <r>
      <rPr>
        <sz val="9"/>
        <color rgb="FF000000"/>
        <rFont val="Calibri"/>
        <family val="2"/>
      </rPr>
      <t xml:space="preserve"> </t>
    </r>
    <r>
      <rPr>
        <sz val="9"/>
        <color rgb="FF000000"/>
        <rFont val="맑은 고딕"/>
        <family val="3"/>
        <charset val="129"/>
      </rPr>
      <t>정관읍</t>
    </r>
    <r>
      <rPr>
        <sz val="9"/>
        <color rgb="FF000000"/>
        <rFont val="Calibri"/>
        <family val="2"/>
      </rPr>
      <t xml:space="preserve"> </t>
    </r>
    <r>
      <rPr>
        <sz val="9"/>
        <color rgb="FF000000"/>
        <rFont val="맑은 고딕"/>
        <family val="3"/>
        <charset val="129"/>
      </rPr>
      <t>정관로</t>
    </r>
    <r>
      <rPr>
        <sz val="9"/>
        <color rgb="FF000000"/>
        <rFont val="Calibri"/>
        <family val="2"/>
      </rPr>
      <t xml:space="preserve"> 801</t>
    </r>
  </si>
  <si>
    <t>Jeonggwan S/S Yuil D/L 12MW</t>
    <phoneticPr fontId="9"/>
  </si>
  <si>
    <t>Doori Industry</t>
    <phoneticPr fontId="9"/>
  </si>
  <si>
    <t>Gyeonggi-do, Yangju-si, Gwangjeong-myeon, Gwanggogae-ro 188beon-gil 49 (Gyeonggi-do, Yangju-si, Gwangjeong-myeon, Ganap-ri 80)</t>
    <phoneticPr fontId="7" type="noConversion"/>
  </si>
  <si>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양주시</t>
    </r>
    <r>
      <rPr>
        <sz val="9"/>
        <color rgb="FF000000"/>
        <rFont val="Calibri"/>
        <family val="2"/>
      </rPr>
      <t xml:space="preserve"> </t>
    </r>
    <r>
      <rPr>
        <sz val="9"/>
        <color rgb="FF000000"/>
        <rFont val="맑은 고딕"/>
        <family val="3"/>
        <charset val="129"/>
      </rPr>
      <t>광적면</t>
    </r>
    <r>
      <rPr>
        <sz val="9"/>
        <color rgb="FF000000"/>
        <rFont val="Calibri"/>
        <family val="2"/>
      </rPr>
      <t xml:space="preserve"> </t>
    </r>
    <r>
      <rPr>
        <sz val="9"/>
        <color rgb="FF000000"/>
        <rFont val="맑은 고딕"/>
        <family val="3"/>
        <charset val="129"/>
      </rPr>
      <t>그루고개로</t>
    </r>
    <r>
      <rPr>
        <sz val="9"/>
        <color rgb="FF000000"/>
        <rFont val="Calibri"/>
        <family val="2"/>
      </rPr>
      <t xml:space="preserve"> 188</t>
    </r>
    <r>
      <rPr>
        <sz val="9"/>
        <color rgb="FF000000"/>
        <rFont val="맑은 고딕"/>
        <family val="3"/>
        <charset val="129"/>
      </rPr>
      <t>번길</t>
    </r>
    <r>
      <rPr>
        <sz val="9"/>
        <color rgb="FF000000"/>
        <rFont val="Calibri"/>
        <family val="2"/>
      </rPr>
      <t xml:space="preserve"> 49(</t>
    </r>
    <r>
      <rPr>
        <sz val="9"/>
        <color rgb="FF000000"/>
        <rFont val="맑은 고딕"/>
        <family val="3"/>
        <charset val="129"/>
      </rPr>
      <t>경기도</t>
    </r>
    <r>
      <rPr>
        <sz val="9"/>
        <color rgb="FF000000"/>
        <rFont val="Calibri"/>
        <family val="2"/>
      </rPr>
      <t xml:space="preserve"> </t>
    </r>
    <r>
      <rPr>
        <sz val="9"/>
        <color rgb="FF000000"/>
        <rFont val="맑은 고딕"/>
        <family val="3"/>
        <charset val="129"/>
      </rPr>
      <t>양주시</t>
    </r>
    <r>
      <rPr>
        <sz val="9"/>
        <color rgb="FF000000"/>
        <rFont val="Calibri"/>
        <family val="2"/>
      </rPr>
      <t xml:space="preserve"> </t>
    </r>
    <r>
      <rPr>
        <sz val="9"/>
        <color rgb="FF000000"/>
        <rFont val="맑은 고딕"/>
        <family val="3"/>
        <charset val="129"/>
      </rPr>
      <t>광적면</t>
    </r>
    <r>
      <rPr>
        <sz val="9"/>
        <color rgb="FF000000"/>
        <rFont val="Calibri"/>
        <family val="2"/>
      </rPr>
      <t xml:space="preserve"> </t>
    </r>
    <r>
      <rPr>
        <sz val="9"/>
        <color rgb="FF000000"/>
        <rFont val="맑은 고딕"/>
        <family val="3"/>
        <charset val="129"/>
      </rPr>
      <t>가납리</t>
    </r>
    <r>
      <rPr>
        <sz val="9"/>
        <color rgb="FF000000"/>
        <rFont val="Calibri"/>
        <family val="2"/>
      </rPr>
      <t xml:space="preserve"> 80)</t>
    </r>
    <phoneticPr fontId="9"/>
  </si>
  <si>
    <t>37.494289 / 127.0617</t>
    <phoneticPr fontId="9"/>
  </si>
  <si>
    <t>Bolt Taeyanggwang 2HO</t>
    <phoneticPr fontId="7" type="noConversion"/>
  </si>
  <si>
    <t>B0</t>
    <phoneticPr fontId="9"/>
  </si>
  <si>
    <t>Baekseok SS, GwangSeong D/L 11MW</t>
    <phoneticPr fontId="9"/>
  </si>
  <si>
    <t>Energy Plan</t>
  </si>
  <si>
    <t>Gyeongju Hyosung Energy farm</t>
    <phoneticPr fontId="9"/>
  </si>
  <si>
    <t>295-6, Cheongang-ro, Cheonbuk-myeon, Gyeongju-si (803-8, Hwasang-ri, Cheonbuk-myeon, Gyeongju-si)</t>
  </si>
  <si>
    <r>
      <rPr>
        <sz val="9"/>
        <color rgb="FF000000"/>
        <rFont val="맑은 고딕"/>
        <family val="3"/>
        <charset val="129"/>
      </rPr>
      <t>경북</t>
    </r>
    <r>
      <rPr>
        <sz val="9"/>
        <color rgb="FF000000"/>
        <rFont val="Calibri"/>
        <family val="2"/>
      </rPr>
      <t xml:space="preserve"> </t>
    </r>
    <r>
      <rPr>
        <sz val="9"/>
        <color rgb="FF000000"/>
        <rFont val="맑은 고딕"/>
        <family val="3"/>
        <charset val="129"/>
      </rPr>
      <t>경주시</t>
    </r>
    <r>
      <rPr>
        <sz val="9"/>
        <color rgb="FF000000"/>
        <rFont val="Calibri"/>
        <family val="2"/>
      </rPr>
      <t xml:space="preserve"> </t>
    </r>
    <r>
      <rPr>
        <sz val="9"/>
        <color rgb="FF000000"/>
        <rFont val="맑은 고딕"/>
        <family val="3"/>
        <charset val="129"/>
      </rPr>
      <t>천북면</t>
    </r>
    <r>
      <rPr>
        <sz val="9"/>
        <color rgb="FF000000"/>
        <rFont val="Calibri"/>
        <family val="2"/>
      </rPr>
      <t xml:space="preserve"> </t>
    </r>
    <r>
      <rPr>
        <sz val="9"/>
        <color rgb="FF000000"/>
        <rFont val="맑은 고딕"/>
        <family val="3"/>
        <charset val="129"/>
      </rPr>
      <t>천강로</t>
    </r>
    <r>
      <rPr>
        <sz val="9"/>
        <color rgb="FF000000"/>
        <rFont val="Calibri"/>
        <family val="2"/>
      </rPr>
      <t xml:space="preserve"> 295-6(</t>
    </r>
    <r>
      <rPr>
        <sz val="9"/>
        <color rgb="FF000000"/>
        <rFont val="맑은 고딕"/>
        <family val="3"/>
        <charset val="129"/>
      </rPr>
      <t>경주시</t>
    </r>
    <r>
      <rPr>
        <sz val="9"/>
        <color rgb="FF000000"/>
        <rFont val="Calibri"/>
        <family val="2"/>
      </rPr>
      <t xml:space="preserve"> </t>
    </r>
    <r>
      <rPr>
        <sz val="9"/>
        <color rgb="FF000000"/>
        <rFont val="맑은 고딕"/>
        <family val="3"/>
        <charset val="129"/>
      </rPr>
      <t>천북면</t>
    </r>
    <r>
      <rPr>
        <sz val="9"/>
        <color rgb="FF000000"/>
        <rFont val="Calibri"/>
        <family val="2"/>
      </rPr>
      <t xml:space="preserve"> </t>
    </r>
    <r>
      <rPr>
        <sz val="9"/>
        <color rgb="FF000000"/>
        <rFont val="맑은 고딕"/>
        <family val="3"/>
        <charset val="129"/>
      </rPr>
      <t>화산리</t>
    </r>
    <r>
      <rPr>
        <sz val="9"/>
        <color rgb="FF000000"/>
        <rFont val="Calibri"/>
        <family val="2"/>
      </rPr>
      <t xml:space="preserve"> 803-8)</t>
    </r>
    <phoneticPr fontId="9"/>
  </si>
  <si>
    <t>35.545396 / 129.17425</t>
    <phoneticPr fontId="9"/>
  </si>
  <si>
    <t>BB+</t>
    <phoneticPr fontId="9"/>
  </si>
  <si>
    <t>Gyeongsangbuk-do</t>
  </si>
  <si>
    <t>Cheonbuk SA S/S, Gukdang D/L 9MW</t>
    <phoneticPr fontId="9"/>
  </si>
  <si>
    <t>Early April 2025 Date of signing the lease agreement</t>
    <phoneticPr fontId="9"/>
  </si>
  <si>
    <t>Kojimom Bio</t>
    <phoneticPr fontId="9"/>
  </si>
  <si>
    <t>288, Seongbonsandan 2-ro, Daeso-myeon, Eumseong-gun, Chungcheongbuk-gun (1038, Seongbon-ri, Daeso-myeon, Eumseong-gun)</t>
    <phoneticPr fontId="7" type="noConversion"/>
  </si>
  <si>
    <r>
      <rPr>
        <sz val="9"/>
        <color rgb="FF000000"/>
        <rFont val="맑은 고딕"/>
        <family val="3"/>
        <charset val="129"/>
      </rPr>
      <t>충북</t>
    </r>
    <r>
      <rPr>
        <sz val="9"/>
        <color rgb="FF000000"/>
        <rFont val="Calibri"/>
        <family val="2"/>
      </rPr>
      <t xml:space="preserve"> </t>
    </r>
    <r>
      <rPr>
        <sz val="9"/>
        <color rgb="FF000000"/>
        <rFont val="맑은 고딕"/>
        <family val="3"/>
        <charset val="129"/>
      </rPr>
      <t>음성군</t>
    </r>
    <r>
      <rPr>
        <sz val="9"/>
        <color rgb="FF000000"/>
        <rFont val="Calibri"/>
        <family val="2"/>
      </rPr>
      <t xml:space="preserve"> </t>
    </r>
    <r>
      <rPr>
        <sz val="9"/>
        <color rgb="FF000000"/>
        <rFont val="맑은 고딕"/>
        <family val="3"/>
        <charset val="129"/>
      </rPr>
      <t>대소면</t>
    </r>
    <r>
      <rPr>
        <sz val="9"/>
        <color rgb="FF000000"/>
        <rFont val="Calibri"/>
        <family val="2"/>
      </rPr>
      <t xml:space="preserve"> </t>
    </r>
    <r>
      <rPr>
        <sz val="9"/>
        <color rgb="FF000000"/>
        <rFont val="맑은 고딕"/>
        <family val="3"/>
        <charset val="129"/>
      </rPr>
      <t>성본산단</t>
    </r>
    <r>
      <rPr>
        <sz val="9"/>
        <color rgb="FF000000"/>
        <rFont val="Calibri"/>
        <family val="2"/>
      </rPr>
      <t>2</t>
    </r>
    <r>
      <rPr>
        <sz val="9"/>
        <color rgb="FF000000"/>
        <rFont val="맑은 고딕"/>
        <family val="3"/>
        <charset val="129"/>
      </rPr>
      <t>로</t>
    </r>
    <r>
      <rPr>
        <sz val="9"/>
        <color rgb="FF000000"/>
        <rFont val="Calibri"/>
        <family val="2"/>
      </rPr>
      <t xml:space="preserve"> 288 (</t>
    </r>
    <r>
      <rPr>
        <sz val="9"/>
        <color rgb="FF000000"/>
        <rFont val="맑은 고딕"/>
        <family val="3"/>
        <charset val="129"/>
      </rPr>
      <t>음성군</t>
    </r>
    <r>
      <rPr>
        <sz val="9"/>
        <color rgb="FF000000"/>
        <rFont val="Calibri"/>
        <family val="2"/>
      </rPr>
      <t xml:space="preserve"> </t>
    </r>
    <r>
      <rPr>
        <sz val="9"/>
        <color rgb="FF000000"/>
        <rFont val="맑은 고딕"/>
        <family val="3"/>
        <charset val="129"/>
      </rPr>
      <t>대소면</t>
    </r>
    <r>
      <rPr>
        <sz val="9"/>
        <color rgb="FF000000"/>
        <rFont val="Calibri"/>
        <family val="2"/>
      </rPr>
      <t xml:space="preserve"> </t>
    </r>
    <r>
      <rPr>
        <sz val="9"/>
        <color rgb="FF000000"/>
        <rFont val="맑은 고딕"/>
        <family val="3"/>
        <charset val="129"/>
      </rPr>
      <t>성본리</t>
    </r>
    <r>
      <rPr>
        <sz val="9"/>
        <color rgb="FF000000"/>
        <rFont val="Calibri"/>
        <family val="2"/>
      </rPr>
      <t xml:space="preserve"> 1038)</t>
    </r>
    <phoneticPr fontId="9"/>
  </si>
  <si>
    <t>36.574152 / 127.315020</t>
    <phoneticPr fontId="9"/>
  </si>
  <si>
    <t>CCC0</t>
    <phoneticPr fontId="9"/>
  </si>
  <si>
    <t>SouthEumseong S/S, Daeguem D/L 8MW</t>
    <phoneticPr fontId="9"/>
  </si>
  <si>
    <t>Dongshin Motek</t>
    <phoneticPr fontId="9"/>
  </si>
  <si>
    <t>34, Seo-ro 179beon-gil, Jinyeong-eup, Gimhae-si, Gyeongsangnam-do (22-2, Jukgok-ri, Jinyeong-eup, Gimhae-si, Gyeongsangnam-do)</t>
    <phoneticPr fontId="7" type="noConversion"/>
  </si>
  <si>
    <r>
      <rPr>
        <sz val="9"/>
        <color rgb="FF000000"/>
        <rFont val="맑은 고딕"/>
        <family val="3"/>
        <charset val="129"/>
      </rPr>
      <t>경남</t>
    </r>
    <r>
      <rPr>
        <sz val="9"/>
        <color rgb="FF000000"/>
        <rFont val="Calibri"/>
        <family val="2"/>
      </rPr>
      <t xml:space="preserve"> </t>
    </r>
    <r>
      <rPr>
        <sz val="9"/>
        <color rgb="FF000000"/>
        <rFont val="맑은 고딕"/>
        <family val="3"/>
        <charset val="129"/>
      </rPr>
      <t>김해시</t>
    </r>
    <r>
      <rPr>
        <sz val="9"/>
        <color rgb="FF000000"/>
        <rFont val="Calibri"/>
        <family val="2"/>
      </rPr>
      <t xml:space="preserve"> </t>
    </r>
    <r>
      <rPr>
        <sz val="9"/>
        <color rgb="FF000000"/>
        <rFont val="맑은 고딕"/>
        <family val="3"/>
        <charset val="129"/>
      </rPr>
      <t>진영읍</t>
    </r>
    <r>
      <rPr>
        <sz val="9"/>
        <color rgb="FF000000"/>
        <rFont val="Calibri"/>
        <family val="2"/>
      </rPr>
      <t xml:space="preserve"> </t>
    </r>
    <r>
      <rPr>
        <sz val="9"/>
        <color rgb="FF000000"/>
        <rFont val="맑은 고딕"/>
        <family val="3"/>
        <charset val="129"/>
      </rPr>
      <t>서부로</t>
    </r>
    <r>
      <rPr>
        <sz val="9"/>
        <color rgb="FF000000"/>
        <rFont val="Calibri"/>
        <family val="2"/>
      </rPr>
      <t xml:space="preserve"> 179</t>
    </r>
    <r>
      <rPr>
        <sz val="9"/>
        <color rgb="FF000000"/>
        <rFont val="맑은 고딕"/>
        <family val="3"/>
        <charset val="129"/>
      </rPr>
      <t>번길</t>
    </r>
    <r>
      <rPr>
        <sz val="9"/>
        <color rgb="FF000000"/>
        <rFont val="Calibri"/>
        <family val="2"/>
      </rPr>
      <t xml:space="preserve"> 34 (</t>
    </r>
    <r>
      <rPr>
        <sz val="9"/>
        <color rgb="FF000000"/>
        <rFont val="맑은 고딕"/>
        <family val="3"/>
        <charset val="129"/>
      </rPr>
      <t>경남</t>
    </r>
    <r>
      <rPr>
        <sz val="9"/>
        <color rgb="FF000000"/>
        <rFont val="Calibri"/>
        <family val="2"/>
      </rPr>
      <t xml:space="preserve"> </t>
    </r>
    <r>
      <rPr>
        <sz val="9"/>
        <color rgb="FF000000"/>
        <rFont val="맑은 고딕"/>
        <family val="3"/>
        <charset val="129"/>
      </rPr>
      <t>김해시</t>
    </r>
    <r>
      <rPr>
        <sz val="9"/>
        <color rgb="FF000000"/>
        <rFont val="Calibri"/>
        <family val="2"/>
      </rPr>
      <t xml:space="preserve"> </t>
    </r>
    <r>
      <rPr>
        <sz val="9"/>
        <color rgb="FF000000"/>
        <rFont val="맑은 고딕"/>
        <family val="3"/>
        <charset val="129"/>
      </rPr>
      <t>진영읍</t>
    </r>
    <r>
      <rPr>
        <sz val="9"/>
        <color rgb="FF000000"/>
        <rFont val="Calibri"/>
        <family val="2"/>
      </rPr>
      <t xml:space="preserve"> </t>
    </r>
    <r>
      <rPr>
        <sz val="9"/>
        <color rgb="FF000000"/>
        <rFont val="맑은 고딕"/>
        <family val="3"/>
        <charset val="129"/>
      </rPr>
      <t>죽곡리</t>
    </r>
    <r>
      <rPr>
        <sz val="9"/>
        <color rgb="FF000000"/>
        <rFont val="Calibri"/>
        <family val="2"/>
      </rPr>
      <t xml:space="preserve"> 22-2) </t>
    </r>
    <phoneticPr fontId="9"/>
  </si>
  <si>
    <t>35.17134 / 128.461570</t>
    <phoneticPr fontId="9"/>
  </si>
  <si>
    <t>TBD</t>
    <phoneticPr fontId="9"/>
  </si>
  <si>
    <t>Jinyoung S/S, Yangsu D/L 11MW</t>
    <phoneticPr fontId="9"/>
  </si>
  <si>
    <t>Late April 2025 Date of signing the lease agreement</t>
    <phoneticPr fontId="9"/>
  </si>
  <si>
    <t>Vega</t>
  </si>
  <si>
    <t>51-9, Bonggi 1-gil, Punggak-myeon, Cheongdo-gun, Gyeongbuk (1126, Bonggiri, Punggak-myeon, Cheongdo-gun, Gyeongbuk Province)</t>
    <phoneticPr fontId="7" type="noConversion"/>
  </si>
  <si>
    <r>
      <rPr>
        <sz val="9"/>
        <color rgb="FF000000"/>
        <rFont val="맑은 고딕"/>
        <family val="3"/>
        <charset val="129"/>
      </rPr>
      <t>경북</t>
    </r>
    <r>
      <rPr>
        <sz val="9"/>
        <color rgb="FF000000"/>
        <rFont val="Calibri"/>
        <family val="2"/>
      </rPr>
      <t xml:space="preserve"> </t>
    </r>
    <r>
      <rPr>
        <sz val="9"/>
        <color rgb="FF000000"/>
        <rFont val="맑은 고딕"/>
        <family val="3"/>
        <charset val="129"/>
      </rPr>
      <t>청도군</t>
    </r>
    <r>
      <rPr>
        <sz val="9"/>
        <color rgb="FF000000"/>
        <rFont val="Calibri"/>
        <family val="2"/>
      </rPr>
      <t xml:space="preserve"> </t>
    </r>
    <r>
      <rPr>
        <sz val="9"/>
        <color rgb="FF000000"/>
        <rFont val="맑은 고딕"/>
        <family val="3"/>
        <charset val="129"/>
      </rPr>
      <t>풍각면</t>
    </r>
    <r>
      <rPr>
        <sz val="9"/>
        <color rgb="FF000000"/>
        <rFont val="Calibri"/>
        <family val="2"/>
      </rPr>
      <t xml:space="preserve"> </t>
    </r>
    <r>
      <rPr>
        <sz val="9"/>
        <color rgb="FF000000"/>
        <rFont val="맑은 고딕"/>
        <family val="3"/>
        <charset val="129"/>
      </rPr>
      <t>봉기</t>
    </r>
    <r>
      <rPr>
        <sz val="9"/>
        <color rgb="FF000000"/>
        <rFont val="Calibri"/>
        <family val="2"/>
      </rPr>
      <t>1</t>
    </r>
    <r>
      <rPr>
        <sz val="9"/>
        <color rgb="FF000000"/>
        <rFont val="맑은 고딕"/>
        <family val="3"/>
        <charset val="129"/>
      </rPr>
      <t>길</t>
    </r>
    <r>
      <rPr>
        <sz val="9"/>
        <color rgb="FF000000"/>
        <rFont val="Calibri"/>
        <family val="2"/>
      </rPr>
      <t xml:space="preserve"> 51-9 (</t>
    </r>
    <r>
      <rPr>
        <sz val="9"/>
        <color rgb="FF000000"/>
        <rFont val="맑은 고딕"/>
        <family val="3"/>
        <charset val="129"/>
      </rPr>
      <t>경북</t>
    </r>
    <r>
      <rPr>
        <sz val="9"/>
        <color rgb="FF000000"/>
        <rFont val="Calibri"/>
        <family val="2"/>
      </rPr>
      <t xml:space="preserve"> </t>
    </r>
    <r>
      <rPr>
        <sz val="9"/>
        <color rgb="FF000000"/>
        <rFont val="맑은 고딕"/>
        <family val="3"/>
        <charset val="129"/>
      </rPr>
      <t>청도군</t>
    </r>
    <r>
      <rPr>
        <sz val="9"/>
        <color rgb="FF000000"/>
        <rFont val="Calibri"/>
        <family val="2"/>
      </rPr>
      <t xml:space="preserve"> </t>
    </r>
    <r>
      <rPr>
        <sz val="9"/>
        <color rgb="FF000000"/>
        <rFont val="맑은 고딕"/>
        <family val="3"/>
        <charset val="129"/>
      </rPr>
      <t>풍각면</t>
    </r>
    <r>
      <rPr>
        <sz val="9"/>
        <color rgb="FF000000"/>
        <rFont val="Calibri"/>
        <family val="2"/>
      </rPr>
      <t xml:space="preserve"> </t>
    </r>
    <r>
      <rPr>
        <sz val="9"/>
        <color rgb="FF000000"/>
        <rFont val="맑은 고딕"/>
        <family val="3"/>
        <charset val="129"/>
      </rPr>
      <t>봉기리</t>
    </r>
    <r>
      <rPr>
        <sz val="9"/>
        <color rgb="FF000000"/>
        <rFont val="Calibri"/>
        <family val="2"/>
      </rPr>
      <t xml:space="preserve"> 1126) </t>
    </r>
    <phoneticPr fontId="9"/>
  </si>
  <si>
    <t>35.381079 / 128.36622</t>
    <phoneticPr fontId="9"/>
  </si>
  <si>
    <t>CCC+</t>
    <phoneticPr fontId="9"/>
  </si>
  <si>
    <t>Cheondo S/S, Poonggak D/L 11MW</t>
    <phoneticPr fontId="9"/>
  </si>
  <si>
    <t>In April 2025 Date of signing the lease agreement</t>
    <phoneticPr fontId="9"/>
  </si>
  <si>
    <t>Korea Kospack</t>
  </si>
  <si>
    <t>37, Jeongjung 3-gil, Osong-eup, Heungdeok-gu, Cheongju-si, Chungbuk (718, Jeongjung-ri, Osong-eup, Heungdeok-gu, Cheongju-si, Chungcheongbuk-do)</t>
    <phoneticPr fontId="7" type="noConversion"/>
  </si>
  <si>
    <r>
      <rPr>
        <sz val="9"/>
        <color rgb="FF000000"/>
        <rFont val="맑은 고딕"/>
        <family val="3"/>
        <charset val="129"/>
      </rPr>
      <t>충북</t>
    </r>
    <r>
      <rPr>
        <sz val="9"/>
        <color rgb="FF000000"/>
        <rFont val="Calibri"/>
        <family val="2"/>
      </rPr>
      <t xml:space="preserve"> </t>
    </r>
    <r>
      <rPr>
        <sz val="9"/>
        <color rgb="FF000000"/>
        <rFont val="맑은 고딕"/>
        <family val="3"/>
        <charset val="129"/>
      </rPr>
      <t>청주시</t>
    </r>
    <r>
      <rPr>
        <sz val="9"/>
        <color rgb="FF000000"/>
        <rFont val="Calibri"/>
        <family val="2"/>
      </rPr>
      <t xml:space="preserve"> </t>
    </r>
    <r>
      <rPr>
        <sz val="9"/>
        <color rgb="FF000000"/>
        <rFont val="맑은 고딕"/>
        <family val="3"/>
        <charset val="129"/>
      </rPr>
      <t>흥덕구</t>
    </r>
    <r>
      <rPr>
        <sz val="9"/>
        <color rgb="FF000000"/>
        <rFont val="Calibri"/>
        <family val="2"/>
      </rPr>
      <t xml:space="preserve"> </t>
    </r>
    <r>
      <rPr>
        <sz val="9"/>
        <color rgb="FF000000"/>
        <rFont val="맑은 고딕"/>
        <family val="3"/>
        <charset val="129"/>
      </rPr>
      <t>오송읍</t>
    </r>
    <r>
      <rPr>
        <sz val="9"/>
        <color rgb="FF000000"/>
        <rFont val="Calibri"/>
        <family val="2"/>
      </rPr>
      <t xml:space="preserve"> </t>
    </r>
    <r>
      <rPr>
        <sz val="9"/>
        <color rgb="FF000000"/>
        <rFont val="맑은 고딕"/>
        <family val="3"/>
        <charset val="129"/>
      </rPr>
      <t>정중</t>
    </r>
    <r>
      <rPr>
        <sz val="9"/>
        <color rgb="FF000000"/>
        <rFont val="Calibri"/>
        <family val="2"/>
      </rPr>
      <t>3</t>
    </r>
    <r>
      <rPr>
        <sz val="9"/>
        <color rgb="FF000000"/>
        <rFont val="맑은 고딕"/>
        <family val="3"/>
        <charset val="129"/>
      </rPr>
      <t>길</t>
    </r>
    <r>
      <rPr>
        <sz val="9"/>
        <color rgb="FF000000"/>
        <rFont val="Calibri"/>
        <family val="2"/>
      </rPr>
      <t xml:space="preserve"> 37 (</t>
    </r>
    <r>
      <rPr>
        <sz val="9"/>
        <color rgb="FF000000"/>
        <rFont val="맑은 고딕"/>
        <family val="3"/>
        <charset val="129"/>
      </rPr>
      <t>충북</t>
    </r>
    <r>
      <rPr>
        <sz val="9"/>
        <color rgb="FF000000"/>
        <rFont val="Calibri"/>
        <family val="2"/>
      </rPr>
      <t xml:space="preserve"> </t>
    </r>
    <r>
      <rPr>
        <sz val="9"/>
        <color rgb="FF000000"/>
        <rFont val="맑은 고딕"/>
        <family val="3"/>
        <charset val="129"/>
      </rPr>
      <t>청주시</t>
    </r>
    <r>
      <rPr>
        <sz val="9"/>
        <color rgb="FF000000"/>
        <rFont val="Calibri"/>
        <family val="2"/>
      </rPr>
      <t xml:space="preserve"> </t>
    </r>
    <r>
      <rPr>
        <sz val="9"/>
        <color rgb="FF000000"/>
        <rFont val="맑은 고딕"/>
        <family val="3"/>
        <charset val="129"/>
      </rPr>
      <t>흥덕구</t>
    </r>
    <r>
      <rPr>
        <sz val="9"/>
        <color rgb="FF000000"/>
        <rFont val="Calibri"/>
        <family val="2"/>
      </rPr>
      <t xml:space="preserve"> </t>
    </r>
    <r>
      <rPr>
        <sz val="9"/>
        <color rgb="FF000000"/>
        <rFont val="맑은 고딕"/>
        <family val="3"/>
        <charset val="129"/>
      </rPr>
      <t>오송읍</t>
    </r>
    <r>
      <rPr>
        <sz val="9"/>
        <color rgb="FF000000"/>
        <rFont val="Calibri"/>
        <family val="2"/>
      </rPr>
      <t xml:space="preserve"> </t>
    </r>
    <r>
      <rPr>
        <sz val="9"/>
        <color rgb="FF000000"/>
        <rFont val="맑은 고딕"/>
        <family val="3"/>
        <charset val="129"/>
      </rPr>
      <t>정중리</t>
    </r>
    <r>
      <rPr>
        <sz val="9"/>
        <color rgb="FF000000"/>
        <rFont val="Calibri"/>
        <family val="2"/>
      </rPr>
      <t xml:space="preserve"> 718) </t>
    </r>
    <phoneticPr fontId="9"/>
  </si>
  <si>
    <t>37391285/ 126.33627</t>
    <phoneticPr fontId="9"/>
  </si>
  <si>
    <t>Osong S/S, Jeongjoong D/L 12MW</t>
    <phoneticPr fontId="9"/>
  </si>
  <si>
    <t>Mid April 2025 Date of signing the lease agreement</t>
    <phoneticPr fontId="9"/>
  </si>
  <si>
    <t>Pungcheon Im clan</t>
  </si>
  <si>
    <t>95, Daegot-ro, Gimpo-si, Gyeonggi-do (221-3, Daemyung-ri, Daegot-myeon, Gimpo-si, Gyeonggi-do)</t>
    <phoneticPr fontId="7" type="noConversion"/>
  </si>
  <si>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김포시</t>
    </r>
    <r>
      <rPr>
        <sz val="9"/>
        <color rgb="FF000000"/>
        <rFont val="Calibri"/>
        <family val="2"/>
      </rPr>
      <t xml:space="preserve"> </t>
    </r>
    <r>
      <rPr>
        <sz val="9"/>
        <color rgb="FF000000"/>
        <rFont val="맑은 고딕"/>
        <family val="3"/>
        <charset val="129"/>
      </rPr>
      <t>대곶로</t>
    </r>
    <r>
      <rPr>
        <sz val="9"/>
        <color rgb="FF000000"/>
        <rFont val="Calibri"/>
        <family val="2"/>
      </rPr>
      <t xml:space="preserve"> 95 (</t>
    </r>
    <r>
      <rPr>
        <sz val="9"/>
        <color rgb="FF000000"/>
        <rFont val="맑은 고딕"/>
        <family val="3"/>
        <charset val="129"/>
      </rPr>
      <t>경기도</t>
    </r>
    <r>
      <rPr>
        <sz val="9"/>
        <color rgb="FF000000"/>
        <rFont val="Calibri"/>
        <family val="2"/>
      </rPr>
      <t xml:space="preserve"> </t>
    </r>
    <r>
      <rPr>
        <sz val="9"/>
        <color rgb="FF000000"/>
        <rFont val="맑은 고딕"/>
        <family val="3"/>
        <charset val="129"/>
      </rPr>
      <t>김포시</t>
    </r>
    <r>
      <rPr>
        <sz val="9"/>
        <color rgb="FF000000"/>
        <rFont val="Calibri"/>
        <family val="2"/>
      </rPr>
      <t xml:space="preserve"> </t>
    </r>
    <r>
      <rPr>
        <sz val="9"/>
        <color rgb="FF000000"/>
        <rFont val="맑은 고딕"/>
        <family val="3"/>
        <charset val="129"/>
      </rPr>
      <t>대곶면</t>
    </r>
    <r>
      <rPr>
        <sz val="9"/>
        <color rgb="FF000000"/>
        <rFont val="Calibri"/>
        <family val="2"/>
      </rPr>
      <t xml:space="preserve"> </t>
    </r>
    <r>
      <rPr>
        <sz val="9"/>
        <color rgb="FF000000"/>
        <rFont val="맑은 고딕"/>
        <family val="3"/>
        <charset val="129"/>
      </rPr>
      <t>대명리</t>
    </r>
    <r>
      <rPr>
        <sz val="9"/>
        <color rgb="FF000000"/>
        <rFont val="Calibri"/>
        <family val="2"/>
      </rPr>
      <t xml:space="preserve"> 221-3) </t>
    </r>
    <phoneticPr fontId="9"/>
  </si>
  <si>
    <t>37.391285 / 126.33627</t>
    <phoneticPr fontId="9"/>
  </si>
  <si>
    <t>Tongjin S/S, Sooan D/L 10MW</t>
    <phoneticPr fontId="9"/>
  </si>
  <si>
    <t>The board meeting of the family association is scheduled for the end of May, and the lease agreement will be finalized after the meeting.</t>
    <phoneticPr fontId="9"/>
  </si>
  <si>
    <t>"T. Batch 1 &amp; 2"</t>
    <phoneticPr fontId="9"/>
  </si>
  <si>
    <t>Guemjeong Techno</t>
    <phoneticPr fontId="9"/>
  </si>
  <si>
    <t>Gyeonggi-do, Hwaseong-si, Paltan-myeon, Budlo 1362beon-gil 53-5</t>
    <phoneticPr fontId="9"/>
  </si>
  <si>
    <t>경기도 화성시 팔탄면 버들로1362번길 53-5</t>
  </si>
  <si>
    <t xml:space="preserve"> B-</t>
  </si>
  <si>
    <r>
      <rPr>
        <sz val="9"/>
        <color theme="1"/>
        <rFont val="Calibri"/>
        <family val="3"/>
      </rPr>
      <t>Suchon S/S, Sujeong D/L</t>
    </r>
    <r>
      <rPr>
        <sz val="9"/>
        <color theme="1"/>
        <rFont val="Calibri"/>
        <family val="2"/>
      </rPr>
      <t xml:space="preserve"> 10MW</t>
    </r>
    <phoneticPr fontId="9"/>
  </si>
  <si>
    <t>After receiving the business license documents, due to the holiday period, we plan to submit the documents on May 7.</t>
  </si>
  <si>
    <t>Epyeonan nursing home</t>
    <phoneticPr fontId="9"/>
  </si>
  <si>
    <t>Gyeonggi-do Pyeongtaek Anjung-eup Seodong-daero 1831-16</t>
    <phoneticPr fontId="9"/>
  </si>
  <si>
    <t>경기도 평택시 안중읍 서동대로 1831-16</t>
  </si>
  <si>
    <t xml:space="preserve"> B+</t>
  </si>
  <si>
    <r>
      <rPr>
        <sz val="9"/>
        <color theme="1"/>
        <rFont val="Calibri"/>
        <family val="3"/>
      </rPr>
      <t>Poseong</t>
    </r>
    <r>
      <rPr>
        <sz val="9"/>
        <color theme="1"/>
        <rFont val="Calibri"/>
        <family val="2"/>
      </rPr>
      <t xml:space="preserve"> S/S, Hyeongok D/L 9MW</t>
    </r>
    <phoneticPr fontId="9"/>
  </si>
  <si>
    <t>Gemtech</t>
    <phoneticPr fontId="9"/>
  </si>
  <si>
    <t>83 Innovalley-ro Dong-gu Daegu</t>
    <phoneticPr fontId="9"/>
  </si>
  <si>
    <t>대구광역시 동구 이노밸리로 83</t>
  </si>
  <si>
    <t>Bolt Taeyanggwang 2HO(TBD)</t>
    <phoneticPr fontId="9"/>
  </si>
  <si>
    <t>CCC+</t>
  </si>
  <si>
    <r>
      <rPr>
        <sz val="9"/>
        <color theme="1"/>
        <rFont val="Calibri"/>
        <family val="3"/>
      </rPr>
      <t xml:space="preserve">Ansim </t>
    </r>
    <r>
      <rPr>
        <sz val="9"/>
        <color theme="1"/>
        <rFont val="Calibri"/>
        <family val="2"/>
      </rPr>
      <t>S/S, Shinji D/L 10MW</t>
    </r>
    <phoneticPr fontId="9"/>
  </si>
  <si>
    <t>lease agreement is scheduled to be signed on May 2.</t>
    <phoneticPr fontId="9"/>
  </si>
  <si>
    <t>Hutchison Pier</t>
    <phoneticPr fontId="9"/>
  </si>
  <si>
    <t>Busan Nam-gu Bukhang-ro 59 / Busan Nam-gu Bukhang-ro 179</t>
    <phoneticPr fontId="9"/>
  </si>
  <si>
    <t>부산광역시 남구 북항로 59 / 부산광역시 남구 북항로 179</t>
  </si>
  <si>
    <t>TBD</t>
  </si>
  <si>
    <t>Busan</t>
    <phoneticPr fontId="9"/>
  </si>
  <si>
    <t>Under Lease</t>
  </si>
  <si>
    <r>
      <rPr>
        <sz val="9"/>
        <color theme="1"/>
        <rFont val="Calibri"/>
        <family val="3"/>
      </rPr>
      <t xml:space="preserve">Yongho S/S, Manbu D/L 12MW
Yongho S/S, </t>
    </r>
    <r>
      <rPr>
        <sz val="9"/>
        <color theme="1"/>
        <rFont val="돋움"/>
        <family val="3"/>
        <charset val="129"/>
      </rPr>
      <t>Yongbu</t>
    </r>
    <r>
      <rPr>
        <sz val="9"/>
        <color theme="1"/>
        <rFont val="Calibri"/>
        <family val="3"/>
      </rPr>
      <t xml:space="preserve"> D/L 12MW</t>
    </r>
    <phoneticPr fontId="9"/>
  </si>
  <si>
    <r>
      <t>5</t>
    </r>
    <r>
      <rPr>
        <sz val="9"/>
        <color rgb="FF000000"/>
        <rFont val="맑은 고딕"/>
        <family val="2"/>
        <charset val="129"/>
      </rPr>
      <t>년 선납 35,000/kWp、 scheduled to meet with Hutchison and the Port Authority in May.</t>
    </r>
    <phoneticPr fontId="9"/>
  </si>
  <si>
    <t>Nuriplan</t>
    <phoneticPr fontId="9"/>
  </si>
  <si>
    <t>Chungcheongnam-do Cheonan-si Dongnam-gu Susu-myeon Ugakgol-gil 53</t>
    <phoneticPr fontId="9"/>
  </si>
  <si>
    <t>충청남도 천안시 동남구 수신면 우각골길 53</t>
  </si>
  <si>
    <t>Chungcheongnam-do</t>
  </si>
  <si>
    <t>Dongcheonan S/S, Shinpung D/L 12MW</t>
    <phoneticPr fontId="9"/>
  </si>
  <si>
    <r>
      <t>5</t>
    </r>
    <r>
      <rPr>
        <sz val="9"/>
        <color rgb="FF000000"/>
        <rFont val="맑은 고딕"/>
        <family val="2"/>
        <charset val="129"/>
      </rPr>
      <t>년 선납 35,000/kWp</t>
    </r>
    <phoneticPr fontId="9"/>
  </si>
  <si>
    <t>Sangwon Engineering</t>
    <phoneticPr fontId="9"/>
  </si>
  <si>
    <t>Gyeongnam Gimhae Jinrye-myeon Gomoro 675</t>
    <phoneticPr fontId="9"/>
  </si>
  <si>
    <t>경남 김해시 진례면 고모로 675</t>
  </si>
  <si>
    <t>bb-</t>
    <phoneticPr fontId="9"/>
  </si>
  <si>
    <t>Jinyoung S/S, Naemyeong D/L 5MW</t>
    <phoneticPr fontId="9"/>
  </si>
  <si>
    <r>
      <t>5</t>
    </r>
    <r>
      <rPr>
        <sz val="9"/>
        <color rgb="FFFF0000"/>
        <rFont val="맑은 고딕"/>
        <family val="2"/>
        <charset val="129"/>
      </rPr>
      <t>년 선납 40,000/kWp</t>
    </r>
    <phoneticPr fontId="9"/>
  </si>
  <si>
    <t>Tteokdaum</t>
  </si>
  <si>
    <t>Gyeonggi-do, Hwaseong-si, Jangan-myeon, Hancheon 1-gil 56-9</t>
    <phoneticPr fontId="9"/>
  </si>
  <si>
    <t>경기도 화성시 장안면 한천1길 56-9</t>
  </si>
  <si>
    <t>b-</t>
  </si>
  <si>
    <r>
      <rPr>
        <sz val="9"/>
        <color theme="1"/>
        <rFont val="Calibri"/>
        <family val="3"/>
      </rPr>
      <t xml:space="preserve">Joam S/S, Jushin D/L </t>
    </r>
    <r>
      <rPr>
        <sz val="9"/>
        <color theme="1"/>
        <rFont val="Calibri"/>
        <family val="2"/>
      </rPr>
      <t>11MW</t>
    </r>
    <phoneticPr fontId="9"/>
  </si>
  <si>
    <r>
      <t>5</t>
    </r>
    <r>
      <rPr>
        <sz val="9"/>
        <color rgb="FF000000"/>
        <rFont val="맑은 고딕"/>
        <family val="2"/>
        <charset val="129"/>
      </rPr>
      <t>년 선납 35,000/kWp、 lease agreement is scheduled to proceed after a final meeting in May.</t>
    </r>
    <phoneticPr fontId="9"/>
  </si>
  <si>
    <t>Cheongwoo 1&amp;2</t>
    <phoneticPr fontId="9"/>
  </si>
  <si>
    <t>Gyeonggi-do, Gimpo-si, Tongjin-eup, Gahyeon-ri 865-28 &amp; 865-8</t>
    <phoneticPr fontId="9"/>
  </si>
  <si>
    <t>경기도 김포시 통진읍 가현리 865-28,경기도 김포시 통진읍 가현리 865-8</t>
  </si>
  <si>
    <t>a-</t>
  </si>
  <si>
    <r>
      <rPr>
        <sz val="9"/>
        <color theme="1"/>
        <rFont val="Calibri"/>
        <family val="3"/>
      </rPr>
      <t xml:space="preserve">Tongjin S/S, Ganghwa D/L </t>
    </r>
    <r>
      <rPr>
        <sz val="9"/>
        <color theme="1"/>
        <rFont val="Calibri"/>
        <family val="2"/>
      </rPr>
      <t xml:space="preserve"> 5MW</t>
    </r>
    <phoneticPr fontId="9"/>
  </si>
  <si>
    <t>KR Green Energy</t>
    <phoneticPr fontId="9"/>
  </si>
  <si>
    <t>176, Sanggae-gil, Hapdeok-eup, Dangjin-si, Chungcheongnam-do</t>
    <phoneticPr fontId="9"/>
  </si>
  <si>
    <t>충청남도 당진시 합덕읍 상개길 176</t>
  </si>
  <si>
    <t>Yesan S/S, Woogang D/L 8.9MW</t>
    <phoneticPr fontId="9"/>
  </si>
  <si>
    <t>LSG</t>
    <phoneticPr fontId="9"/>
  </si>
  <si>
    <t>Gangwon-do Wonju-si Taejang-dong 1720-40</t>
    <phoneticPr fontId="7" type="noConversion"/>
  </si>
  <si>
    <t>강원도 원주시 태장동 1720-40</t>
  </si>
  <si>
    <t>Gangwon-do</t>
    <phoneticPr fontId="9"/>
  </si>
  <si>
    <t>Bukwonju S/S Dundeun D/L 12MW</t>
    <phoneticPr fontId="9"/>
  </si>
  <si>
    <t>Early April 2025 Date of signing the lease agreement</t>
  </si>
  <si>
    <t>Hanseo Motors</t>
    <phoneticPr fontId="9"/>
  </si>
  <si>
    <t>Gangwon-do Wonju-si Gwanseol-dong 298-3</t>
    <phoneticPr fontId="7" type="noConversion"/>
  </si>
  <si>
    <t>강원도 원주시 관설동 298-3</t>
  </si>
  <si>
    <t>Gangwon-do</t>
  </si>
  <si>
    <t>Dongwonju S/S Panbu D/L 10MW</t>
    <phoneticPr fontId="9"/>
  </si>
  <si>
    <t>Dongsung Metal</t>
  </si>
  <si>
    <t>Gyeongsangbuk-do Goryeong-gun Dasan-myeon Dasansandan-ro 28-24</t>
    <phoneticPr fontId="7" type="noConversion"/>
  </si>
  <si>
    <t>경상북도 고령군 다산면 다산산단로 28-24</t>
  </si>
  <si>
    <t>Dasan S/S Nogok D/L 11MW</t>
    <phoneticPr fontId="9"/>
  </si>
  <si>
    <t>Seun Steel Ulsan</t>
  </si>
  <si>
    <t>17, Jukjeon-ro, Buk-gu, Ulsan</t>
    <phoneticPr fontId="9"/>
  </si>
  <si>
    <r>
      <rPr>
        <sz val="9"/>
        <color rgb="FF000000"/>
        <rFont val="맑은 고딕"/>
        <family val="2"/>
      </rPr>
      <t>울산광역시</t>
    </r>
    <r>
      <rPr>
        <sz val="9"/>
        <color rgb="FF000000"/>
        <rFont val="Calibri"/>
        <family val="2"/>
      </rPr>
      <t xml:space="preserve"> </t>
    </r>
    <r>
      <rPr>
        <sz val="9"/>
        <color rgb="FF000000"/>
        <rFont val="맑은 고딕"/>
        <family val="2"/>
      </rPr>
      <t>북구</t>
    </r>
    <r>
      <rPr>
        <sz val="9"/>
        <color rgb="FF000000"/>
        <rFont val="Calibri"/>
        <family val="2"/>
      </rPr>
      <t xml:space="preserve"> </t>
    </r>
    <r>
      <rPr>
        <sz val="9"/>
        <color rgb="FF000000"/>
        <rFont val="맑은 고딕"/>
        <family val="2"/>
      </rPr>
      <t>죽전로</t>
    </r>
    <r>
      <rPr>
        <sz val="9"/>
        <color rgb="FF000000"/>
        <rFont val="Calibri"/>
        <family val="2"/>
      </rPr>
      <t xml:space="preserve"> 17</t>
    </r>
    <phoneticPr fontId="0" type="noConversion"/>
  </si>
  <si>
    <t>35.565890 / 129.365446</t>
  </si>
  <si>
    <t>-</t>
  </si>
  <si>
    <t>Hyomun S/S Yangjeong D/L 12MW</t>
    <phoneticPr fontId="9"/>
  </si>
  <si>
    <t>Excluded due to ground subsidence near the building site</t>
    <phoneticPr fontId="9"/>
  </si>
  <si>
    <t>Seun Steel Busan Factory &amp; Warehouse Building</t>
    <phoneticPr fontId="9"/>
  </si>
  <si>
    <t>112, Yutongdanji 1-ro, Gangseo-gu, Busan</t>
    <phoneticPr fontId="9"/>
  </si>
  <si>
    <r>
      <rPr>
        <sz val="9"/>
        <color rgb="FF000000"/>
        <rFont val="맑은 고딕"/>
        <family val="2"/>
      </rPr>
      <t>부산광역시</t>
    </r>
    <r>
      <rPr>
        <sz val="9"/>
        <color rgb="FF000000"/>
        <rFont val="Calibri"/>
        <family val="2"/>
      </rPr>
      <t xml:space="preserve"> </t>
    </r>
    <r>
      <rPr>
        <sz val="9"/>
        <color rgb="FF000000"/>
        <rFont val="맑은 고딕"/>
        <family val="2"/>
      </rPr>
      <t>강서구</t>
    </r>
    <r>
      <rPr>
        <sz val="9"/>
        <color rgb="FF000000"/>
        <rFont val="Calibri"/>
        <family val="2"/>
      </rPr>
      <t xml:space="preserve"> </t>
    </r>
    <r>
      <rPr>
        <sz val="9"/>
        <color rgb="FF000000"/>
        <rFont val="맑은 고딕"/>
        <family val="2"/>
      </rPr>
      <t>유통단지</t>
    </r>
    <r>
      <rPr>
        <sz val="9"/>
        <color rgb="FF000000"/>
        <rFont val="Calibri"/>
        <family val="2"/>
      </rPr>
      <t>1</t>
    </r>
    <r>
      <rPr>
        <sz val="9"/>
        <color rgb="FF000000"/>
        <rFont val="맑은 고딕"/>
        <family val="2"/>
      </rPr>
      <t>로</t>
    </r>
    <r>
      <rPr>
        <sz val="9"/>
        <color rgb="FF000000"/>
        <rFont val="Calibri"/>
        <family val="2"/>
      </rPr>
      <t xml:space="preserve"> 112 </t>
    </r>
    <phoneticPr fontId="0" type="noConversion"/>
  </si>
  <si>
    <t>35.165792 / 128.947869</t>
  </si>
  <si>
    <t>Mora S/S Buju D/L 9MW</t>
    <phoneticPr fontId="9"/>
  </si>
  <si>
    <t>Daesun Josun Bongrae</t>
    <phoneticPr fontId="9"/>
  </si>
  <si>
    <t>254, Bongnaenaru-ro, Yeongdo-gu, Busan</t>
    <phoneticPr fontId="9"/>
  </si>
  <si>
    <r>
      <rPr>
        <sz val="9"/>
        <color rgb="FF000000"/>
        <rFont val="맑은 고딕"/>
        <family val="2"/>
      </rPr>
      <t>부산광역시</t>
    </r>
    <r>
      <rPr>
        <sz val="9"/>
        <color rgb="FF000000"/>
        <rFont val="Calibri"/>
        <family val="2"/>
      </rPr>
      <t xml:space="preserve"> </t>
    </r>
    <r>
      <rPr>
        <sz val="9"/>
        <color rgb="FF000000"/>
        <rFont val="맑은 고딕"/>
        <family val="2"/>
      </rPr>
      <t>영도구</t>
    </r>
    <r>
      <rPr>
        <sz val="9"/>
        <color rgb="FF000000"/>
        <rFont val="Calibri"/>
        <family val="2"/>
      </rPr>
      <t xml:space="preserve"> </t>
    </r>
    <r>
      <rPr>
        <sz val="9"/>
        <color rgb="FF000000"/>
        <rFont val="맑은 고딕"/>
        <family val="2"/>
      </rPr>
      <t>봉래나루로</t>
    </r>
    <r>
      <rPr>
        <sz val="9"/>
        <color rgb="FF000000"/>
        <rFont val="Calibri"/>
        <family val="2"/>
      </rPr>
      <t xml:space="preserve"> 254</t>
    </r>
    <phoneticPr fontId="0" type="noConversion"/>
  </si>
  <si>
    <t>35.095200 / 129.046419</t>
  </si>
  <si>
    <t>Yeongdo S/S Jodo D/L 12MW</t>
  </si>
  <si>
    <t>Daesun Josun Dadae</t>
    <phoneticPr fontId="9"/>
  </si>
  <si>
    <t>454, Gamcheonhang-ro, Saha-gu, Busan</t>
    <phoneticPr fontId="9"/>
  </si>
  <si>
    <r>
      <rPr>
        <sz val="9"/>
        <color rgb="FF000000"/>
        <rFont val="맑은 고딕"/>
        <family val="2"/>
      </rPr>
      <t>부산광역시</t>
    </r>
    <r>
      <rPr>
        <sz val="9"/>
        <color rgb="FF000000"/>
        <rFont val="Calibri"/>
        <family val="2"/>
      </rPr>
      <t xml:space="preserve"> </t>
    </r>
    <r>
      <rPr>
        <sz val="9"/>
        <color rgb="FF000000"/>
        <rFont val="맑은 고딕"/>
        <family val="2"/>
      </rPr>
      <t>사하구</t>
    </r>
    <r>
      <rPr>
        <sz val="9"/>
        <color rgb="FF000000"/>
        <rFont val="Calibri"/>
        <family val="2"/>
      </rPr>
      <t xml:space="preserve"> </t>
    </r>
    <r>
      <rPr>
        <sz val="9"/>
        <color rgb="FF000000"/>
        <rFont val="맑은 고딕"/>
        <family val="2"/>
      </rPr>
      <t>감천항로</t>
    </r>
    <r>
      <rPr>
        <sz val="9"/>
        <color rgb="FF000000"/>
        <rFont val="Calibri"/>
        <family val="2"/>
      </rPr>
      <t xml:space="preserve"> 454</t>
    </r>
    <phoneticPr fontId="0" type="noConversion"/>
  </si>
  <si>
    <t>35.051661 / 128.991991</t>
  </si>
  <si>
    <t>Dadae S/S Bondeung DL 13MW</t>
  </si>
  <si>
    <t>Fine vestil</t>
    <phoneticPr fontId="9"/>
  </si>
  <si>
    <t>259-33 Changmil-ro, Changnyeong-eup, Changnyeong-gun, Gyeongsangnam-do</t>
    <phoneticPr fontId="9"/>
  </si>
  <si>
    <r>
      <rPr>
        <sz val="9"/>
        <color rgb="FF000000"/>
        <rFont val="맑은 고딕"/>
        <family val="2"/>
      </rPr>
      <t>경상남도</t>
    </r>
    <r>
      <rPr>
        <sz val="9"/>
        <color rgb="FF000000"/>
        <rFont val="Calibri"/>
        <family val="2"/>
      </rPr>
      <t xml:space="preserve"> </t>
    </r>
    <r>
      <rPr>
        <sz val="9"/>
        <color rgb="FF000000"/>
        <rFont val="맑은 고딕"/>
        <family val="2"/>
      </rPr>
      <t>창녕군</t>
    </r>
    <r>
      <rPr>
        <sz val="9"/>
        <color rgb="FF000000"/>
        <rFont val="Calibri"/>
        <family val="2"/>
      </rPr>
      <t xml:space="preserve"> </t>
    </r>
    <r>
      <rPr>
        <sz val="9"/>
        <color rgb="FF000000"/>
        <rFont val="맑은 고딕"/>
        <family val="2"/>
      </rPr>
      <t>창녕읍</t>
    </r>
    <r>
      <rPr>
        <sz val="9"/>
        <color rgb="FF000000"/>
        <rFont val="Calibri"/>
        <family val="2"/>
      </rPr>
      <t xml:space="preserve"> </t>
    </r>
    <r>
      <rPr>
        <sz val="9"/>
        <color rgb="FF000000"/>
        <rFont val="맑은 고딕"/>
        <family val="2"/>
      </rPr>
      <t>창밀로</t>
    </r>
    <r>
      <rPr>
        <sz val="9"/>
        <color rgb="FF000000"/>
        <rFont val="Calibri"/>
        <family val="2"/>
      </rPr>
      <t xml:space="preserve"> 259-33</t>
    </r>
    <phoneticPr fontId="0" type="noConversion"/>
  </si>
  <si>
    <t>35.564485 / 128.500461</t>
  </si>
  <si>
    <t>Yuga S/S Galjeon D/L 8MW</t>
  </si>
  <si>
    <t>Dongil Steel</t>
    <phoneticPr fontId="9"/>
  </si>
  <si>
    <t>46, Gaya-daero, Sasang-gu, Busan</t>
    <phoneticPr fontId="9"/>
  </si>
  <si>
    <r>
      <rPr>
        <sz val="9"/>
        <color rgb="FF000000"/>
        <rFont val="맑은 고딕"/>
        <family val="2"/>
      </rPr>
      <t>부산광역시</t>
    </r>
    <r>
      <rPr>
        <sz val="9"/>
        <color rgb="FF000000"/>
        <rFont val="Calibri"/>
        <family val="2"/>
      </rPr>
      <t xml:space="preserve"> </t>
    </r>
    <r>
      <rPr>
        <sz val="9"/>
        <color rgb="FF000000"/>
        <rFont val="맑은 고딕"/>
        <family val="2"/>
      </rPr>
      <t>사상구</t>
    </r>
    <r>
      <rPr>
        <sz val="9"/>
        <color rgb="FF000000"/>
        <rFont val="Calibri"/>
        <family val="2"/>
      </rPr>
      <t xml:space="preserve"> </t>
    </r>
    <r>
      <rPr>
        <sz val="9"/>
        <color rgb="FF000000"/>
        <rFont val="맑은 고딕"/>
        <family val="2"/>
      </rPr>
      <t>가야대로</t>
    </r>
    <r>
      <rPr>
        <sz val="9"/>
        <color rgb="FF000000"/>
        <rFont val="Calibri"/>
        <family val="2"/>
      </rPr>
      <t xml:space="preserve"> 46</t>
    </r>
    <phoneticPr fontId="9"/>
  </si>
  <si>
    <t xml:space="preserve"> 35.150749 / 128.977356</t>
  </si>
  <si>
    <t>Dean S/S Central D/L 13MW</t>
  </si>
  <si>
    <t>Vision E&amp;C</t>
    <phoneticPr fontId="9"/>
  </si>
  <si>
    <t>289, Jungwonsaneop-ro, Judeok-eup, Chungju-si, Chungcheongbuk-do</t>
    <phoneticPr fontId="9"/>
  </si>
  <si>
    <t>충청북도 충주시 주덕읍 중원산업로 289</t>
    <phoneticPr fontId="0" type="noConversion"/>
  </si>
  <si>
    <t>37.009729 / 127.752899</t>
  </si>
  <si>
    <t>B0</t>
  </si>
  <si>
    <t>Hyomun S/S Yangjeong D/L 12MW</t>
  </si>
  <si>
    <t>Excluded due to difficulties in negotiations due to contact with other companies or self-business during the contract amendment period and thereafter</t>
    <phoneticPr fontId="9"/>
  </si>
  <si>
    <t>Daekyung Susan</t>
    <phoneticPr fontId="9"/>
  </si>
  <si>
    <t>2080, Jaranman-ro, Haeil-myeon, Goseong-gun, Gyeongsangnam-do</t>
    <phoneticPr fontId="9"/>
  </si>
  <si>
    <t>경상남도 고성군 하일면 자란만로 2080</t>
  </si>
  <si>
    <t>Individual business owner</t>
    <phoneticPr fontId="9"/>
  </si>
  <si>
    <t>Goseong S/S Samsan D/L 5MW</t>
    <phoneticPr fontId="9"/>
  </si>
  <si>
    <t>End of April 2025 Lease contract signing date</t>
    <phoneticPr fontId="9"/>
  </si>
  <si>
    <t>Kangsung Industry</t>
    <phoneticPr fontId="9"/>
  </si>
  <si>
    <t>18-164, Hwangsa-gil, Beopsu-myeon, Haman-gun, Gyeongsangnam-do</t>
    <phoneticPr fontId="9"/>
  </si>
  <si>
    <t>경상남도 함안군 법수면 황사길 18-164</t>
  </si>
  <si>
    <t>Guryong S/S Hwangsa D/L 2MW</t>
    <phoneticPr fontId="9"/>
  </si>
  <si>
    <t>Taewon Industry</t>
    <phoneticPr fontId="9"/>
  </si>
  <si>
    <t>27, Hyanggyo-gil, Gwangdo-myeon, Tongyeong-si, Gyeongsangnam-do</t>
    <phoneticPr fontId="9"/>
  </si>
  <si>
    <t>경상남도 통영시 광도면 향교길27</t>
  </si>
  <si>
    <t>Gyeongsangnam-do</t>
    <phoneticPr fontId="9"/>
  </si>
  <si>
    <t xml:space="preserve">Tongyeong S/S Jukrim D/L 12MW </t>
    <phoneticPr fontId="9"/>
  </si>
  <si>
    <t>World Paper 1-1</t>
    <phoneticPr fontId="9"/>
  </si>
  <si>
    <t>61-42, Hageo 3-gil, Yeoju-si, Gyeonggi-do (444-5, Hageo-dong, Yeoju-si, Gyeonggi-do)</t>
    <phoneticPr fontId="9"/>
  </si>
  <si>
    <t>경기도 파주시 소라지로 167번길 107</t>
  </si>
  <si>
    <t>Munbal S/S Munbae D/L 12MW</t>
  </si>
  <si>
    <t>World paper 1-2</t>
    <phoneticPr fontId="9"/>
  </si>
  <si>
    <t>86, Soraji-ro 167beon-gil, Paju-si, Gyeonggi-do</t>
    <phoneticPr fontId="9"/>
  </si>
  <si>
    <t>경기도 파주시 소라지로 167번길 86</t>
  </si>
  <si>
    <t>Moonbal S/S Moonbae D/L 12MW</t>
  </si>
  <si>
    <t>Hanjin Susan  (building owned by an individual)</t>
    <phoneticPr fontId="9"/>
  </si>
  <si>
    <t>Gyeongsangnam-si Tongyeong-si Dosan-myeon Dosan Ilju-ro 342-30</t>
    <phoneticPr fontId="9"/>
  </si>
  <si>
    <t>경남 통영시 도산면 도산일주로 342-30</t>
  </si>
  <si>
    <t>Anjeong S/S Gwangdo D/L 12MW</t>
  </si>
  <si>
    <t>Chemsfield Korea</t>
    <phoneticPr fontId="9"/>
  </si>
  <si>
    <t>161, Baekhak-san-dan-gil, Baekhak-myeon, Yeoncheon-gun, Gyeonggi-do</t>
    <phoneticPr fontId="9"/>
  </si>
  <si>
    <t>경기도 연천군 백학면 백학산단길 161</t>
  </si>
  <si>
    <t>Baekhak S/S Dong-i D/L 1MW</t>
    <phoneticPr fontId="9"/>
  </si>
  <si>
    <t>Lux Electric</t>
    <phoneticPr fontId="9"/>
  </si>
  <si>
    <t>354-46, Mojon 1-gil, Seonggeo-eup, Seobuk-gu, Cheonan-si, Chungcheongnam-do,</t>
    <phoneticPr fontId="9"/>
  </si>
  <si>
    <t>충청남도 천안시 서북구 성거읍 모전1길 354-46</t>
  </si>
  <si>
    <t>Seonggeo S/S Sam-eun D/L 10MW</t>
    <phoneticPr fontId="9"/>
  </si>
  <si>
    <t>Keohwa</t>
    <phoneticPr fontId="9"/>
  </si>
  <si>
    <t>720-1, Purundolpan-ro, Paltan-myeon, Hwaseong-si, Gyeonggi-do</t>
    <phoneticPr fontId="9"/>
  </si>
  <si>
    <t>경기도 화성시 팔탄면 푸른들판로 720-1</t>
  </si>
  <si>
    <t>Hwaseong S/S Gusan D/L 12MW</t>
    <phoneticPr fontId="9"/>
  </si>
  <si>
    <t>Dong-A</t>
    <phoneticPr fontId="9"/>
  </si>
  <si>
    <t>385, Yeongok-gil, Ipjang-myeon, Seobuk-gu, Cheonan-si, Chungcheongnam-do</t>
  </si>
  <si>
    <t>충청남도 천안시 서북구 입장면 연곡길 385</t>
  </si>
  <si>
    <t>BBB-</t>
  </si>
  <si>
    <t>Seonggeo S/S Yeongok D/L 10MW</t>
    <phoneticPr fontId="9"/>
  </si>
  <si>
    <t>Kookje University</t>
    <phoneticPr fontId="9"/>
  </si>
  <si>
    <t>56, Janganut-gil, Pyeongtaek-si, Gyeonggi-do</t>
  </si>
  <si>
    <t>경기도 평택시 장안동 353</t>
  </si>
  <si>
    <t>37.064506 / 127.080781</t>
  </si>
  <si>
    <t>University (non-profit organization)</t>
  </si>
  <si>
    <t>Songtan S/S Jangan D/L 13MW</t>
  </si>
  <si>
    <t>Good Road</t>
    <phoneticPr fontId="9"/>
  </si>
  <si>
    <t>207-13, Cheolgangsandan-ro 130beon-gil, Ocheon-eup, Nam-gu, Pohang-si, Gyeongsangbuk-do</t>
    <phoneticPr fontId="9"/>
  </si>
  <si>
    <r>
      <rPr>
        <sz val="9"/>
        <color rgb="FF000000"/>
        <rFont val="맑은 고딕"/>
        <family val="2"/>
      </rPr>
      <t>경상북도</t>
    </r>
    <r>
      <rPr>
        <sz val="9"/>
        <color rgb="FF000000"/>
        <rFont val="Calibri"/>
        <family val="2"/>
      </rPr>
      <t xml:space="preserve"> </t>
    </r>
    <r>
      <rPr>
        <sz val="9"/>
        <color rgb="FF000000"/>
        <rFont val="맑은 고딕"/>
        <family val="2"/>
      </rPr>
      <t>포항시</t>
    </r>
    <r>
      <rPr>
        <sz val="9"/>
        <color rgb="FF000000"/>
        <rFont val="Calibri"/>
        <family val="2"/>
      </rPr>
      <t xml:space="preserve"> </t>
    </r>
    <r>
      <rPr>
        <sz val="9"/>
        <color rgb="FF000000"/>
        <rFont val="맑은 고딕"/>
        <family val="2"/>
      </rPr>
      <t>남구</t>
    </r>
    <r>
      <rPr>
        <sz val="9"/>
        <color rgb="FF000000"/>
        <rFont val="Calibri"/>
        <family val="2"/>
      </rPr>
      <t xml:space="preserve"> </t>
    </r>
    <r>
      <rPr>
        <sz val="9"/>
        <color rgb="FF000000"/>
        <rFont val="맑은 고딕"/>
        <family val="2"/>
      </rPr>
      <t>오천읍</t>
    </r>
    <r>
      <rPr>
        <sz val="9"/>
        <color rgb="FF000000"/>
        <rFont val="Calibri"/>
        <family val="2"/>
      </rPr>
      <t xml:space="preserve"> </t>
    </r>
    <r>
      <rPr>
        <sz val="9"/>
        <color rgb="FF000000"/>
        <rFont val="맑은 고딕"/>
        <family val="2"/>
      </rPr>
      <t>철강산단로</t>
    </r>
    <r>
      <rPr>
        <sz val="9"/>
        <color rgb="FF000000"/>
        <rFont val="Calibri"/>
        <family val="2"/>
      </rPr>
      <t>130</t>
    </r>
    <r>
      <rPr>
        <sz val="9"/>
        <color rgb="FF000000"/>
        <rFont val="맑은 고딕"/>
        <family val="2"/>
      </rPr>
      <t>번길</t>
    </r>
    <r>
      <rPr>
        <sz val="9"/>
        <color rgb="FF000000"/>
        <rFont val="Calibri"/>
        <family val="2"/>
      </rPr>
      <t xml:space="preserve"> 207-13</t>
    </r>
    <phoneticPr fontId="9"/>
  </si>
  <si>
    <t xml:space="preserve"> 35.958561/ 129.391720</t>
  </si>
  <si>
    <t>BB0</t>
  </si>
  <si>
    <t>Daesong S/S Dohak D/L 10MW</t>
    <phoneticPr fontId="9"/>
  </si>
  <si>
    <t>KORENS EM</t>
  </si>
  <si>
    <t>Busan Gangseo-gu Mieum International 8-ro 121</t>
    <phoneticPr fontId="9"/>
  </si>
  <si>
    <r>
      <rPr>
        <sz val="9"/>
        <color rgb="FF000000"/>
        <rFont val="맑은 고딕"/>
        <family val="2"/>
      </rPr>
      <t>부산광역시</t>
    </r>
    <r>
      <rPr>
        <sz val="9"/>
        <color rgb="FF000000"/>
        <rFont val="Calibri"/>
        <family val="2"/>
      </rPr>
      <t xml:space="preserve"> </t>
    </r>
    <r>
      <rPr>
        <sz val="9"/>
        <color rgb="FF000000"/>
        <rFont val="맑은 고딕"/>
        <family val="2"/>
      </rPr>
      <t>강서구</t>
    </r>
    <r>
      <rPr>
        <sz val="9"/>
        <color rgb="FF000000"/>
        <rFont val="Calibri"/>
        <family val="2"/>
      </rPr>
      <t xml:space="preserve"> </t>
    </r>
    <r>
      <rPr>
        <sz val="9"/>
        <color rgb="FF000000"/>
        <rFont val="맑은 고딕"/>
        <family val="2"/>
      </rPr>
      <t>미음국제</t>
    </r>
    <r>
      <rPr>
        <sz val="9"/>
        <color rgb="FF000000"/>
        <rFont val="Calibri"/>
        <family val="2"/>
      </rPr>
      <t>8</t>
    </r>
    <r>
      <rPr>
        <sz val="9"/>
        <color rgb="FF000000"/>
        <rFont val="맑은 고딕"/>
        <family val="2"/>
      </rPr>
      <t>로</t>
    </r>
    <r>
      <rPr>
        <sz val="9"/>
        <color rgb="FF000000"/>
        <rFont val="Calibri"/>
        <family val="2"/>
      </rPr>
      <t xml:space="preserve"> 121</t>
    </r>
  </si>
  <si>
    <t xml:space="preserve"> 35.137311 / 128.864834</t>
  </si>
  <si>
    <t>Jisa S/S Mieum D/L 5MW</t>
  </si>
  <si>
    <t>KORENS RTX</t>
  </si>
  <si>
    <t>Gyeryong-si, Chungcheongnam, Duma-myeon, Ipam-ri 647</t>
    <phoneticPr fontId="9"/>
  </si>
  <si>
    <r>
      <rPr>
        <sz val="9"/>
        <color rgb="FF000000"/>
        <rFont val="맑은 고딕"/>
        <family val="2"/>
      </rPr>
      <t>충남</t>
    </r>
    <r>
      <rPr>
        <sz val="9"/>
        <color rgb="FF000000"/>
        <rFont val="Calibri"/>
        <family val="2"/>
      </rPr>
      <t xml:space="preserve"> </t>
    </r>
    <r>
      <rPr>
        <sz val="9"/>
        <color rgb="FF000000"/>
        <rFont val="맑은 고딕"/>
        <family val="2"/>
      </rPr>
      <t>계룡시</t>
    </r>
    <r>
      <rPr>
        <sz val="9"/>
        <color rgb="FF000000"/>
        <rFont val="Calibri"/>
        <family val="2"/>
      </rPr>
      <t xml:space="preserve"> </t>
    </r>
    <r>
      <rPr>
        <sz val="9"/>
        <color rgb="FF000000"/>
        <rFont val="맑은 고딕"/>
        <family val="2"/>
      </rPr>
      <t>두마면</t>
    </r>
    <r>
      <rPr>
        <sz val="9"/>
        <color rgb="FF000000"/>
        <rFont val="Calibri"/>
        <family val="2"/>
      </rPr>
      <t xml:space="preserve"> </t>
    </r>
    <r>
      <rPr>
        <sz val="9"/>
        <color rgb="FF000000"/>
        <rFont val="맑은 고딕"/>
        <family val="2"/>
      </rPr>
      <t>입암리</t>
    </r>
    <r>
      <rPr>
        <sz val="9"/>
        <color rgb="FF000000"/>
        <rFont val="Calibri"/>
        <family val="2"/>
      </rPr>
      <t xml:space="preserve"> 647</t>
    </r>
  </si>
  <si>
    <t xml:space="preserve"> 36.251876 / 127.266706</t>
  </si>
  <si>
    <t>Duma S/S Duge D/L 11MW</t>
  </si>
  <si>
    <t>KORENS Yangsan</t>
  </si>
  <si>
    <t>Gyeongsangnam-do Yangsan-si Eogok Gongdan-ro 116</t>
    <phoneticPr fontId="9"/>
  </si>
  <si>
    <r>
      <rPr>
        <sz val="9"/>
        <color rgb="FF000000"/>
        <rFont val="맑은 고딕"/>
        <family val="2"/>
      </rPr>
      <t>경상남도</t>
    </r>
    <r>
      <rPr>
        <sz val="9"/>
        <color rgb="FF000000"/>
        <rFont val="Calibri"/>
        <family val="2"/>
      </rPr>
      <t xml:space="preserve"> </t>
    </r>
    <r>
      <rPr>
        <sz val="9"/>
        <color rgb="FF000000"/>
        <rFont val="맑은 고딕"/>
        <family val="2"/>
      </rPr>
      <t>양산시</t>
    </r>
    <r>
      <rPr>
        <sz val="9"/>
        <color rgb="FF000000"/>
        <rFont val="Calibri"/>
        <family val="2"/>
      </rPr>
      <t xml:space="preserve"> </t>
    </r>
    <r>
      <rPr>
        <sz val="9"/>
        <color rgb="FF000000"/>
        <rFont val="맑은 고딕"/>
        <family val="2"/>
      </rPr>
      <t>어곡공단로</t>
    </r>
    <r>
      <rPr>
        <sz val="9"/>
        <color rgb="FF000000"/>
        <rFont val="Calibri"/>
        <family val="2"/>
      </rPr>
      <t xml:space="preserve"> 116</t>
    </r>
  </si>
  <si>
    <t xml:space="preserve"> 35.381918 / 129.020158</t>
  </si>
  <si>
    <t>Yangsan SA S/S Eosam D/L 12MW</t>
  </si>
  <si>
    <t>Seunsteel Changwon</t>
    <phoneticPr fontId="9"/>
  </si>
  <si>
    <t>Gyeongsangnam-do Changwon-do Seongsan-gu Jeokhyeon-ro 568-42</t>
    <phoneticPr fontId="9"/>
  </si>
  <si>
    <r>
      <rPr>
        <sz val="9"/>
        <color rgb="FF000000"/>
        <rFont val="맑은 고딕"/>
        <family val="2"/>
        <charset val="129"/>
      </rPr>
      <t>경상남도</t>
    </r>
    <r>
      <rPr>
        <sz val="9"/>
        <color rgb="FF000000"/>
        <rFont val="Calibri"/>
        <family val="2"/>
      </rPr>
      <t xml:space="preserve"> </t>
    </r>
    <r>
      <rPr>
        <sz val="9"/>
        <color rgb="FF000000"/>
        <rFont val="맑은 고딕"/>
        <family val="2"/>
        <charset val="129"/>
      </rPr>
      <t>창원시</t>
    </r>
    <r>
      <rPr>
        <sz val="9"/>
        <color rgb="FF000000"/>
        <rFont val="Calibri"/>
        <family val="2"/>
      </rPr>
      <t xml:space="preserve"> </t>
    </r>
    <r>
      <rPr>
        <sz val="9"/>
        <color rgb="FF000000"/>
        <rFont val="맑은 고딕"/>
        <family val="2"/>
        <charset val="129"/>
      </rPr>
      <t>성산구</t>
    </r>
    <r>
      <rPr>
        <sz val="9"/>
        <color rgb="FF000000"/>
        <rFont val="Calibri"/>
        <family val="2"/>
      </rPr>
      <t xml:space="preserve"> </t>
    </r>
    <r>
      <rPr>
        <sz val="9"/>
        <color rgb="FF000000"/>
        <rFont val="맑은 고딕"/>
        <family val="2"/>
        <charset val="129"/>
      </rPr>
      <t>적현로</t>
    </r>
    <r>
      <rPr>
        <sz val="9"/>
        <color rgb="FF000000"/>
        <rFont val="Calibri"/>
        <family val="2"/>
      </rPr>
      <t xml:space="preserve"> 568-42</t>
    </r>
    <phoneticPr fontId="9"/>
  </si>
  <si>
    <t>BB-</t>
    <phoneticPr fontId="9"/>
  </si>
  <si>
    <t>Wolrim S/S Yanggok D/L 7MW</t>
    <phoneticPr fontId="9"/>
  </si>
  <si>
    <t>GMB Korea Factory 2</t>
  </si>
  <si>
    <t>Gyeongsangnam-do Changwon-do Seongsan-gu Gongdan-ro 543</t>
    <phoneticPr fontId="9"/>
  </si>
  <si>
    <t>경상남도 창원시 성산구 공단로 543</t>
  </si>
  <si>
    <t>A-</t>
    <phoneticPr fontId="9"/>
  </si>
  <si>
    <t>Anmin S/S Osung D/L 12MW</t>
    <phoneticPr fontId="9"/>
  </si>
  <si>
    <t>GMB Korea Headquarters</t>
  </si>
  <si>
    <t>Gyeongsangnam-do Changwon-do Seongsan-gu Woongnam-ro 618</t>
    <phoneticPr fontId="9"/>
  </si>
  <si>
    <t>경상남도 창원시 성산구 웅남로 618</t>
  </si>
  <si>
    <t>Anmin S/S Jiko D/L 10MW</t>
    <phoneticPr fontId="9"/>
  </si>
  <si>
    <t>GMB Korea Seosan</t>
  </si>
  <si>
    <t>Chungcheongnam-do Seosan-si Seongyeon-myeon Myeongcheon Industrial Road 69</t>
    <phoneticPr fontId="9"/>
  </si>
  <si>
    <r>
      <rPr>
        <sz val="9"/>
        <color rgb="FF000000"/>
        <rFont val="맑은 고딕"/>
        <family val="3"/>
        <charset val="129"/>
      </rPr>
      <t>충청남도</t>
    </r>
    <r>
      <rPr>
        <sz val="9"/>
        <color rgb="FF000000"/>
        <rFont val="Calibri"/>
        <family val="2"/>
      </rPr>
      <t xml:space="preserve"> </t>
    </r>
    <r>
      <rPr>
        <sz val="9"/>
        <color rgb="FF000000"/>
        <rFont val="맑은 고딕"/>
        <family val="3"/>
        <charset val="129"/>
      </rPr>
      <t>서산시</t>
    </r>
    <r>
      <rPr>
        <sz val="9"/>
        <color rgb="FF000000"/>
        <rFont val="Calibri"/>
        <family val="2"/>
      </rPr>
      <t xml:space="preserve"> </t>
    </r>
    <r>
      <rPr>
        <sz val="9"/>
        <color rgb="FF000000"/>
        <rFont val="맑은 고딕"/>
        <family val="3"/>
        <charset val="129"/>
      </rPr>
      <t>성연면</t>
    </r>
    <r>
      <rPr>
        <sz val="9"/>
        <color rgb="FF000000"/>
        <rFont val="Calibri"/>
        <family val="2"/>
      </rPr>
      <t xml:space="preserve"> </t>
    </r>
    <r>
      <rPr>
        <sz val="9"/>
        <color rgb="FF000000"/>
        <rFont val="맑은 고딕"/>
        <family val="3"/>
        <charset val="129"/>
      </rPr>
      <t>명천산업로</t>
    </r>
    <r>
      <rPr>
        <sz val="9"/>
        <color rgb="FF000000"/>
        <rFont val="Calibri"/>
        <family val="2"/>
      </rPr>
      <t xml:space="preserve"> 69</t>
    </r>
    <phoneticPr fontId="9"/>
  </si>
  <si>
    <t>Seosan S/S Galhyun D/L 10MW</t>
    <phoneticPr fontId="9"/>
  </si>
  <si>
    <t>Shinyang Metal</t>
    <phoneticPr fontId="9"/>
  </si>
  <si>
    <t>48, Wonsi-ro, Danwon-gu, Ansan-si, Gyeonggi-do (741, Wondong-dong, Danwon-gu, Ansan-si, Gyeonggi-do)</t>
    <phoneticPr fontId="9"/>
  </si>
  <si>
    <t>경기도 안산시 단원구 원시로 48 (경기도 안산시 단원구 원시동 741)</t>
    <phoneticPr fontId="9"/>
  </si>
  <si>
    <t>Bolt Taeyanggwang 2HO(TBD)</t>
  </si>
  <si>
    <t>BangBang Apparel</t>
  </si>
  <si>
    <t>경기도 여주시 하거3길 61-42 (경기도 여주시 하거동 444-5)</t>
    <phoneticPr fontId="9"/>
  </si>
  <si>
    <t>Seah css</t>
    <phoneticPr fontId="9"/>
  </si>
  <si>
    <t>Gyeongsangnam-do Changwon-do Seongsan-gu Jeokhyeon-ro 147</t>
    <phoneticPr fontId="9"/>
  </si>
  <si>
    <t>경상남도 창원시 성산구 적현로 147</t>
  </si>
  <si>
    <t>A+</t>
    <phoneticPr fontId="9"/>
  </si>
  <si>
    <t>Wolrim S/S #1MTR 21MW</t>
    <phoneticPr fontId="9"/>
  </si>
  <si>
    <t>Songwol Towel Shinpyeong</t>
  </si>
  <si>
    <r>
      <rPr>
        <sz val="9"/>
        <color rgb="FF000000"/>
        <rFont val="맑은 고딕"/>
        <family val="2"/>
      </rPr>
      <t>부산광역시</t>
    </r>
    <r>
      <rPr>
        <sz val="9"/>
        <color rgb="FF000000"/>
        <rFont val="Calibri"/>
        <family val="2"/>
      </rPr>
      <t xml:space="preserve"> </t>
    </r>
    <r>
      <rPr>
        <sz val="9"/>
        <color rgb="FF000000"/>
        <rFont val="맑은 고딕"/>
        <family val="2"/>
      </rPr>
      <t>신평동</t>
    </r>
    <r>
      <rPr>
        <sz val="9"/>
        <color rgb="FF000000"/>
        <rFont val="Calibri"/>
        <family val="2"/>
      </rPr>
      <t xml:space="preserve"> 653-5</t>
    </r>
  </si>
  <si>
    <t xml:space="preserve"> 35.091201 / 128.957401</t>
  </si>
  <si>
    <t>A0</t>
  </si>
  <si>
    <t>Sinpyeong S/S Shingang D/L 12MW</t>
  </si>
  <si>
    <t>Songwol Towel Bukjeong 1-1</t>
  </si>
  <si>
    <t>237-16, Bukjeong-dong, Yangsan-si, Gyeongsangnam-do</t>
  </si>
  <si>
    <r>
      <rPr>
        <sz val="9"/>
        <color rgb="FF000000"/>
        <rFont val="맑은 고딕"/>
        <family val="2"/>
      </rPr>
      <t>경상남도</t>
    </r>
    <r>
      <rPr>
        <sz val="9"/>
        <color rgb="FF000000"/>
        <rFont val="Calibri"/>
        <family val="2"/>
      </rPr>
      <t xml:space="preserve"> </t>
    </r>
    <r>
      <rPr>
        <sz val="9"/>
        <color rgb="FF000000"/>
        <rFont val="맑은 고딕"/>
        <family val="2"/>
      </rPr>
      <t>양산시</t>
    </r>
    <r>
      <rPr>
        <sz val="9"/>
        <color rgb="FF000000"/>
        <rFont val="Calibri"/>
        <family val="2"/>
      </rPr>
      <t xml:space="preserve"> </t>
    </r>
    <r>
      <rPr>
        <sz val="9"/>
        <color rgb="FF000000"/>
        <rFont val="맑은 고딕"/>
        <family val="2"/>
      </rPr>
      <t>북정동</t>
    </r>
    <r>
      <rPr>
        <sz val="9"/>
        <color rgb="FF000000"/>
        <rFont val="Calibri"/>
        <family val="2"/>
      </rPr>
      <t xml:space="preserve"> 237-16</t>
    </r>
  </si>
  <si>
    <t xml:space="preserve"> 35.366090 / 129.045700</t>
  </si>
  <si>
    <t>Sanmak S/S New Equipment D/L 12MW</t>
  </si>
  <si>
    <t>Songwol Towel Bukjeong 1-2</t>
  </si>
  <si>
    <t>236-11 Bukjeong-dong, Yangsan-si, Gyeongsangnam-do</t>
    <phoneticPr fontId="7" type="noConversion"/>
  </si>
  <si>
    <r>
      <rPr>
        <sz val="9"/>
        <color rgb="FF000000"/>
        <rFont val="맑은 고딕"/>
        <family val="2"/>
      </rPr>
      <t>경상남도</t>
    </r>
    <r>
      <rPr>
        <sz val="9"/>
        <color rgb="FF000000"/>
        <rFont val="Calibri"/>
        <family val="2"/>
      </rPr>
      <t xml:space="preserve"> </t>
    </r>
    <r>
      <rPr>
        <sz val="9"/>
        <color rgb="FF000000"/>
        <rFont val="맑은 고딕"/>
        <family val="2"/>
      </rPr>
      <t>양산시</t>
    </r>
    <r>
      <rPr>
        <sz val="9"/>
        <color rgb="FF000000"/>
        <rFont val="Calibri"/>
        <family val="2"/>
      </rPr>
      <t xml:space="preserve"> </t>
    </r>
    <r>
      <rPr>
        <sz val="9"/>
        <color rgb="FF000000"/>
        <rFont val="맑은 고딕"/>
        <family val="2"/>
      </rPr>
      <t>북정동</t>
    </r>
    <r>
      <rPr>
        <sz val="9"/>
        <color rgb="FF000000"/>
        <rFont val="Calibri"/>
        <family val="2"/>
      </rPr>
      <t xml:space="preserve"> 236-11</t>
    </r>
  </si>
  <si>
    <t xml:space="preserve"> 35.366283 / 129.044208</t>
  </si>
  <si>
    <t>Songwol Towel Yusan</t>
  </si>
  <si>
    <t>Gyeongsangnam-do Yangsan-si Yusan-dong 250-1</t>
    <phoneticPr fontId="7" type="noConversion"/>
  </si>
  <si>
    <r>
      <rPr>
        <sz val="9"/>
        <color rgb="FF000000"/>
        <rFont val="맑은 고딕"/>
        <family val="2"/>
      </rPr>
      <t>경상남도</t>
    </r>
    <r>
      <rPr>
        <sz val="9"/>
        <color rgb="FF000000"/>
        <rFont val="Calibri"/>
        <family val="2"/>
      </rPr>
      <t xml:space="preserve"> </t>
    </r>
    <r>
      <rPr>
        <sz val="9"/>
        <color rgb="FF000000"/>
        <rFont val="맑은 고딕"/>
        <family val="2"/>
      </rPr>
      <t>양산시</t>
    </r>
    <r>
      <rPr>
        <sz val="9"/>
        <color rgb="FF000000"/>
        <rFont val="Calibri"/>
        <family val="2"/>
      </rPr>
      <t xml:space="preserve"> </t>
    </r>
    <r>
      <rPr>
        <sz val="9"/>
        <color rgb="FF000000"/>
        <rFont val="맑은 고딕"/>
        <family val="2"/>
      </rPr>
      <t>유산동</t>
    </r>
    <r>
      <rPr>
        <sz val="9"/>
        <color rgb="FF000000"/>
        <rFont val="Calibri"/>
        <family val="2"/>
      </rPr>
      <t xml:space="preserve"> 250-1</t>
    </r>
  </si>
  <si>
    <t xml:space="preserve"> 35.362791 / 129.031742</t>
  </si>
  <si>
    <t>Yangsan SA S/S Duyeon D/L 12MW</t>
  </si>
  <si>
    <t>Samkwang Automotive</t>
    <phoneticPr fontId="9"/>
  </si>
  <si>
    <t>Gyeongsangbuk-do, Gyeongsan-si, Jinryang-eup, Asari 417-2</t>
    <phoneticPr fontId="7" type="noConversion"/>
  </si>
  <si>
    <t>경상북도 경산시 진량읍 아사리 417-2</t>
  </si>
  <si>
    <t>BB</t>
    <phoneticPr fontId="9"/>
  </si>
  <si>
    <t>Shingyeongsan S/S Pyeongsa D/L 10MW</t>
    <phoneticPr fontId="9"/>
  </si>
  <si>
    <t>Samkwang OneTech</t>
    <phoneticPr fontId="9"/>
  </si>
  <si>
    <t>Gyeongsangbuk-do, Gyeongsan-si, Jinryang-eup, Gongdan 4-ro 5-gil 19</t>
    <phoneticPr fontId="7" type="noConversion"/>
  </si>
  <si>
    <t>경상북도 경산시 진량읍 공단4로5길 19</t>
  </si>
  <si>
    <t>Shingyeongsan S/S Gagok D/L 9MW</t>
    <phoneticPr fontId="9"/>
  </si>
  <si>
    <t>Samkwang HQ</t>
    <phoneticPr fontId="9"/>
  </si>
  <si>
    <t>Gyeongsangbuk-do, Gyeongsan-si, Jinryang-eup, Gongdan 4-ro 40</t>
    <phoneticPr fontId="7" type="noConversion"/>
  </si>
  <si>
    <t>경상북도 경산시 진량읍 공단4로 40</t>
  </si>
  <si>
    <r>
      <t>SNT Dynamics(</t>
    </r>
    <r>
      <rPr>
        <sz val="9"/>
        <color theme="1"/>
        <rFont val="맑은 고딕"/>
        <family val="3"/>
        <charset val="129"/>
      </rPr>
      <t>주차장포함</t>
    </r>
    <r>
      <rPr>
        <sz val="9"/>
        <color theme="1"/>
        <rFont val="Calibri"/>
        <family val="2"/>
      </rPr>
      <t>)</t>
    </r>
    <phoneticPr fontId="9"/>
  </si>
  <si>
    <t>Gyeongsangnam-do Changwon-do Seongsan-gu Nammyeon-ro 599</t>
    <phoneticPr fontId="7" type="noConversion"/>
  </si>
  <si>
    <t>경상남도 창원시 성산구 남면로 599</t>
  </si>
  <si>
    <t>AA-</t>
    <phoneticPr fontId="9"/>
  </si>
  <si>
    <t>Anmin S/S Unification D/L 12MW</t>
    <phoneticPr fontId="9"/>
  </si>
  <si>
    <t>STX Engine</t>
    <phoneticPr fontId="9"/>
  </si>
  <si>
    <t>Gyeongsangnam-do Changwon-do Seongsan-gu Seongsan-dong 80</t>
    <phoneticPr fontId="7" type="noConversion"/>
  </si>
  <si>
    <t>경상남도 창원시 성산구 성산동 80</t>
  </si>
  <si>
    <t>Wanam S/S Sangbuk D/L 12MW</t>
    <phoneticPr fontId="9"/>
  </si>
  <si>
    <t>Kunhwa Changwon</t>
    <phoneticPr fontId="9"/>
  </si>
  <si>
    <t>129, Sandan 1-gil, Jinbuk-myeon, Masanhappo-gu, Changwon, Gyeongsangnam-do</t>
    <phoneticPr fontId="7" type="noConversion"/>
  </si>
  <si>
    <t>경상남도 창원시 마산합포구 진북면 산단1길 129</t>
  </si>
  <si>
    <t>Jindo SA S/S Geonhwa D/L 13MW</t>
    <phoneticPr fontId="9"/>
  </si>
  <si>
    <t>Taekwang</t>
    <phoneticPr fontId="9"/>
  </si>
  <si>
    <t>660-77 Bongam-dong, Masanwon-gu, Changwon-do, Gyeongsangnam-do</t>
    <phoneticPr fontId="7" type="noConversion"/>
  </si>
  <si>
    <t>경상남도 창원시 마산회원구 봉암동 660-77</t>
  </si>
  <si>
    <t>BB</t>
  </si>
  <si>
    <t>Soochool S/S Happo D/L 12MW</t>
    <phoneticPr fontId="9"/>
  </si>
  <si>
    <t>Shingal Warehouse 1-1</t>
  </si>
  <si>
    <t>586-3, Sin-gal-ri, Moga-myeon, Icheon-si, Gyeonggi-do</t>
  </si>
  <si>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모가면</t>
    </r>
    <r>
      <rPr>
        <sz val="9"/>
        <color rgb="FF000000"/>
        <rFont val="Calibri"/>
        <family val="2"/>
      </rPr>
      <t xml:space="preserve"> </t>
    </r>
    <r>
      <rPr>
        <sz val="9"/>
        <color rgb="FF000000"/>
        <rFont val="맑은 고딕"/>
        <family val="2"/>
      </rPr>
      <t>신갈리</t>
    </r>
    <r>
      <rPr>
        <sz val="9"/>
        <color rgb="FF000000"/>
        <rFont val="Calibri"/>
        <family val="2"/>
      </rPr>
      <t xml:space="preserve"> 586-3</t>
    </r>
  </si>
  <si>
    <t>37.196321 / 127.444041</t>
  </si>
  <si>
    <t>Original Owner CCC+
Trust Company A0</t>
    <phoneticPr fontId="9"/>
  </si>
  <si>
    <t>Icheon S/S Mogam D/L 10MW</t>
  </si>
  <si>
    <t>Shingal Warehouse 1-2</t>
    <phoneticPr fontId="9"/>
  </si>
  <si>
    <t>971, Sasil-ro, Moga-myeon, Icheon-si, Gyeonggi-do</t>
  </si>
  <si>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모가면</t>
    </r>
    <r>
      <rPr>
        <sz val="9"/>
        <color rgb="FF000000"/>
        <rFont val="Calibri"/>
        <family val="2"/>
      </rPr>
      <t xml:space="preserve"> </t>
    </r>
    <r>
      <rPr>
        <sz val="9"/>
        <color rgb="FF000000"/>
        <rFont val="맑은 고딕"/>
        <family val="2"/>
      </rPr>
      <t>사실로</t>
    </r>
    <r>
      <rPr>
        <sz val="9"/>
        <color rgb="FF000000"/>
        <rFont val="Calibri"/>
        <family val="2"/>
      </rPr>
      <t xml:space="preserve"> 971(</t>
    </r>
    <r>
      <rPr>
        <sz val="9"/>
        <color rgb="FF000000"/>
        <rFont val="맑은 고딕"/>
        <family val="2"/>
      </rPr>
      <t>신갈리</t>
    </r>
    <r>
      <rPr>
        <sz val="9"/>
        <color rgb="FF000000"/>
        <rFont val="Calibri"/>
        <family val="2"/>
      </rPr>
      <t xml:space="preserve"> 850)</t>
    </r>
  </si>
  <si>
    <t>37.199076/ 127.444457</t>
  </si>
  <si>
    <t>Original Owner CCC-
Trust Company AA+</t>
    <phoneticPr fontId="9"/>
  </si>
  <si>
    <t>GIS</t>
    <phoneticPr fontId="9"/>
  </si>
  <si>
    <t>55, 5gongdan 5-ro, Sandong-eup, Gumi-si, Gyeongsangbuk-do</t>
  </si>
  <si>
    <r>
      <rPr>
        <sz val="9"/>
        <color rgb="FF000000"/>
        <rFont val="맑은 고딕"/>
        <family val="2"/>
      </rPr>
      <t>경상북도</t>
    </r>
    <r>
      <rPr>
        <sz val="9"/>
        <color rgb="FF000000"/>
        <rFont val="Calibri"/>
        <family val="2"/>
      </rPr>
      <t xml:space="preserve"> </t>
    </r>
    <r>
      <rPr>
        <sz val="9"/>
        <color rgb="FF000000"/>
        <rFont val="맑은 고딕"/>
        <family val="2"/>
      </rPr>
      <t>구미시</t>
    </r>
    <r>
      <rPr>
        <sz val="9"/>
        <color rgb="FF000000"/>
        <rFont val="Calibri"/>
        <family val="2"/>
      </rPr>
      <t xml:space="preserve"> </t>
    </r>
    <r>
      <rPr>
        <sz val="9"/>
        <color rgb="FF000000"/>
        <rFont val="맑은 고딕"/>
        <family val="2"/>
      </rPr>
      <t>산동읍</t>
    </r>
    <r>
      <rPr>
        <sz val="9"/>
        <color rgb="FF000000"/>
        <rFont val="Calibri"/>
        <family val="2"/>
      </rPr>
      <t xml:space="preserve"> 5</t>
    </r>
    <r>
      <rPr>
        <sz val="9"/>
        <color rgb="FF000000"/>
        <rFont val="맑은 고딕"/>
        <family val="2"/>
      </rPr>
      <t>공단</t>
    </r>
    <r>
      <rPr>
        <sz val="9"/>
        <color rgb="FF000000"/>
        <rFont val="Calibri"/>
        <family val="2"/>
      </rPr>
      <t xml:space="preserve"> 5</t>
    </r>
    <r>
      <rPr>
        <sz val="9"/>
        <color rgb="FF000000"/>
        <rFont val="맑은 고딕"/>
        <family val="2"/>
      </rPr>
      <t>로</t>
    </r>
    <r>
      <rPr>
        <sz val="9"/>
        <color rgb="FF000000"/>
        <rFont val="Calibri"/>
        <family val="2"/>
      </rPr>
      <t xml:space="preserve"> 55</t>
    </r>
  </si>
  <si>
    <t>36.185808 / 128.431620</t>
  </si>
  <si>
    <t>BBB0</t>
    <phoneticPr fontId="9"/>
  </si>
  <si>
    <t>Sangdong S/S Tech D/L 10MW</t>
  </si>
  <si>
    <t>Lee Sang Bok</t>
    <phoneticPr fontId="9"/>
  </si>
  <si>
    <t>456, Cheongbuk-ro, Cheongbuk-eup, Pyeongtaek-si, Gyeonggi-do</t>
  </si>
  <si>
    <r>
      <rPr>
        <sz val="9"/>
        <color rgb="FF000000"/>
        <rFont val="맑은 고딕"/>
        <family val="2"/>
      </rPr>
      <t>경기</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청북읍</t>
    </r>
    <r>
      <rPr>
        <sz val="9"/>
        <color rgb="FF000000"/>
        <rFont val="Calibri"/>
        <family val="2"/>
      </rPr>
      <t xml:space="preserve"> </t>
    </r>
    <r>
      <rPr>
        <sz val="9"/>
        <color rgb="FF000000"/>
        <rFont val="맑은 고딕"/>
        <family val="2"/>
      </rPr>
      <t>율북리</t>
    </r>
    <r>
      <rPr>
        <sz val="9"/>
        <color rgb="FF000000"/>
        <rFont val="Calibri"/>
        <family val="2"/>
      </rPr>
      <t xml:space="preserve"> 3-29</t>
    </r>
  </si>
  <si>
    <t>37.070226 / 126.968714</t>
  </si>
  <si>
    <t>Cheongbuk S/S Euso D/L 12MW</t>
  </si>
  <si>
    <t xml:space="preserve">Gunil Steel </t>
  </si>
  <si>
    <t>62, Yeonbong 2-gil, Ipjang-myeon, Seobuk-gu, Cheonan-si, Chungcheongnam-do</t>
    <phoneticPr fontId="9"/>
  </si>
  <si>
    <r>
      <rPr>
        <sz val="9"/>
        <color rgb="FF000000"/>
        <rFont val="맑은 고딕"/>
        <family val="2"/>
      </rPr>
      <t>충청남도</t>
    </r>
    <r>
      <rPr>
        <sz val="9"/>
        <color rgb="FF000000"/>
        <rFont val="Calibri"/>
        <family val="2"/>
      </rPr>
      <t xml:space="preserve"> </t>
    </r>
    <r>
      <rPr>
        <sz val="9"/>
        <color rgb="FF000000"/>
        <rFont val="맑은 고딕"/>
        <family val="2"/>
      </rPr>
      <t>천안시</t>
    </r>
    <r>
      <rPr>
        <sz val="9"/>
        <color rgb="FF000000"/>
        <rFont val="Calibri"/>
        <family val="2"/>
      </rPr>
      <t xml:space="preserve"> </t>
    </r>
    <r>
      <rPr>
        <sz val="9"/>
        <color rgb="FF000000"/>
        <rFont val="맑은 고딕"/>
        <family val="2"/>
      </rPr>
      <t>서북구</t>
    </r>
    <r>
      <rPr>
        <sz val="9"/>
        <color rgb="FF000000"/>
        <rFont val="Calibri"/>
        <family val="2"/>
      </rPr>
      <t xml:space="preserve"> </t>
    </r>
    <r>
      <rPr>
        <sz val="9"/>
        <color rgb="FF000000"/>
        <rFont val="맑은 고딕"/>
        <family val="2"/>
      </rPr>
      <t>입장면</t>
    </r>
    <r>
      <rPr>
        <sz val="9"/>
        <color rgb="FF000000"/>
        <rFont val="Calibri"/>
        <family val="2"/>
      </rPr>
      <t xml:space="preserve"> </t>
    </r>
    <r>
      <rPr>
        <sz val="9"/>
        <color rgb="FF000000"/>
        <rFont val="맑은 고딕"/>
        <family val="2"/>
      </rPr>
      <t>연봉</t>
    </r>
    <r>
      <rPr>
        <sz val="9"/>
        <color rgb="FF000000"/>
        <rFont val="Calibri"/>
        <family val="2"/>
      </rPr>
      <t>2</t>
    </r>
    <r>
      <rPr>
        <sz val="9"/>
        <color rgb="FF000000"/>
        <rFont val="맑은 고딕"/>
        <family val="2"/>
      </rPr>
      <t>길</t>
    </r>
    <r>
      <rPr>
        <sz val="9"/>
        <color rgb="FF000000"/>
        <rFont val="Calibri"/>
        <family val="2"/>
      </rPr>
      <t xml:space="preserve"> 62</t>
    </r>
    <phoneticPr fontId="9"/>
  </si>
  <si>
    <t>36.950735 / 127.187073</t>
  </si>
  <si>
    <t>BBB+</t>
  </si>
  <si>
    <t>Dunpo S/S Yeonam D/L 2MW</t>
  </si>
  <si>
    <t>Gyeongin Precision Machinery</t>
  </si>
  <si>
    <t>92-8, Siu-ro, Danwon-gu, Ansan-si,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</si>
  <si>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안산시</t>
    </r>
    <r>
      <rPr>
        <sz val="9"/>
        <color rgb="FF000000"/>
        <rFont val="Calibri"/>
        <family val="2"/>
      </rPr>
      <t xml:space="preserve"> </t>
    </r>
    <r>
      <rPr>
        <sz val="9"/>
        <color rgb="FF000000"/>
        <rFont val="맑은 고딕"/>
        <family val="2"/>
      </rPr>
      <t>단원구</t>
    </r>
    <r>
      <rPr>
        <sz val="9"/>
        <color rgb="FF000000"/>
        <rFont val="Calibri"/>
        <family val="2"/>
      </rPr>
      <t xml:space="preserve"> </t>
    </r>
    <r>
      <rPr>
        <sz val="9"/>
        <color rgb="FF000000"/>
        <rFont val="맑은 고딕"/>
        <family val="2"/>
      </rPr>
      <t>초지동</t>
    </r>
    <r>
      <rPr>
        <sz val="9"/>
        <color rgb="FF000000"/>
        <rFont val="Calibri"/>
        <family val="2"/>
      </rPr>
      <t xml:space="preserve"> 619-3</t>
    </r>
    <phoneticPr fontId="9"/>
  </si>
  <si>
    <t>37.307331 / 126.803703</t>
  </si>
  <si>
    <t>Namansan S/S Baekdu D/L 12MW</t>
  </si>
  <si>
    <t>Oh Sung-young/Oh Se-geun(Private property)</t>
    <phoneticPr fontId="9"/>
  </si>
  <si>
    <t>8 &amp; 10, Changsintteul-gil, Oseong-myeon, Pyeongtaek-si,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</si>
  <si>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오성면</t>
    </r>
    <r>
      <rPr>
        <sz val="9"/>
        <color rgb="FF000000"/>
        <rFont val="Calibri"/>
        <family val="2"/>
      </rPr>
      <t xml:space="preserve"> </t>
    </r>
    <r>
      <rPr>
        <sz val="9"/>
        <color rgb="FF000000"/>
        <rFont val="맑은 고딕"/>
        <family val="2"/>
      </rPr>
      <t>창신뜰길 8,</t>
    </r>
    <r>
      <rPr>
        <sz val="9"/>
        <color rgb="FF000000"/>
        <rFont val="Calibri"/>
        <family val="2"/>
      </rPr>
      <t xml:space="preserve"> 10</t>
    </r>
    <phoneticPr fontId="9"/>
  </si>
  <si>
    <t>37.013927 / 127.004582</t>
  </si>
  <si>
    <t>Cheongbuk S/S Baekbong D/L 3MW</t>
  </si>
  <si>
    <t>Samhyeon</t>
  </si>
  <si>
    <t>112, Oseongbuk-ro, Oseong-myeon, Pyeongtaek-si,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</si>
  <si>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오성면</t>
    </r>
    <r>
      <rPr>
        <sz val="9"/>
        <color rgb="FF000000"/>
        <rFont val="Calibri"/>
        <family val="2"/>
      </rPr>
      <t xml:space="preserve"> </t>
    </r>
    <r>
      <rPr>
        <sz val="9"/>
        <color rgb="FF000000"/>
        <rFont val="맑은 고딕"/>
        <family val="2"/>
      </rPr>
      <t>오성북로</t>
    </r>
    <r>
      <rPr>
        <sz val="9"/>
        <color rgb="FF000000"/>
        <rFont val="Calibri"/>
        <family val="2"/>
      </rPr>
      <t xml:space="preserve"> 112 </t>
    </r>
    <phoneticPr fontId="9"/>
  </si>
  <si>
    <t xml:space="preserve"> 37.014575 / 126.973801</t>
  </si>
  <si>
    <t>Cheongbuk S/S Yujin D/L 10MW</t>
  </si>
  <si>
    <t>Soodal Korea</t>
  </si>
  <si>
    <t>34-3 &amp; 36-20, Dogok-gil, Yangseong-myeon, Anseong-si,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</si>
  <si>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안성시</t>
    </r>
    <r>
      <rPr>
        <sz val="9"/>
        <color rgb="FF000000"/>
        <rFont val="Calibri"/>
        <family val="2"/>
      </rPr>
      <t xml:space="preserve"> </t>
    </r>
    <r>
      <rPr>
        <sz val="9"/>
        <color rgb="FF000000"/>
        <rFont val="맑은 고딕"/>
        <family val="2"/>
      </rPr>
      <t>양성면</t>
    </r>
    <r>
      <rPr>
        <sz val="9"/>
        <color rgb="FF000000"/>
        <rFont val="Calibri"/>
        <family val="2"/>
      </rPr>
      <t xml:space="preserve"> </t>
    </r>
    <r>
      <rPr>
        <sz val="9"/>
        <color rgb="FF000000"/>
        <rFont val="맑은 고딕"/>
        <family val="2"/>
      </rPr>
      <t>도곡길</t>
    </r>
    <r>
      <rPr>
        <sz val="9"/>
        <color rgb="FF000000"/>
        <rFont val="Calibri"/>
        <family val="2"/>
      </rPr>
      <t xml:space="preserve"> 34-3,36-20</t>
    </r>
    <phoneticPr fontId="9"/>
  </si>
  <si>
    <t xml:space="preserve"> 37.078219 / 127.212921</t>
  </si>
  <si>
    <t>Anseong S/S Andong D/L 12MW</t>
  </si>
  <si>
    <t>AT Gimpo</t>
  </si>
  <si>
    <t>12, Arayuk-ro 182beon-gil, Gochon-eup, Gimpo-si,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</si>
  <si>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김포시</t>
    </r>
    <r>
      <rPr>
        <sz val="9"/>
        <color rgb="FF000000"/>
        <rFont val="Calibri"/>
        <family val="2"/>
      </rPr>
      <t xml:space="preserve"> </t>
    </r>
    <r>
      <rPr>
        <sz val="9"/>
        <color rgb="FF000000"/>
        <rFont val="맑은 고딕"/>
        <family val="2"/>
      </rPr>
      <t>고촌읍</t>
    </r>
    <r>
      <rPr>
        <sz val="9"/>
        <color rgb="FF000000"/>
        <rFont val="Calibri"/>
        <family val="2"/>
      </rPr>
      <t xml:space="preserve"> </t>
    </r>
    <r>
      <rPr>
        <sz val="9"/>
        <color rgb="FF000000"/>
        <rFont val="맑은 고딕"/>
        <family val="2"/>
      </rPr>
      <t>아라육로</t>
    </r>
    <r>
      <rPr>
        <sz val="9"/>
        <color rgb="FF000000"/>
        <rFont val="Calibri"/>
        <family val="2"/>
      </rPr>
      <t>182</t>
    </r>
    <r>
      <rPr>
        <sz val="9"/>
        <color rgb="FF000000"/>
        <rFont val="맑은 고딕"/>
        <family val="2"/>
      </rPr>
      <t>번길</t>
    </r>
    <r>
      <rPr>
        <sz val="9"/>
        <color rgb="FF000000"/>
        <rFont val="Calibri"/>
        <family val="2"/>
      </rPr>
      <t xml:space="preserve"> 12</t>
    </r>
    <phoneticPr fontId="9"/>
  </si>
  <si>
    <t xml:space="preserve"> 37.595567 / 126.782454</t>
  </si>
  <si>
    <t>Imhak S/S Gocheon D/L 12MW</t>
  </si>
  <si>
    <t>Lease agreement to be signed in the second half of 2025</t>
  </si>
  <si>
    <t>AT Icheon</t>
  </si>
  <si>
    <t>124-33, Daepyeong-ro, Daewol-myeon, Icheon-si,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</si>
  <si>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대월면</t>
    </r>
    <r>
      <rPr>
        <sz val="9"/>
        <color rgb="FF000000"/>
        <rFont val="Calibri"/>
        <family val="2"/>
      </rPr>
      <t xml:space="preserve"> </t>
    </r>
    <r>
      <rPr>
        <sz val="9"/>
        <color rgb="FF000000"/>
        <rFont val="맑은 고딕"/>
        <family val="2"/>
        <charset val="129"/>
      </rPr>
      <t>대평로 124-33</t>
    </r>
    <phoneticPr fontId="9"/>
  </si>
  <si>
    <t xml:space="preserve"> 37.227833 / 127.487317</t>
  </si>
  <si>
    <t>Icheon S/S Jangpyeong D/L 10MW</t>
  </si>
  <si>
    <t>AT Pyeongtaek</t>
  </si>
  <si>
    <t>87, Doilyutong-gil, Pyeongtaek-si,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</si>
  <si>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도일유통길</t>
    </r>
    <r>
      <rPr>
        <sz val="9"/>
        <color rgb="FF000000"/>
        <rFont val="Calibri"/>
        <family val="2"/>
      </rPr>
      <t xml:space="preserve"> 87</t>
    </r>
    <phoneticPr fontId="9"/>
  </si>
  <si>
    <t xml:space="preserve"> 37.039748 / 127.103925</t>
  </si>
  <si>
    <t>Songtan S/S Songjin D/L 11MW</t>
  </si>
  <si>
    <t xml:space="preserve">AT Ansim </t>
  </si>
  <si>
    <t>11, Ansim-ro 102-gil, Dong-gu, Daegu</t>
    <phoneticPr fontId="9"/>
  </si>
  <si>
    <r>
      <rPr>
        <sz val="9"/>
        <color rgb="FF000000"/>
        <rFont val="맑은 고딕"/>
        <family val="2"/>
      </rPr>
      <t>대구광역시</t>
    </r>
    <r>
      <rPr>
        <sz val="9"/>
        <color rgb="FF000000"/>
        <rFont val="Calibri"/>
        <family val="2"/>
      </rPr>
      <t xml:space="preserve"> </t>
    </r>
    <r>
      <rPr>
        <sz val="9"/>
        <color rgb="FF000000"/>
        <rFont val="맑은 고딕"/>
        <family val="2"/>
      </rPr>
      <t>동구</t>
    </r>
    <r>
      <rPr>
        <sz val="9"/>
        <color rgb="FF000000"/>
        <rFont val="Calibri"/>
        <family val="2"/>
      </rPr>
      <t xml:space="preserve"> </t>
    </r>
    <r>
      <rPr>
        <sz val="9"/>
        <color rgb="FF000000"/>
        <rFont val="맑은 고딕"/>
        <family val="2"/>
      </rPr>
      <t>안심로</t>
    </r>
    <r>
      <rPr>
        <sz val="9"/>
        <color rgb="FF000000"/>
        <rFont val="Calibri"/>
        <family val="2"/>
      </rPr>
      <t>102</t>
    </r>
    <r>
      <rPr>
        <sz val="9"/>
        <color rgb="FF000000"/>
        <rFont val="맑은 고딕"/>
        <family val="2"/>
      </rPr>
      <t>길</t>
    </r>
    <r>
      <rPr>
        <sz val="9"/>
        <color rgb="FF000000"/>
        <rFont val="Calibri"/>
        <family val="2"/>
      </rPr>
      <t xml:space="preserve"> 11</t>
    </r>
    <phoneticPr fontId="9"/>
  </si>
  <si>
    <t xml:space="preserve"> 35.870991 / 128.739964</t>
  </si>
  <si>
    <t>Sinseo S/S Namjin D/L 11MW</t>
  </si>
  <si>
    <t>AT Busan</t>
  </si>
  <si>
    <t>37, Garisae 3-ro, Gangseo-gu, Busan</t>
  </si>
  <si>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강서구</t>
    </r>
    <r>
      <rPr>
        <sz val="9"/>
        <color rgb="FF000000"/>
        <rFont val="Calibri"/>
        <family val="2"/>
      </rPr>
      <t xml:space="preserve"> </t>
    </r>
    <r>
      <rPr>
        <sz val="9"/>
        <color rgb="FF000000"/>
        <rFont val="맑은 고딕"/>
        <family val="3"/>
        <charset val="129"/>
      </rPr>
      <t>가리새</t>
    </r>
    <r>
      <rPr>
        <sz val="9"/>
        <color rgb="FF000000"/>
        <rFont val="Calibri"/>
        <family val="2"/>
      </rPr>
      <t>3</t>
    </r>
    <r>
      <rPr>
        <sz val="9"/>
        <color rgb="FF000000"/>
        <rFont val="맑은 고딕"/>
        <family val="3"/>
        <charset val="129"/>
      </rPr>
      <t>로</t>
    </r>
    <r>
      <rPr>
        <sz val="9"/>
        <color rgb="FF000000"/>
        <rFont val="Calibri"/>
        <family val="2"/>
      </rPr>
      <t xml:space="preserve"> 37</t>
    </r>
  </si>
  <si>
    <t xml:space="preserve"> 35.139336 / 128.888810</t>
  </si>
  <si>
    <t xml:space="preserve">Mi-eum S/S Migok D/L 6.2MW </t>
  </si>
  <si>
    <t xml:space="preserve">AT Hakjang </t>
    <phoneticPr fontId="7" type="noConversion"/>
  </si>
  <si>
    <t>116, Daedong-ro, Sasang-gu, Busan</t>
  </si>
  <si>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사상구</t>
    </r>
    <r>
      <rPr>
        <sz val="9"/>
        <color rgb="FF000000"/>
        <rFont val="Calibri"/>
        <family val="2"/>
      </rPr>
      <t xml:space="preserve"> </t>
    </r>
    <r>
      <rPr>
        <sz val="9"/>
        <color rgb="FF000000"/>
        <rFont val="맑은 고딕"/>
        <family val="3"/>
        <charset val="129"/>
      </rPr>
      <t>학장동</t>
    </r>
    <r>
      <rPr>
        <sz val="9"/>
        <color rgb="FF000000"/>
        <rFont val="Calibri"/>
        <family val="2"/>
      </rPr>
      <t xml:space="preserve"> 574-72</t>
    </r>
  </si>
  <si>
    <t xml:space="preserve"> 35.139125 / 128.980940</t>
  </si>
  <si>
    <t>Eomgung S/S Cheongwang D/L 3MW</t>
  </si>
  <si>
    <t>AT Incheon</t>
  </si>
  <si>
    <t>42, Seohae-daero 140beon-gil, Jung-gu, Incheon</t>
  </si>
  <si>
    <r>
      <rPr>
        <sz val="9"/>
        <color rgb="FF000000"/>
        <rFont val="맑은 고딕"/>
        <family val="3"/>
        <charset val="129"/>
      </rPr>
      <t>인천광역시</t>
    </r>
    <r>
      <rPr>
        <sz val="9"/>
        <color rgb="FF000000"/>
        <rFont val="Calibri"/>
        <family val="2"/>
      </rPr>
      <t xml:space="preserve"> </t>
    </r>
    <r>
      <rPr>
        <sz val="9"/>
        <color rgb="FF000000"/>
        <rFont val="맑은 고딕"/>
        <family val="3"/>
        <charset val="129"/>
      </rPr>
      <t>중구</t>
    </r>
    <r>
      <rPr>
        <sz val="9"/>
        <color rgb="FF000000"/>
        <rFont val="Calibri"/>
        <family val="2"/>
      </rPr>
      <t xml:space="preserve"> </t>
    </r>
    <r>
      <rPr>
        <sz val="9"/>
        <color rgb="FF000000"/>
        <rFont val="맑은 고딕"/>
        <family val="3"/>
        <charset val="129"/>
      </rPr>
      <t>신흥동</t>
    </r>
    <r>
      <rPr>
        <sz val="9"/>
        <color rgb="FF000000"/>
        <rFont val="Calibri"/>
        <family val="2"/>
      </rPr>
      <t xml:space="preserve"> 3</t>
    </r>
    <r>
      <rPr>
        <sz val="9"/>
        <color rgb="FF000000"/>
        <rFont val="맑은 고딕"/>
        <family val="3"/>
        <charset val="129"/>
      </rPr>
      <t>가</t>
    </r>
    <r>
      <rPr>
        <sz val="9"/>
        <color rgb="FF000000"/>
        <rFont val="Calibri"/>
        <family val="2"/>
      </rPr>
      <t xml:space="preserve"> 62-1</t>
    </r>
  </si>
  <si>
    <t xml:space="preserve"> 37.438408 / 126.623474</t>
  </si>
  <si>
    <t>Incheon</t>
  </si>
  <si>
    <t>Hakik S/S Haksong D/L 9MW</t>
  </si>
  <si>
    <t>AT Jeonju</t>
  </si>
  <si>
    <t>167, Sinbok-ro, Deokjin-gu, Jeonju-si, Jeonbuk-do</t>
  </si>
  <si>
    <r>
      <rPr>
        <sz val="9"/>
        <color rgb="FF000000"/>
        <rFont val="맑은 고딕"/>
        <family val="3"/>
        <charset val="129"/>
      </rPr>
      <t>전북특별자치도</t>
    </r>
    <r>
      <rPr>
        <sz val="9"/>
        <color rgb="FF000000"/>
        <rFont val="Calibri"/>
        <family val="2"/>
      </rPr>
      <t xml:space="preserve"> </t>
    </r>
    <r>
      <rPr>
        <sz val="9"/>
        <color rgb="FF000000"/>
        <rFont val="맑은 고딕"/>
        <family val="3"/>
        <charset val="129"/>
      </rPr>
      <t>전주시</t>
    </r>
    <r>
      <rPr>
        <sz val="9"/>
        <color rgb="FF000000"/>
        <rFont val="Calibri"/>
        <family val="2"/>
      </rPr>
      <t xml:space="preserve"> </t>
    </r>
    <r>
      <rPr>
        <sz val="9"/>
        <color rgb="FF000000"/>
        <rFont val="맑은 고딕"/>
        <family val="3"/>
        <charset val="129"/>
      </rPr>
      <t>덕진구</t>
    </r>
    <r>
      <rPr>
        <sz val="9"/>
        <color rgb="FF000000"/>
        <rFont val="Calibri"/>
        <family val="2"/>
      </rPr>
      <t xml:space="preserve"> </t>
    </r>
    <r>
      <rPr>
        <sz val="9"/>
        <color rgb="FF000000"/>
        <rFont val="맑은 고딕"/>
        <family val="3"/>
        <charset val="129"/>
      </rPr>
      <t>팔복동</t>
    </r>
    <r>
      <rPr>
        <sz val="9"/>
        <color rgb="FF000000"/>
        <rFont val="Calibri"/>
        <family val="2"/>
      </rPr>
      <t>4</t>
    </r>
    <r>
      <rPr>
        <sz val="9"/>
        <color rgb="FF000000"/>
        <rFont val="맑은 고딕"/>
        <family val="3"/>
        <charset val="129"/>
      </rPr>
      <t>가</t>
    </r>
    <r>
      <rPr>
        <sz val="9"/>
        <color rgb="FF000000"/>
        <rFont val="Calibri"/>
        <family val="2"/>
      </rPr>
      <t xml:space="preserve"> 249-10</t>
    </r>
  </si>
  <si>
    <t xml:space="preserve"> 35.863619 / 127.099393</t>
  </si>
  <si>
    <t>Jeollabuk-do</t>
  </si>
  <si>
    <t>Jeonju S/S Gongdan #2 D/L 9MW</t>
  </si>
  <si>
    <t xml:space="preserve">AT Cheongwon </t>
  </si>
  <si>
    <t>440, Chojeongyaksu-ro, Naesu-eup, Cheongwon-gu, Cheongju-si, Chungcheongbuk-do</t>
  </si>
  <si>
    <r>
      <rPr>
        <sz val="9"/>
        <color rgb="FF000000"/>
        <rFont val="맑은 고딕"/>
        <family val="3"/>
        <charset val="129"/>
      </rPr>
      <t>충청북도</t>
    </r>
    <r>
      <rPr>
        <sz val="9"/>
        <color rgb="FF000000"/>
        <rFont val="Calibri"/>
        <family val="2"/>
      </rPr>
      <t xml:space="preserve"> </t>
    </r>
    <r>
      <rPr>
        <sz val="9"/>
        <color rgb="FF000000"/>
        <rFont val="맑은 고딕"/>
        <family val="3"/>
        <charset val="129"/>
      </rPr>
      <t>청주시</t>
    </r>
    <r>
      <rPr>
        <sz val="9"/>
        <color rgb="FF000000"/>
        <rFont val="Calibri"/>
        <family val="2"/>
      </rPr>
      <t xml:space="preserve"> </t>
    </r>
    <r>
      <rPr>
        <sz val="9"/>
        <color rgb="FF000000"/>
        <rFont val="맑은 고딕"/>
        <family val="3"/>
        <charset val="129"/>
      </rPr>
      <t>청원구</t>
    </r>
    <r>
      <rPr>
        <sz val="9"/>
        <color rgb="FF000000"/>
        <rFont val="Calibri"/>
        <family val="2"/>
      </rPr>
      <t xml:space="preserve"> </t>
    </r>
    <r>
      <rPr>
        <sz val="9"/>
        <color rgb="FF000000"/>
        <rFont val="맑은 고딕"/>
        <family val="3"/>
        <charset val="129"/>
      </rPr>
      <t>내수읍</t>
    </r>
    <r>
      <rPr>
        <sz val="9"/>
        <color rgb="FF000000"/>
        <rFont val="Calibri"/>
        <family val="2"/>
      </rPr>
      <t xml:space="preserve"> </t>
    </r>
    <r>
      <rPr>
        <sz val="9"/>
        <color rgb="FF000000"/>
        <rFont val="맑은 고딕"/>
        <family val="3"/>
        <charset val="129"/>
      </rPr>
      <t>풍정리</t>
    </r>
    <r>
      <rPr>
        <sz val="9"/>
        <color rgb="FF000000"/>
        <rFont val="Calibri"/>
        <family val="2"/>
      </rPr>
      <t xml:space="preserve"> 16</t>
    </r>
  </si>
  <si>
    <t xml:space="preserve"> 36.711524 / 127.557304</t>
  </si>
  <si>
    <t>Chojeong S/S Chojeong D/L 7MW</t>
  </si>
  <si>
    <t>Nobelise No. 1</t>
  </si>
  <si>
    <t>23, Jeokseogongdan-ro, Yeongju-si, Gyeongsangbuk-do</t>
  </si>
  <si>
    <r>
      <rPr>
        <strike/>
        <sz val="9"/>
        <color rgb="FFC00000"/>
        <rFont val="맑은 고딕"/>
        <family val="3"/>
        <charset val="129"/>
      </rPr>
      <t>경상북도</t>
    </r>
    <r>
      <rPr>
        <strike/>
        <sz val="9"/>
        <color rgb="FFC00000"/>
        <rFont val="Calibri"/>
        <family val="2"/>
      </rPr>
      <t xml:space="preserve"> </t>
    </r>
    <r>
      <rPr>
        <strike/>
        <sz val="9"/>
        <color rgb="FFC00000"/>
        <rFont val="맑은 고딕"/>
        <family val="3"/>
        <charset val="129"/>
      </rPr>
      <t>영주시</t>
    </r>
    <r>
      <rPr>
        <strike/>
        <sz val="9"/>
        <color rgb="FFC00000"/>
        <rFont val="Calibri"/>
        <family val="2"/>
      </rPr>
      <t xml:space="preserve"> </t>
    </r>
    <r>
      <rPr>
        <strike/>
        <sz val="9"/>
        <color rgb="FFC00000"/>
        <rFont val="맑은 고딕"/>
        <family val="3"/>
        <charset val="129"/>
      </rPr>
      <t>적서동</t>
    </r>
    <r>
      <rPr>
        <strike/>
        <sz val="9"/>
        <color rgb="FFC00000"/>
        <rFont val="Calibri"/>
        <family val="2"/>
      </rPr>
      <t xml:space="preserve"> 250</t>
    </r>
  </si>
  <si>
    <t xml:space="preserve"> 36.791685 / 128.626380</t>
  </si>
  <si>
    <t>December 26, 2012 Available for connection</t>
  </si>
  <si>
    <t xml:space="preserve">Excluded as it is considered difficult to connect due to power system saturation </t>
  </si>
  <si>
    <t>Lee Je-hoon (building owned by an individual)</t>
    <phoneticPr fontId="9"/>
  </si>
  <si>
    <t>Gyeonggi-do, Hwaseong-si, Hyangnam-eup, Baektori 429-10</t>
    <phoneticPr fontId="7" type="noConversion"/>
  </si>
  <si>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화성시</t>
    </r>
    <r>
      <rPr>
        <sz val="9"/>
        <color rgb="FF000000"/>
        <rFont val="Calibri"/>
        <family val="2"/>
      </rPr>
      <t xml:space="preserve"> </t>
    </r>
    <r>
      <rPr>
        <sz val="9"/>
        <color rgb="FF000000"/>
        <rFont val="맑은 고딕"/>
        <family val="3"/>
        <charset val="129"/>
      </rPr>
      <t>향남읍</t>
    </r>
    <r>
      <rPr>
        <sz val="9"/>
        <color rgb="FF000000"/>
        <rFont val="Calibri"/>
        <family val="2"/>
      </rPr>
      <t xml:space="preserve"> </t>
    </r>
    <r>
      <rPr>
        <sz val="9"/>
        <color rgb="FF000000"/>
        <rFont val="맑은 고딕"/>
        <family val="3"/>
        <charset val="129"/>
      </rPr>
      <t>백토리</t>
    </r>
    <r>
      <rPr>
        <sz val="9"/>
        <color rgb="FF000000"/>
        <rFont val="Calibri"/>
        <family val="2"/>
      </rPr>
      <t xml:space="preserve"> 429-10</t>
    </r>
  </si>
  <si>
    <t xml:space="preserve"> 37.122956 / 126.944645</t>
  </si>
  <si>
    <t>Balan S/S Nohjin D/L 11MW</t>
  </si>
  <si>
    <t>Shinyang Mecatech</t>
    <phoneticPr fontId="9"/>
  </si>
  <si>
    <t>Gyeonggi-do Hwaseong-si Hyangnam-eup Baektori 85-1,85-2</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</si>
  <si>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화성시</t>
    </r>
    <r>
      <rPr>
        <sz val="9"/>
        <color rgb="FF000000"/>
        <rFont val="Calibri"/>
        <family val="2"/>
      </rPr>
      <t xml:space="preserve"> </t>
    </r>
    <r>
      <rPr>
        <sz val="9"/>
        <color rgb="FF000000"/>
        <rFont val="맑은 고딕"/>
        <family val="2"/>
      </rPr>
      <t>향남읍</t>
    </r>
    <r>
      <rPr>
        <sz val="9"/>
        <color rgb="FF000000"/>
        <rFont val="Calibri"/>
        <family val="2"/>
      </rPr>
      <t xml:space="preserve"> </t>
    </r>
    <r>
      <rPr>
        <sz val="9"/>
        <color rgb="FF000000"/>
        <rFont val="맑은 고딕"/>
        <family val="2"/>
      </rPr>
      <t>백토리</t>
    </r>
    <r>
      <rPr>
        <sz val="9"/>
        <color rgb="FF000000"/>
        <rFont val="Calibri"/>
        <family val="2"/>
      </rPr>
      <t xml:space="preserve"> 85-1,85-2</t>
    </r>
  </si>
  <si>
    <t xml:space="preserve"> 37.123441 / 126.945943</t>
  </si>
  <si>
    <t>Yale Hightech 1-1</t>
    <phoneticPr fontId="9"/>
  </si>
  <si>
    <t>Gyeonggi-do Pyeongtaek Cheongbuk-eup Baekbong-ri 219-4</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</si>
  <si>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청북읍</t>
    </r>
    <r>
      <rPr>
        <sz val="9"/>
        <color rgb="FF000000"/>
        <rFont val="Calibri"/>
        <family val="2"/>
      </rPr>
      <t xml:space="preserve"> </t>
    </r>
    <r>
      <rPr>
        <sz val="9"/>
        <color rgb="FF000000"/>
        <rFont val="맑은 고딕"/>
        <family val="2"/>
      </rPr>
      <t>백봉리</t>
    </r>
    <r>
      <rPr>
        <sz val="9"/>
        <color rgb="FF000000"/>
        <rFont val="Calibri"/>
        <family val="2"/>
      </rPr>
      <t xml:space="preserve"> 219-4</t>
    </r>
    <phoneticPr fontId="0" type="noConversion"/>
  </si>
  <si>
    <t xml:space="preserve"> 37.036088 / 126.979952</t>
  </si>
  <si>
    <t>Cheongbuk S/S Yanggyo D/L 10MW</t>
  </si>
  <si>
    <t>Yale Hightech 1-2</t>
    <phoneticPr fontId="9"/>
  </si>
  <si>
    <t>Gyeonggi-do Pyeongtaek Cheongbuk-eup Baekbong-ri 199-1</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</si>
  <si>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청북읍</t>
    </r>
    <r>
      <rPr>
        <sz val="9"/>
        <color rgb="FF000000"/>
        <rFont val="Calibri"/>
        <family val="2"/>
      </rPr>
      <t xml:space="preserve"> </t>
    </r>
    <r>
      <rPr>
        <sz val="9"/>
        <color rgb="FF000000"/>
        <rFont val="맑은 고딕"/>
        <family val="2"/>
      </rPr>
      <t>백봉리</t>
    </r>
    <r>
      <rPr>
        <sz val="9"/>
        <color rgb="FF000000"/>
        <rFont val="Calibri"/>
        <family val="2"/>
      </rPr>
      <t xml:space="preserve"> 199-1</t>
    </r>
    <phoneticPr fontId="0" type="noConversion"/>
  </si>
  <si>
    <t xml:space="preserve"> 37.038433 / 126.974824</t>
  </si>
  <si>
    <t>Daejin University</t>
  </si>
  <si>
    <t>Gyeonggi-do Pocheon-si Seondan-dongsan 11-1</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</si>
  <si>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포천시</t>
    </r>
    <r>
      <rPr>
        <sz val="9"/>
        <color rgb="FF000000"/>
        <rFont val="Calibri"/>
        <family val="2"/>
      </rPr>
      <t xml:space="preserve"> </t>
    </r>
    <r>
      <rPr>
        <sz val="9"/>
        <color rgb="FF000000"/>
        <rFont val="맑은 고딕"/>
        <family val="2"/>
      </rPr>
      <t>선단동</t>
    </r>
    <r>
      <rPr>
        <sz val="9"/>
        <color rgb="FF000000"/>
        <rFont val="Calibri"/>
        <family val="2"/>
      </rPr>
      <t xml:space="preserve"> </t>
    </r>
    <r>
      <rPr>
        <sz val="9"/>
        <color rgb="FF000000"/>
        <rFont val="맑은 고딕"/>
        <family val="2"/>
      </rPr>
      <t>산</t>
    </r>
    <r>
      <rPr>
        <sz val="9"/>
        <color rgb="FF000000"/>
        <rFont val="Calibri"/>
        <family val="2"/>
      </rPr>
      <t xml:space="preserve"> 11-1</t>
    </r>
    <phoneticPr fontId="0" type="noConversion"/>
  </si>
  <si>
    <t xml:space="preserve"> 37.873020 / 127.156552</t>
  </si>
  <si>
    <t>University (non-profit organization)</t>
    <phoneticPr fontId="9"/>
  </si>
  <si>
    <t>Yongjeong S/S Yongseon D/L 10MW</t>
  </si>
  <si>
    <r>
      <t>Industrial Technology(</t>
    </r>
    <r>
      <rPr>
        <sz val="9"/>
        <color theme="1"/>
        <rFont val="Malgun Gothic"/>
        <family val="2"/>
        <charset val="129"/>
      </rPr>
      <t>일광개발주식회사</t>
    </r>
    <r>
      <rPr>
        <sz val="9"/>
        <color theme="1"/>
        <rFont val="Calibri"/>
        <family val="2"/>
      </rPr>
      <t>)</t>
    </r>
    <phoneticPr fontId="9"/>
  </si>
  <si>
    <t>Busan Gijang-gun Jangan-eup Jangansandan 9-ro 87</t>
    <phoneticPr fontId="7" type="noConversion"/>
  </si>
  <si>
    <r>
      <rPr>
        <sz val="9"/>
        <color rgb="FF000000"/>
        <rFont val="맑은 고딕"/>
        <family val="2"/>
      </rPr>
      <t>부산광역시</t>
    </r>
    <r>
      <rPr>
        <sz val="9"/>
        <color rgb="FF000000"/>
        <rFont val="Calibri"/>
        <family val="2"/>
      </rPr>
      <t xml:space="preserve"> </t>
    </r>
    <r>
      <rPr>
        <sz val="9"/>
        <color rgb="FF000000"/>
        <rFont val="맑은 고딕"/>
        <family val="2"/>
      </rPr>
      <t>기장군</t>
    </r>
    <r>
      <rPr>
        <sz val="9"/>
        <color rgb="FF000000"/>
        <rFont val="Calibri"/>
        <family val="2"/>
      </rPr>
      <t xml:space="preserve"> </t>
    </r>
    <r>
      <rPr>
        <sz val="9"/>
        <color rgb="FF000000"/>
        <rFont val="맑은 고딕"/>
        <family val="2"/>
      </rPr>
      <t>장안읍</t>
    </r>
    <r>
      <rPr>
        <sz val="9"/>
        <color rgb="FF000000"/>
        <rFont val="Calibri"/>
        <family val="2"/>
      </rPr>
      <t xml:space="preserve"> </t>
    </r>
    <r>
      <rPr>
        <sz val="9"/>
        <color rgb="FF000000"/>
        <rFont val="맑은 고딕"/>
        <family val="2"/>
      </rPr>
      <t>장안산단</t>
    </r>
    <r>
      <rPr>
        <sz val="9"/>
        <color rgb="FF000000"/>
        <rFont val="Calibri"/>
        <family val="2"/>
      </rPr>
      <t>9</t>
    </r>
    <r>
      <rPr>
        <sz val="9"/>
        <color rgb="FF000000"/>
        <rFont val="맑은 고딕"/>
        <family val="2"/>
      </rPr>
      <t>로</t>
    </r>
    <r>
      <rPr>
        <sz val="9"/>
        <color rgb="FF000000"/>
        <rFont val="Calibri"/>
        <family val="2"/>
      </rPr>
      <t xml:space="preserve"> 87</t>
    </r>
  </si>
  <si>
    <t xml:space="preserve"> 35.328139/ 129.266508</t>
  </si>
  <si>
    <t xml:space="preserve">Myeongnye S/S Bansan D/L 8MW </t>
  </si>
  <si>
    <t>Lease agreement to be signed in July of 2025</t>
    <phoneticPr fontId="7" type="noConversion"/>
  </si>
  <si>
    <t>Samjin Food</t>
  </si>
  <si>
    <r>
      <rPr>
        <strike/>
        <sz val="9"/>
        <color rgb="FFC00000"/>
        <rFont val="맑은 고딕"/>
        <family val="2"/>
      </rPr>
      <t>부산광역시</t>
    </r>
    <r>
      <rPr>
        <strike/>
        <sz val="9"/>
        <color rgb="FFC00000"/>
        <rFont val="Calibri"/>
        <family val="2"/>
      </rPr>
      <t xml:space="preserve"> </t>
    </r>
    <r>
      <rPr>
        <strike/>
        <sz val="9"/>
        <color rgb="FFC00000"/>
        <rFont val="맑은 고딕"/>
        <family val="2"/>
      </rPr>
      <t>사하구</t>
    </r>
    <r>
      <rPr>
        <strike/>
        <sz val="9"/>
        <color rgb="FFC00000"/>
        <rFont val="Calibri"/>
        <family val="2"/>
      </rPr>
      <t xml:space="preserve"> </t>
    </r>
    <r>
      <rPr>
        <strike/>
        <sz val="9"/>
        <color rgb="FFC00000"/>
        <rFont val="맑은 고딕"/>
        <family val="2"/>
      </rPr>
      <t>다대로</t>
    </r>
    <r>
      <rPr>
        <strike/>
        <sz val="9"/>
        <color rgb="FFC00000"/>
        <rFont val="Calibri"/>
        <family val="2"/>
      </rPr>
      <t>1066</t>
    </r>
    <r>
      <rPr>
        <strike/>
        <sz val="9"/>
        <color rgb="FFC00000"/>
        <rFont val="맑은 고딕"/>
        <family val="2"/>
      </rPr>
      <t>번길</t>
    </r>
    <r>
      <rPr>
        <strike/>
        <sz val="9"/>
        <color rgb="FFC00000"/>
        <rFont val="Calibri"/>
        <family val="2"/>
      </rPr>
      <t xml:space="preserve"> 51</t>
    </r>
  </si>
  <si>
    <t xml:space="preserve"> 35.079571 / 128.956891</t>
  </si>
  <si>
    <t>Jangnim S/S Plating D/L 13MW</t>
  </si>
  <si>
    <t>Excluded due to difficulties in negotiations due to contact with other companies or self-business during the contract amendment period and thereafter</t>
  </si>
  <si>
    <t>IEN Hanchang Kijang</t>
  </si>
  <si>
    <t>Busan Gijang-gun Jangan-eup Jangansandan-ro 111</t>
    <phoneticPr fontId="7" type="noConversion"/>
  </si>
  <si>
    <r>
      <rPr>
        <sz val="9"/>
        <color rgb="FF000000"/>
        <rFont val="맑은 고딕"/>
        <family val="2"/>
      </rPr>
      <t>부산광역시</t>
    </r>
    <r>
      <rPr>
        <sz val="9"/>
        <color rgb="FF000000"/>
        <rFont val="Calibri"/>
        <family val="2"/>
      </rPr>
      <t xml:space="preserve"> </t>
    </r>
    <r>
      <rPr>
        <sz val="9"/>
        <color rgb="FF000000"/>
        <rFont val="맑은 고딕"/>
        <family val="2"/>
      </rPr>
      <t>기장군</t>
    </r>
    <r>
      <rPr>
        <sz val="9"/>
        <color rgb="FF000000"/>
        <rFont val="Calibri"/>
        <family val="2"/>
      </rPr>
      <t xml:space="preserve"> </t>
    </r>
    <r>
      <rPr>
        <sz val="9"/>
        <color rgb="FF000000"/>
        <rFont val="맑은 고딕"/>
        <family val="2"/>
      </rPr>
      <t>장안읍</t>
    </r>
    <r>
      <rPr>
        <sz val="9"/>
        <color rgb="FF000000"/>
        <rFont val="Calibri"/>
        <family val="2"/>
      </rPr>
      <t xml:space="preserve"> </t>
    </r>
    <r>
      <rPr>
        <sz val="9"/>
        <color rgb="FF000000"/>
        <rFont val="맑은 고딕"/>
        <family val="2"/>
      </rPr>
      <t>장안산단로</t>
    </r>
    <r>
      <rPr>
        <sz val="9"/>
        <color rgb="FF000000"/>
        <rFont val="Calibri"/>
        <family val="2"/>
      </rPr>
      <t xml:space="preserve"> 111</t>
    </r>
    <phoneticPr fontId="0" type="noConversion"/>
  </si>
  <si>
    <t xml:space="preserve"> 35.330884 / 129.259970</t>
  </si>
  <si>
    <t>Myeongnye S/S Bansan D/L 8MW</t>
  </si>
  <si>
    <t>IEN Hanchang Kangseo</t>
  </si>
  <si>
    <t>Busan Gangseo-gu Noksandan 261-ro 14beon-gil 14</t>
    <phoneticPr fontId="7" type="noConversion"/>
  </si>
  <si>
    <r>
      <rPr>
        <sz val="9"/>
        <color rgb="FF000000"/>
        <rFont val="맑은 고딕"/>
        <family val="2"/>
      </rPr>
      <t>부산광역시</t>
    </r>
    <r>
      <rPr>
        <sz val="9"/>
        <color rgb="FF000000"/>
        <rFont val="Calibri"/>
        <family val="2"/>
      </rPr>
      <t xml:space="preserve"> </t>
    </r>
    <r>
      <rPr>
        <sz val="9"/>
        <color rgb="FF000000"/>
        <rFont val="맑은 고딕"/>
        <family val="2"/>
      </rPr>
      <t>강서구</t>
    </r>
    <r>
      <rPr>
        <sz val="9"/>
        <color rgb="FF000000"/>
        <rFont val="Calibri"/>
        <family val="2"/>
      </rPr>
      <t xml:space="preserve"> </t>
    </r>
    <r>
      <rPr>
        <sz val="9"/>
        <color rgb="FF000000"/>
        <rFont val="맑은 고딕"/>
        <family val="2"/>
      </rPr>
      <t>녹산산단</t>
    </r>
    <r>
      <rPr>
        <sz val="9"/>
        <color rgb="FF000000"/>
        <rFont val="Calibri"/>
        <family val="2"/>
      </rPr>
      <t xml:space="preserve"> 261</t>
    </r>
    <r>
      <rPr>
        <sz val="9"/>
        <color rgb="FF000000"/>
        <rFont val="맑은 고딕"/>
        <family val="2"/>
      </rPr>
      <t>로</t>
    </r>
    <r>
      <rPr>
        <sz val="9"/>
        <color rgb="FF000000"/>
        <rFont val="Calibri"/>
        <family val="2"/>
      </rPr>
      <t xml:space="preserve"> 14</t>
    </r>
    <r>
      <rPr>
        <sz val="9"/>
        <color rgb="FF000000"/>
        <rFont val="맑은 고딕"/>
        <family val="2"/>
      </rPr>
      <t>번길</t>
    </r>
    <r>
      <rPr>
        <sz val="9"/>
        <color rgb="FF000000"/>
        <rFont val="Calibri"/>
        <family val="2"/>
      </rPr>
      <t xml:space="preserve"> 14</t>
    </r>
  </si>
  <si>
    <t xml:space="preserve"> 35.089575 / 128.847517</t>
  </si>
  <si>
    <t>Nokgong S/S Dongan D/L 10MW</t>
  </si>
  <si>
    <t>Lee Won Precision</t>
    <phoneticPr fontId="9"/>
  </si>
  <si>
    <t>Busan Gijang-gun Jeonggwan-eup Nonggong-gil 89-29</t>
    <phoneticPr fontId="7" type="noConversion"/>
  </si>
  <si>
    <r>
      <rPr>
        <sz val="9"/>
        <color rgb="FF000000"/>
        <rFont val="맑은 고딕"/>
        <family val="2"/>
      </rPr>
      <t>부산광역시</t>
    </r>
    <r>
      <rPr>
        <sz val="9"/>
        <color rgb="FF000000"/>
        <rFont val="Calibri"/>
        <family val="2"/>
      </rPr>
      <t xml:space="preserve"> </t>
    </r>
    <r>
      <rPr>
        <sz val="9"/>
        <color rgb="FF000000"/>
        <rFont val="맑은 고딕"/>
        <family val="2"/>
      </rPr>
      <t>기장군</t>
    </r>
    <r>
      <rPr>
        <sz val="9"/>
        <color rgb="FF000000"/>
        <rFont val="Calibri"/>
        <family val="2"/>
      </rPr>
      <t xml:space="preserve"> </t>
    </r>
    <r>
      <rPr>
        <sz val="9"/>
        <color rgb="FF000000"/>
        <rFont val="맑은 고딕"/>
        <family val="2"/>
      </rPr>
      <t>정관읍</t>
    </r>
    <r>
      <rPr>
        <sz val="9"/>
        <color rgb="FF000000"/>
        <rFont val="Calibri"/>
        <family val="2"/>
      </rPr>
      <t xml:space="preserve"> </t>
    </r>
    <r>
      <rPr>
        <sz val="9"/>
        <color rgb="FF000000"/>
        <rFont val="맑은 고딕"/>
        <family val="2"/>
      </rPr>
      <t>농공길</t>
    </r>
    <r>
      <rPr>
        <sz val="9"/>
        <color rgb="FF000000"/>
        <rFont val="Calibri"/>
        <family val="2"/>
      </rPr>
      <t xml:space="preserve"> 89-29</t>
    </r>
    <phoneticPr fontId="0" type="noConversion"/>
  </si>
  <si>
    <t xml:space="preserve"> 35.327063 / 129.198851</t>
  </si>
  <si>
    <t>Jeonggwan S/S Cheonnyeon D/L 11MW</t>
  </si>
  <si>
    <t>Lee Won Precision Factory 1</t>
    <phoneticPr fontId="9"/>
  </si>
  <si>
    <t>Busan Gijang-gun Jeonggwan-eup Nonggong-gil 41</t>
    <phoneticPr fontId="7" type="noConversion"/>
  </si>
  <si>
    <r>
      <rPr>
        <sz val="9"/>
        <color rgb="FF000000"/>
        <rFont val="맑은 고딕"/>
        <family val="2"/>
      </rPr>
      <t>부산광역시</t>
    </r>
    <r>
      <rPr>
        <sz val="9"/>
        <color rgb="FF000000"/>
        <rFont val="Calibri"/>
        <family val="2"/>
      </rPr>
      <t xml:space="preserve"> </t>
    </r>
    <r>
      <rPr>
        <sz val="9"/>
        <color rgb="FF000000"/>
        <rFont val="맑은 고딕"/>
        <family val="2"/>
      </rPr>
      <t>기장군</t>
    </r>
    <r>
      <rPr>
        <sz val="9"/>
        <color rgb="FF000000"/>
        <rFont val="Calibri"/>
        <family val="2"/>
      </rPr>
      <t xml:space="preserve"> </t>
    </r>
    <r>
      <rPr>
        <sz val="9"/>
        <color rgb="FF000000"/>
        <rFont val="맑은 고딕"/>
        <family val="2"/>
      </rPr>
      <t>정관읍</t>
    </r>
    <r>
      <rPr>
        <sz val="9"/>
        <color rgb="FF000000"/>
        <rFont val="Calibri"/>
        <family val="2"/>
      </rPr>
      <t xml:space="preserve"> </t>
    </r>
    <r>
      <rPr>
        <sz val="9"/>
        <color rgb="FF000000"/>
        <rFont val="맑은 고딕"/>
        <family val="2"/>
      </rPr>
      <t>농공길</t>
    </r>
    <r>
      <rPr>
        <sz val="9"/>
        <color rgb="FF000000"/>
        <rFont val="Calibri"/>
        <family val="2"/>
      </rPr>
      <t xml:space="preserve"> 41</t>
    </r>
  </si>
  <si>
    <t xml:space="preserve"> 35.324627 / 129.195164</t>
  </si>
  <si>
    <t>Jeonggwan S/S Yujeon D/L 12MW</t>
  </si>
  <si>
    <t>Seyoung Tech</t>
    <phoneticPr fontId="9"/>
  </si>
  <si>
    <t>35, Gadeok-gil 2beon-gil, Sinchang-myeon, Asan-si, Chungcheongnam-do</t>
    <phoneticPr fontId="9"/>
  </si>
  <si>
    <r>
      <rPr>
        <sz val="9"/>
        <color rgb="FF000000"/>
        <rFont val="맑은 고딕"/>
        <family val="2"/>
      </rPr>
      <t>충청남도</t>
    </r>
    <r>
      <rPr>
        <sz val="9"/>
        <color rgb="FF000000"/>
        <rFont val="Calibri"/>
        <family val="2"/>
      </rPr>
      <t xml:space="preserve"> </t>
    </r>
    <r>
      <rPr>
        <sz val="9"/>
        <color rgb="FF000000"/>
        <rFont val="맑은 고딕"/>
        <family val="2"/>
      </rPr>
      <t>아산시</t>
    </r>
    <r>
      <rPr>
        <sz val="9"/>
        <color rgb="FF000000"/>
        <rFont val="Calibri"/>
        <family val="2"/>
      </rPr>
      <t xml:space="preserve"> </t>
    </r>
    <r>
      <rPr>
        <sz val="9"/>
        <color rgb="FF000000"/>
        <rFont val="맑은 고딕"/>
        <family val="2"/>
      </rPr>
      <t>신창면</t>
    </r>
    <r>
      <rPr>
        <sz val="9"/>
        <color rgb="FF000000"/>
        <rFont val="Calibri"/>
        <family val="2"/>
      </rPr>
      <t xml:space="preserve"> </t>
    </r>
    <r>
      <rPr>
        <sz val="9"/>
        <color rgb="FF000000"/>
        <rFont val="맑은 고딕"/>
        <family val="2"/>
      </rPr>
      <t>가덕길</t>
    </r>
    <r>
      <rPr>
        <sz val="9"/>
        <color rgb="FF000000"/>
        <rFont val="Calibri"/>
        <family val="2"/>
      </rPr>
      <t>2</t>
    </r>
    <r>
      <rPr>
        <sz val="9"/>
        <color rgb="FF000000"/>
        <rFont val="맑은 고딕"/>
        <family val="2"/>
      </rPr>
      <t>번길</t>
    </r>
    <r>
      <rPr>
        <sz val="9"/>
        <color rgb="FF000000"/>
        <rFont val="Calibri"/>
        <family val="2"/>
      </rPr>
      <t xml:space="preserve"> 35</t>
    </r>
    <phoneticPr fontId="9"/>
  </si>
  <si>
    <t xml:space="preserve"> 36.816785 / 126.926670</t>
  </si>
  <si>
    <t>Asan S/S Yeongwang D/L 3MW</t>
  </si>
  <si>
    <t>Seji Solotech Busan</t>
    <phoneticPr fontId="9"/>
  </si>
  <si>
    <t>143, Jangansandan 9-ro, Jangan-eup, Gijang-gun, Busan</t>
    <phoneticPr fontId="9"/>
  </si>
  <si>
    <r>
      <rPr>
        <sz val="9"/>
        <color rgb="FF000000"/>
        <rFont val="맑은 고딕"/>
        <family val="2"/>
      </rPr>
      <t>부산광역시</t>
    </r>
    <r>
      <rPr>
        <sz val="9"/>
        <color rgb="FF000000"/>
        <rFont val="Calibri"/>
        <family val="2"/>
      </rPr>
      <t xml:space="preserve"> </t>
    </r>
    <r>
      <rPr>
        <sz val="9"/>
        <color rgb="FF000000"/>
        <rFont val="맑은 고딕"/>
        <family val="2"/>
      </rPr>
      <t>기장군</t>
    </r>
    <r>
      <rPr>
        <sz val="9"/>
        <color rgb="FF000000"/>
        <rFont val="Calibri"/>
        <family val="2"/>
      </rPr>
      <t xml:space="preserve"> </t>
    </r>
    <r>
      <rPr>
        <sz val="9"/>
        <color rgb="FF000000"/>
        <rFont val="맑은 고딕"/>
        <family val="2"/>
      </rPr>
      <t>장안산단</t>
    </r>
    <r>
      <rPr>
        <sz val="9"/>
        <color rgb="FF000000"/>
        <rFont val="Calibri"/>
        <family val="2"/>
      </rPr>
      <t>9</t>
    </r>
    <r>
      <rPr>
        <sz val="9"/>
        <color rgb="FF000000"/>
        <rFont val="맑은 고딕"/>
        <family val="2"/>
      </rPr>
      <t>로</t>
    </r>
    <r>
      <rPr>
        <sz val="9"/>
        <color rgb="FF000000"/>
        <rFont val="Calibri"/>
        <family val="2"/>
      </rPr>
      <t xml:space="preserve"> 143</t>
    </r>
    <phoneticPr fontId="0" type="noConversion"/>
  </si>
  <si>
    <t xml:space="preserve"> 35.325150 / 129.261213</t>
  </si>
  <si>
    <t>Jangan S/S Medical D/L 7MW</t>
    <phoneticPr fontId="9"/>
  </si>
  <si>
    <t>Seji Solotech Ulsan</t>
    <phoneticPr fontId="9"/>
  </si>
  <si>
    <t>24, Bancheonsaneop-ro, Eonyang-eup, Ulju-gun, Ulsan</t>
    <phoneticPr fontId="9"/>
  </si>
  <si>
    <r>
      <rPr>
        <sz val="9"/>
        <color rgb="FF000000"/>
        <rFont val="맑은 고딕"/>
        <family val="2"/>
      </rPr>
      <t>울산광역시</t>
    </r>
    <r>
      <rPr>
        <sz val="9"/>
        <color rgb="FF000000"/>
        <rFont val="Calibri"/>
        <family val="2"/>
      </rPr>
      <t xml:space="preserve"> </t>
    </r>
    <r>
      <rPr>
        <sz val="9"/>
        <color rgb="FF000000"/>
        <rFont val="맑은 고딕"/>
        <family val="2"/>
      </rPr>
      <t>울주군</t>
    </r>
    <r>
      <rPr>
        <sz val="9"/>
        <color rgb="FF000000"/>
        <rFont val="Calibri"/>
        <family val="2"/>
      </rPr>
      <t xml:space="preserve"> </t>
    </r>
    <r>
      <rPr>
        <sz val="9"/>
        <color rgb="FF000000"/>
        <rFont val="맑은 고딕"/>
        <family val="2"/>
      </rPr>
      <t>언양읍</t>
    </r>
    <r>
      <rPr>
        <sz val="9"/>
        <color rgb="FF000000"/>
        <rFont val="Calibri"/>
        <family val="2"/>
      </rPr>
      <t xml:space="preserve"> </t>
    </r>
    <r>
      <rPr>
        <sz val="9"/>
        <color rgb="FF000000"/>
        <rFont val="맑은 고딕"/>
        <family val="2"/>
      </rPr>
      <t>반천산업로</t>
    </r>
    <r>
      <rPr>
        <sz val="9"/>
        <color rgb="FF000000"/>
        <rFont val="Calibri"/>
        <family val="2"/>
      </rPr>
      <t xml:space="preserve"> 24</t>
    </r>
    <phoneticPr fontId="0" type="noConversion"/>
  </si>
  <si>
    <t xml:space="preserve"> 35.558129 / 129.150268</t>
  </si>
  <si>
    <t>Bancheon S/S Bansan D/L 9MW</t>
    <phoneticPr fontId="9"/>
  </si>
  <si>
    <t>Lee Jinhee (building owned by an individual)</t>
  </si>
  <si>
    <t>Gyeonggi-do Pyeongtaek Seotan-myeon Suwolam-ri 207-7</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</si>
  <si>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서탄면</t>
    </r>
    <r>
      <rPr>
        <sz val="9"/>
        <color rgb="FF000000"/>
        <rFont val="Calibri"/>
        <family val="2"/>
      </rPr>
      <t xml:space="preserve"> </t>
    </r>
    <r>
      <rPr>
        <sz val="9"/>
        <color rgb="FF000000"/>
        <rFont val="맑은 고딕"/>
        <family val="2"/>
      </rPr>
      <t>수월암리</t>
    </r>
    <r>
      <rPr>
        <sz val="9"/>
        <color rgb="FF000000"/>
        <rFont val="Calibri"/>
        <family val="2"/>
      </rPr>
      <t xml:space="preserve"> 207-7</t>
    </r>
  </si>
  <si>
    <t xml:space="preserve"> 37.126594 / 127.043694</t>
  </si>
  <si>
    <t>Osan S/S Seongjeon D/L 12MW</t>
  </si>
  <si>
    <t>Jang Minki (building owned by an individual)</t>
  </si>
  <si>
    <t>Gyeonggi-do Pyeongtaek Seotan-myeon Suwolam-ri 454</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</si>
  <si>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서탄면</t>
    </r>
    <r>
      <rPr>
        <sz val="9"/>
        <color rgb="FF000000"/>
        <rFont val="Calibri"/>
        <family val="2"/>
      </rPr>
      <t xml:space="preserve"> </t>
    </r>
    <r>
      <rPr>
        <sz val="9"/>
        <color rgb="FF000000"/>
        <rFont val="맑은 고딕"/>
        <family val="2"/>
      </rPr>
      <t>수월암리</t>
    </r>
    <r>
      <rPr>
        <sz val="9"/>
        <color rgb="FF000000"/>
        <rFont val="Calibri"/>
        <family val="2"/>
      </rPr>
      <t xml:space="preserve"> 454</t>
    </r>
  </si>
  <si>
    <t xml:space="preserve"> 37.114142 / 127.035287</t>
  </si>
  <si>
    <t>Oracom</t>
    <phoneticPr fontId="9"/>
  </si>
  <si>
    <t>Gyeonggi-do Pyeongtaek Cheongryong-dong 213-1</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</si>
  <si>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청룡동</t>
    </r>
    <r>
      <rPr>
        <sz val="9"/>
        <color rgb="FF000000"/>
        <rFont val="Calibri"/>
        <family val="2"/>
      </rPr>
      <t xml:space="preserve"> 213-1</t>
    </r>
  </si>
  <si>
    <t xml:space="preserve"> 37.023004 / 127.123742</t>
  </si>
  <si>
    <t>Songtan S/S Gapyeong D/L 12MW</t>
  </si>
  <si>
    <t>Boseung</t>
    <phoneticPr fontId="9"/>
  </si>
  <si>
    <t>Gyeonggi-do Pyeongtaek Poseung-eup Seokjeong-jeong 33-6,33-2</t>
    <phoneticPr fontId="7" type="noConversion"/>
  </si>
  <si>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포승읍</t>
    </r>
    <r>
      <rPr>
        <sz val="9"/>
        <color rgb="FF000000"/>
        <rFont val="Calibri"/>
        <family val="2"/>
      </rPr>
      <t xml:space="preserve"> </t>
    </r>
    <r>
      <rPr>
        <sz val="9"/>
        <color rgb="FF000000"/>
        <rFont val="맑은 고딕"/>
        <family val="2"/>
      </rPr>
      <t>석정리</t>
    </r>
    <r>
      <rPr>
        <sz val="9"/>
        <color rgb="FF000000"/>
        <rFont val="Calibri"/>
        <family val="2"/>
      </rPr>
      <t xml:space="preserve"> 33-6,33-2</t>
    </r>
    <phoneticPr fontId="7" type="noConversion"/>
  </si>
  <si>
    <t xml:space="preserve"> 37.006369 / 126.894703</t>
  </si>
  <si>
    <t>Posung S/S Hongpo D/L 7MW</t>
  </si>
  <si>
    <t>Daesung Metal</t>
  </si>
  <si>
    <t>Gyeongsangbuk-do, Pohang-si, Nam-gu, Daesong-myeon, Okmyeong-ri 582-1</t>
    <phoneticPr fontId="7" type="noConversion"/>
  </si>
  <si>
    <r>
      <rPr>
        <sz val="9"/>
        <color rgb="FF000000"/>
        <rFont val="맑은 고딕"/>
        <family val="2"/>
      </rPr>
      <t>경상북도</t>
    </r>
    <r>
      <rPr>
        <sz val="9"/>
        <color rgb="FF000000"/>
        <rFont val="Calibri"/>
        <family val="2"/>
      </rPr>
      <t xml:space="preserve"> </t>
    </r>
    <r>
      <rPr>
        <sz val="9"/>
        <color rgb="FF000000"/>
        <rFont val="맑은 고딕"/>
        <family val="2"/>
      </rPr>
      <t>포항시</t>
    </r>
    <r>
      <rPr>
        <sz val="9"/>
        <color rgb="FF000000"/>
        <rFont val="Calibri"/>
        <family val="2"/>
      </rPr>
      <t xml:space="preserve"> </t>
    </r>
    <r>
      <rPr>
        <sz val="9"/>
        <color rgb="FF000000"/>
        <rFont val="맑은 고딕"/>
        <family val="2"/>
      </rPr>
      <t>남구</t>
    </r>
    <r>
      <rPr>
        <sz val="9"/>
        <color rgb="FF000000"/>
        <rFont val="Calibri"/>
        <family val="2"/>
      </rPr>
      <t xml:space="preserve"> </t>
    </r>
    <r>
      <rPr>
        <sz val="9"/>
        <color rgb="FF000000"/>
        <rFont val="맑은 고딕"/>
        <family val="2"/>
      </rPr>
      <t>대송면</t>
    </r>
    <r>
      <rPr>
        <sz val="9"/>
        <color rgb="FF000000"/>
        <rFont val="Calibri"/>
        <family val="2"/>
      </rPr>
      <t xml:space="preserve"> </t>
    </r>
    <r>
      <rPr>
        <sz val="9"/>
        <color rgb="FF000000"/>
        <rFont val="맑은 고딕"/>
        <family val="2"/>
      </rPr>
      <t>옥명리</t>
    </r>
    <r>
      <rPr>
        <sz val="9"/>
        <color rgb="FF000000"/>
        <rFont val="Calibri"/>
        <family val="2"/>
      </rPr>
      <t xml:space="preserve"> 582-1</t>
    </r>
    <phoneticPr fontId="7" type="noConversion"/>
  </si>
  <si>
    <t xml:space="preserve"> 35.955122 / 129.387433</t>
  </si>
  <si>
    <t>Daesong S/S Dogak D/L 10MW</t>
  </si>
  <si>
    <t>Taesung Chemical</t>
    <phoneticPr fontId="9"/>
  </si>
  <si>
    <t>Gyeonggi-do Pyeongtaek Cheongbuk-eup Samgye-ri 156-8</t>
  </si>
  <si>
    <t>경기도 평택시 청북읍 삼계리 156-8</t>
  </si>
  <si>
    <t>Posung S/S Hyunhwa D/L 9MW</t>
  </si>
  <si>
    <t>Firstec Changwon</t>
  </si>
  <si>
    <t>Gyeongsangnam-do Changwon-do Seongsan-gu Naedong 456-8</t>
    <phoneticPr fontId="7" type="noConversion"/>
  </si>
  <si>
    <r>
      <rPr>
        <sz val="9"/>
        <color rgb="FF000000"/>
        <rFont val="맑은 고딕"/>
        <family val="2"/>
        <charset val="129"/>
      </rPr>
      <t>경상남도</t>
    </r>
    <r>
      <rPr>
        <sz val="9"/>
        <color rgb="FF000000"/>
        <rFont val="Calibri"/>
        <family val="2"/>
      </rPr>
      <t xml:space="preserve"> </t>
    </r>
    <r>
      <rPr>
        <sz val="9"/>
        <color rgb="FF000000"/>
        <rFont val="맑은 고딕"/>
        <family val="2"/>
        <charset val="129"/>
      </rPr>
      <t>창원시</t>
    </r>
    <r>
      <rPr>
        <sz val="9"/>
        <color rgb="FF000000"/>
        <rFont val="Calibri"/>
        <family val="2"/>
      </rPr>
      <t xml:space="preserve"> </t>
    </r>
    <r>
      <rPr>
        <sz val="9"/>
        <color rgb="FF000000"/>
        <rFont val="맑은 고딕"/>
        <family val="2"/>
        <charset val="129"/>
      </rPr>
      <t>성산구</t>
    </r>
    <r>
      <rPr>
        <sz val="9"/>
        <color rgb="FF000000"/>
        <rFont val="Calibri"/>
        <family val="2"/>
      </rPr>
      <t xml:space="preserve"> </t>
    </r>
    <r>
      <rPr>
        <sz val="9"/>
        <color rgb="FF000000"/>
        <rFont val="맑은 고딕"/>
        <family val="2"/>
        <charset val="129"/>
      </rPr>
      <t>내동</t>
    </r>
    <r>
      <rPr>
        <sz val="9"/>
        <color rgb="FF000000"/>
        <rFont val="Calibri"/>
        <family val="2"/>
      </rPr>
      <t xml:space="preserve"> 456-8</t>
    </r>
    <phoneticPr fontId="7" type="noConversion"/>
  </si>
  <si>
    <t>BBB+</t>
    <phoneticPr fontId="7" type="noConversion"/>
  </si>
  <si>
    <t>Anmin S/S, Tongil D/L 12MW</t>
    <phoneticPr fontId="7" type="noConversion"/>
  </si>
  <si>
    <t>Grand Total</t>
  </si>
  <si>
    <t>Unit : KRW</t>
    <phoneticPr fontId="85" type="noConversion"/>
  </si>
  <si>
    <t>No. of project</t>
    <phoneticPr fontId="85" type="noConversion"/>
  </si>
  <si>
    <t>Project 
Tech.</t>
  </si>
  <si>
    <t>Name of Project</t>
    <phoneticPr fontId="85" type="noConversion"/>
  </si>
  <si>
    <t>Capacity (kWp)</t>
  </si>
  <si>
    <t>IRR
Originated
based on GV SA</t>
    <phoneticPr fontId="85" type="noConversion"/>
  </si>
  <si>
    <t>IRR ASSM
M&amp;A team</t>
    <phoneticPr fontId="85" type="noConversion"/>
  </si>
  <si>
    <t>Lease Contract</t>
    <phoneticPr fontId="85" type="noConversion"/>
  </si>
  <si>
    <t>Approval Status</t>
  </si>
  <si>
    <t>Payment Staus</t>
  </si>
  <si>
    <t>Paid Sum</t>
    <phoneticPr fontId="19" type="noConversion"/>
  </si>
  <si>
    <t>Total Amount 
to be paid</t>
    <phoneticPr fontId="85" type="noConversion"/>
  </si>
  <si>
    <t>Upcoming payment</t>
    <phoneticPr fontId="85" type="noConversion"/>
  </si>
  <si>
    <t>Due date Payment</t>
  </si>
  <si>
    <t>1st Payment Amount</t>
    <phoneticPr fontId="85" type="noConversion"/>
  </si>
  <si>
    <t>2nd Payment Amount</t>
  </si>
  <si>
    <t>3rd Payment Amount</t>
  </si>
  <si>
    <t>4th Payment Amount</t>
  </si>
  <si>
    <t>5th Payment Amount</t>
    <phoneticPr fontId="85" type="noConversion"/>
  </si>
  <si>
    <t>Payment Term / next Payment</t>
    <phoneticPr fontId="85" type="noConversion"/>
  </si>
  <si>
    <t>Paid amount
(KRW)</t>
    <phoneticPr fontId="19" type="noConversion"/>
  </si>
  <si>
    <t>FX rate</t>
    <phoneticPr fontId="85" type="noConversion"/>
  </si>
  <si>
    <t>Paid amount
(EUR)</t>
    <phoneticPr fontId="19" type="noConversion"/>
  </si>
  <si>
    <t>Paid amount</t>
    <phoneticPr fontId="19" type="noConversion"/>
  </si>
  <si>
    <t>Date to paid</t>
    <phoneticPr fontId="19" type="noConversion"/>
  </si>
  <si>
    <t xml:space="preserve">Amount to be paid </t>
    <phoneticPr fontId="85" type="noConversion"/>
  </si>
  <si>
    <t>Paid</t>
    <phoneticPr fontId="85" type="noConversion"/>
  </si>
  <si>
    <t>GM</t>
  </si>
  <si>
    <r>
      <rPr>
        <sz val="10"/>
        <color rgb="FF156082"/>
        <rFont val="Calibri"/>
        <family val="2"/>
      </rPr>
      <t xml:space="preserve">GM Batch 1
</t>
    </r>
    <r>
      <rPr>
        <sz val="10"/>
        <color rgb="FF404040"/>
        <rFont val="Calibri"/>
        <family val="2"/>
      </rPr>
      <t>(8 sites Jeju in aggregate)
Total 7,995.72kWp</t>
    </r>
  </si>
  <si>
    <t>YJ NANSAN 1</t>
    <phoneticPr fontId="85" type="noConversion"/>
  </si>
  <si>
    <t>Y</t>
    <phoneticPr fontId="85" type="noConversion"/>
  </si>
  <si>
    <t>Approved</t>
  </si>
  <si>
    <t>Paid Appr. 65%
of Acquisition</t>
    <phoneticPr fontId="85" type="noConversion"/>
  </si>
  <si>
    <t>-</t>
    <phoneticPr fontId="19" type="noConversion"/>
  </si>
  <si>
    <t>1.55% at DP 1 (Done)
2.15% at DP 2 (Done)
3. 30% at COD (Next)</t>
    <phoneticPr fontId="85" type="noConversion"/>
  </si>
  <si>
    <t>-</t>
    <phoneticPr fontId="85" type="noConversion"/>
  </si>
  <si>
    <t>YJ GASI 1</t>
    <phoneticPr fontId="85" type="noConversion"/>
  </si>
  <si>
    <t>Dream 1</t>
    <phoneticPr fontId="85" type="noConversion"/>
  </si>
  <si>
    <t>Dream 2</t>
    <phoneticPr fontId="85" type="noConversion"/>
  </si>
  <si>
    <t>JEIL TECH 2</t>
    <phoneticPr fontId="85" type="noConversion"/>
  </si>
  <si>
    <r>
      <t xml:space="preserve">GM Batch 2
</t>
    </r>
    <r>
      <rPr>
        <sz val="10"/>
        <color theme="1" tint="0.249977111117893"/>
        <rFont val="Calibri"/>
        <family val="2"/>
      </rPr>
      <t>(6 sites mainland in aggregate)  
Total 2,847.12kWp</t>
    </r>
    <phoneticPr fontId="85" type="noConversion"/>
  </si>
  <si>
    <t>Jangchon 1 (APA)</t>
    <phoneticPr fontId="85" type="noConversion"/>
  </si>
  <si>
    <t xml:space="preserve"> APA signed by sellers</t>
    <phoneticPr fontId="85" type="noConversion"/>
  </si>
  <si>
    <t>40% at signature
Required to 
close APAs</t>
    <phoneticPr fontId="85" type="noConversion"/>
  </si>
  <si>
    <t>Devex
1. 40% at Signing (Next)
2. 20% at RtB
3. 30% at Pre-use inspection
4. 10% at COD</t>
    <phoneticPr fontId="85" type="noConversion"/>
  </si>
  <si>
    <t>Soltop Masan 1 (APA)</t>
    <phoneticPr fontId="85" type="noConversion"/>
  </si>
  <si>
    <t>Hanil Mugok 15 (APA)</t>
    <phoneticPr fontId="85" type="noConversion"/>
  </si>
  <si>
    <t>Hanil Jigyeong 1 (APA)</t>
    <phoneticPr fontId="85" type="noConversion"/>
  </si>
  <si>
    <t>Hanil Jigyeong 2 (APA)</t>
    <phoneticPr fontId="85" type="noConversion"/>
  </si>
  <si>
    <t>Ho Duck4 (APA)</t>
    <phoneticPr fontId="85" type="noConversion"/>
  </si>
  <si>
    <t>GM</t>
    <phoneticPr fontId="19" type="noConversion"/>
  </si>
  <si>
    <r>
      <t xml:space="preserve">GM Batch 2
</t>
    </r>
    <r>
      <rPr>
        <sz val="10"/>
        <color theme="1" tint="0.249977111117893"/>
        <rFont val="Calibri"/>
        <family val="2"/>
      </rPr>
      <t>(4 sites)  
Total 3,974.4kWp</t>
    </r>
    <phoneticPr fontId="85" type="noConversion"/>
  </si>
  <si>
    <t xml:space="preserve"> SPA signed by sellers</t>
  </si>
  <si>
    <t>80% at signature
Required to 
close SPAs</t>
    <phoneticPr fontId="19" type="noConversion"/>
  </si>
  <si>
    <t>SPV Name</t>
  </si>
  <si>
    <t>Corporate
Registry Number</t>
  </si>
  <si>
    <t>Business 
License
Number</t>
  </si>
  <si>
    <t>Bank &amp; 
Bank account Number</t>
    <phoneticPr fontId="85" type="noConversion"/>
  </si>
  <si>
    <t>계약시점</t>
    <phoneticPr fontId="85" type="noConversion"/>
  </si>
  <si>
    <t>지급비율</t>
    <phoneticPr fontId="19" type="noConversion"/>
  </si>
  <si>
    <t>예상 지급일정</t>
    <phoneticPr fontId="19" type="noConversion"/>
  </si>
  <si>
    <t>지급금액</t>
    <phoneticPr fontId="19" type="noConversion"/>
  </si>
  <si>
    <t>Bolt Taeyanggwang 2HO
#221, 42, Eonju-ro 147-gil, Gangnam-gu, Seoul, Korea</t>
  </si>
  <si>
    <t>110111-9078109</t>
  </si>
  <si>
    <t>771-81-03597</t>
  </si>
  <si>
    <t>KB Bank : 096301-04-103327</t>
  </si>
  <si>
    <t>DG Organic</t>
  </si>
  <si>
    <r>
      <t xml:space="preserve">Jinyoung Metal
</t>
    </r>
    <r>
      <rPr>
        <sz val="10"/>
        <color rgb="FF404040"/>
        <rFont val="Calibri"/>
        <family val="2"/>
      </rPr>
      <t>(2 sites in aggregate)
Total 1,651.59kWp</t>
    </r>
    <phoneticPr fontId="85" type="noConversion"/>
  </si>
  <si>
    <t>Jinyoung Metal</t>
    <phoneticPr fontId="85" type="noConversion"/>
  </si>
  <si>
    <t>Devex
1. 30% at Signing (Next) 
2. 10% at EBL
3. 50% at DAP
4. 10% at Pre-use inspection</t>
    <phoneticPr fontId="85" type="noConversion"/>
  </si>
  <si>
    <r>
      <t xml:space="preserve">Kairos
</t>
    </r>
    <r>
      <rPr>
        <sz val="10"/>
        <color theme="1" tint="0.249977111117893"/>
        <rFont val="Calibri"/>
        <family val="2"/>
      </rPr>
      <t>Total 406kWp</t>
    </r>
    <phoneticPr fontId="85" type="noConversion"/>
  </si>
  <si>
    <t>Kairos</t>
    <phoneticPr fontId="85" type="noConversion"/>
  </si>
  <si>
    <t>Doori Industry             Total 210kWp</t>
    <phoneticPr fontId="85" type="noConversion"/>
  </si>
  <si>
    <t>Gyeongju Hyosung Energy farm                  Total 249.60kWp</t>
    <phoneticPr fontId="85" type="noConversion"/>
  </si>
  <si>
    <t>N</t>
    <phoneticPr fontId="85" type="noConversion"/>
  </si>
  <si>
    <t>Kojimom Bio                Total 264.32kWp</t>
    <phoneticPr fontId="85" type="noConversion"/>
  </si>
  <si>
    <t>Dongshin Motek         Total 380.80kWp</t>
    <phoneticPr fontId="85" type="noConversion"/>
  </si>
  <si>
    <t>Vega                                   Total 560kWp</t>
    <phoneticPr fontId="85" type="noConversion"/>
  </si>
  <si>
    <t>Korea Kospack           Total 556.16kWp</t>
    <phoneticPr fontId="85" type="noConversion"/>
  </si>
  <si>
    <t>Pungcheon Im clan Total 188.16kWp</t>
    <phoneticPr fontId="85" type="noConversion"/>
  </si>
  <si>
    <t>Guemjeong Techno             Total 122kWp</t>
    <phoneticPr fontId="85" type="noConversion"/>
  </si>
  <si>
    <t>Epyeonan nursing home             Total 172kWp</t>
    <phoneticPr fontId="85" type="noConversion"/>
  </si>
  <si>
    <t>Bolt Taeyanggwang 3HO
#224, 42, Eonju-ro 147-gil, Gangnam-gu, Seoul, Korea</t>
    <phoneticPr fontId="85" type="noConversion"/>
  </si>
  <si>
    <t>110111-9077284</t>
  </si>
  <si>
    <t>314-86-68320</t>
  </si>
  <si>
    <t>KB Bank : 
096301-04-103330</t>
  </si>
  <si>
    <r>
      <t xml:space="preserve">COSMO chemical
</t>
    </r>
    <r>
      <rPr>
        <sz val="10"/>
        <color theme="1" tint="0.249977111117893"/>
        <rFont val="Calibri"/>
        <family val="2"/>
      </rPr>
      <t>Total 3,065.30kWp</t>
    </r>
    <phoneticPr fontId="85" type="noConversion"/>
  </si>
  <si>
    <t>COSMO chemical</t>
    <phoneticPr fontId="85" type="noConversion"/>
  </si>
  <si>
    <t>Devex
1. 20% at Signing (Next) 
2. 20% at EBL
3. 50% at DAP
4. 10% at Pre-use inspection</t>
    <phoneticPr fontId="85" type="noConversion"/>
  </si>
  <si>
    <r>
      <t xml:space="preserve">Seun BNC
</t>
    </r>
    <r>
      <rPr>
        <sz val="10"/>
        <color theme="1" tint="0.249977111117893"/>
        <rFont val="Calibri"/>
        <family val="2"/>
      </rPr>
      <t>Total 351.16kWp</t>
    </r>
    <phoneticPr fontId="85" type="noConversion"/>
  </si>
  <si>
    <t>Seun BNC</t>
    <phoneticPr fontId="85" type="noConversion"/>
  </si>
  <si>
    <r>
      <t xml:space="preserve">Seun Steel Gyeongju
</t>
    </r>
    <r>
      <rPr>
        <sz val="10"/>
        <color theme="1" tint="0.249977111117893"/>
        <rFont val="Calibri"/>
        <family val="2"/>
      </rPr>
      <t>Total 709.25kWp</t>
    </r>
    <phoneticPr fontId="85" type="noConversion"/>
  </si>
  <si>
    <t>Seun Steel Gyeongju</t>
    <phoneticPr fontId="85" type="noConversion"/>
  </si>
  <si>
    <r>
      <t xml:space="preserve">Oneel
</t>
    </r>
    <r>
      <rPr>
        <sz val="10"/>
        <color theme="1" tint="0.249977111117893"/>
        <rFont val="Calibri"/>
        <family val="2"/>
      </rPr>
      <t>Total 522.61kWp</t>
    </r>
    <phoneticPr fontId="85" type="noConversion"/>
  </si>
  <si>
    <t>Oneel</t>
    <phoneticPr fontId="85" type="noConversion"/>
  </si>
  <si>
    <r>
      <t xml:space="preserve">Sammi
</t>
    </r>
    <r>
      <rPr>
        <sz val="10"/>
        <color theme="1" tint="0.249977111117893"/>
        <rFont val="Calibri"/>
        <family val="2"/>
      </rPr>
      <t>Total 2,743.2kWp</t>
    </r>
    <phoneticPr fontId="85" type="noConversion"/>
  </si>
  <si>
    <t>Sammi</t>
    <phoneticPr fontId="85" type="noConversion"/>
  </si>
  <si>
    <r>
      <t xml:space="preserve">Kyunghan Korea 1
</t>
    </r>
    <r>
      <rPr>
        <sz val="10"/>
        <color theme="1" tint="0.249977111117893"/>
        <rFont val="Calibri"/>
        <family val="2"/>
      </rPr>
      <t>Total 695.33kWp</t>
    </r>
    <phoneticPr fontId="85" type="noConversion"/>
  </si>
  <si>
    <t>Kyunghan Korea 1</t>
    <phoneticPr fontId="85" type="noConversion"/>
  </si>
  <si>
    <r>
      <t xml:space="preserve">Yooil Rubber1
</t>
    </r>
    <r>
      <rPr>
        <sz val="10"/>
        <color theme="1" tint="0.249977111117893"/>
        <rFont val="Calibri"/>
        <family val="2"/>
      </rPr>
      <t>Total 913.77kWp</t>
    </r>
    <phoneticPr fontId="85" type="noConversion"/>
  </si>
  <si>
    <t>Yooil Rubber1</t>
    <phoneticPr fontId="85" type="noConversion"/>
  </si>
  <si>
    <r>
      <t xml:space="preserve">Yooil Rubber2
</t>
    </r>
    <r>
      <rPr>
        <sz val="10"/>
        <color theme="1" tint="0.249977111117893"/>
        <rFont val="Calibri"/>
        <family val="2"/>
      </rPr>
      <t>Total 544.83kWp</t>
    </r>
    <phoneticPr fontId="85" type="noConversion"/>
  </si>
  <si>
    <t>Yooil Rubber2</t>
    <phoneticPr fontId="85" type="noConversion"/>
  </si>
  <si>
    <t>Bolt Taeyanggwang 6HO
#231, 42, Eonju-ro 147-gil, Gangnam-gu, Seoul, Korea</t>
  </si>
  <si>
    <t>110111-9077888</t>
  </si>
  <si>
    <t>339-86-03554</t>
  </si>
  <si>
    <t>KB Bank : 
096337-04-011223</t>
  </si>
  <si>
    <r>
      <t xml:space="preserve">Esun
</t>
    </r>
    <r>
      <rPr>
        <sz val="10"/>
        <color theme="1" tint="0.249977111117893"/>
        <rFont val="Calibri"/>
        <family val="2"/>
      </rPr>
      <t>Total 150.00kWp</t>
    </r>
    <phoneticPr fontId="85" type="noConversion"/>
  </si>
  <si>
    <t>Esun</t>
    <phoneticPr fontId="85" type="noConversion"/>
  </si>
  <si>
    <t>Devex
1. 20% at Signing (Done)
2. 20% at EBL (Next)
3. 50% at DAP
4. 10% at Pre-use inspection</t>
    <phoneticPr fontId="85" type="noConversion"/>
  </si>
  <si>
    <r>
      <t xml:space="preserve">Sejin SMC
</t>
    </r>
    <r>
      <rPr>
        <sz val="10"/>
        <color theme="1" tint="0.249977111117893"/>
        <rFont val="Calibri"/>
        <family val="2"/>
      </rPr>
      <t>Total 144.15kWp</t>
    </r>
    <phoneticPr fontId="85" type="noConversion"/>
  </si>
  <si>
    <t>Sejin SMC</t>
    <phoneticPr fontId="85" type="noConversion"/>
  </si>
  <si>
    <r>
      <t xml:space="preserve">Seoyong
</t>
    </r>
    <r>
      <rPr>
        <sz val="10"/>
        <color theme="1" tint="0.249977111117893"/>
        <rFont val="Calibri"/>
        <family val="2"/>
      </rPr>
      <t>Total 138.43kWp</t>
    </r>
    <phoneticPr fontId="85" type="noConversion"/>
  </si>
  <si>
    <t>Seoyong</t>
    <phoneticPr fontId="85" type="noConversion"/>
  </si>
  <si>
    <t>Bolt Taeyanggwang 7HO
#233, 42, Eonju-ro 147-gil, Gangnam-gu, Seoul, Korea</t>
  </si>
  <si>
    <t>110111-9077622</t>
  </si>
  <si>
    <t>504-87-03534</t>
  </si>
  <si>
    <t>KB Bank : 
096301-04-103343</t>
  </si>
  <si>
    <r>
      <t xml:space="preserve">Eco Inshutech
</t>
    </r>
    <r>
      <rPr>
        <sz val="10"/>
        <color rgb="FF404040"/>
        <rFont val="Calibri"/>
        <family val="2"/>
      </rPr>
      <t>Total 319.20kWp</t>
    </r>
    <phoneticPr fontId="85" type="noConversion"/>
  </si>
  <si>
    <t>Eco Insutech</t>
    <phoneticPr fontId="85" type="noConversion"/>
  </si>
  <si>
    <r>
      <rPr>
        <sz val="10"/>
        <color rgb="FF156082"/>
        <rFont val="Calibri"/>
        <family val="2"/>
      </rPr>
      <t xml:space="preserve">Younggwang Industry
</t>
    </r>
    <r>
      <rPr>
        <sz val="10"/>
        <color rgb="FF404040"/>
        <rFont val="Calibri"/>
        <family val="2"/>
      </rPr>
      <t>Total 545.46kWp</t>
    </r>
  </si>
  <si>
    <t>Younggwang Industry</t>
    <phoneticPr fontId="85" type="noConversion"/>
  </si>
  <si>
    <r>
      <t xml:space="preserve">Ajin P&amp;S
</t>
    </r>
    <r>
      <rPr>
        <sz val="10"/>
        <color theme="1" tint="0.249977111117893"/>
        <rFont val="Calibri"/>
        <family val="2"/>
      </rPr>
      <t>Total 148.59kWp</t>
    </r>
    <phoneticPr fontId="85" type="noConversion"/>
  </si>
  <si>
    <t>Ajin P&amp;S</t>
    <phoneticPr fontId="85" type="noConversion"/>
  </si>
  <si>
    <t>Devex
1. 20% at Signing (Done)
2. 20% at EBL (Next)
3. 50% at DAP
4. 10% at Pre-use inspection</t>
  </si>
  <si>
    <r>
      <rPr>
        <sz val="10"/>
        <color rgb="FF156082"/>
        <rFont val="Calibri"/>
        <family val="2"/>
      </rPr>
      <t xml:space="preserve">Myunghyun Tech
(2 sites in aggregate)
</t>
    </r>
    <r>
      <rPr>
        <sz val="10"/>
        <color rgb="FF404040"/>
        <rFont val="Calibri"/>
        <family val="2"/>
      </rPr>
      <t>Total 110.08kWp</t>
    </r>
  </si>
  <si>
    <t>Myunghyun Tech 1</t>
    <phoneticPr fontId="85" type="noConversion"/>
  </si>
  <si>
    <t>Myunghyun Tech 2</t>
  </si>
  <si>
    <r>
      <rPr>
        <sz val="10"/>
        <color rgb="FF156082"/>
        <rFont val="Calibri"/>
        <family val="2"/>
      </rPr>
      <t xml:space="preserve">Sehyun Chemical
</t>
    </r>
    <r>
      <rPr>
        <sz val="10"/>
        <color rgb="FF404040"/>
        <rFont val="Calibri"/>
        <family val="2"/>
      </rPr>
      <t>Total 158.75kWp</t>
    </r>
  </si>
  <si>
    <t>Sehyun Chemical</t>
    <phoneticPr fontId="19" type="noConversion"/>
  </si>
  <si>
    <r>
      <t xml:space="preserve">Seun BNC
</t>
    </r>
    <r>
      <rPr>
        <sz val="10"/>
        <color rgb="FF404040"/>
        <rFont val="Calibri"/>
        <family val="2"/>
      </rPr>
      <t>Total 351.16kWp</t>
    </r>
    <phoneticPr fontId="85" type="noConversion"/>
  </si>
  <si>
    <r>
      <rPr>
        <sz val="10"/>
        <color rgb="FF156082"/>
        <rFont val="Calibri"/>
        <family val="2"/>
      </rPr>
      <t xml:space="preserve">MPM Trade
</t>
    </r>
    <r>
      <rPr>
        <sz val="10"/>
        <color rgb="FF404040"/>
        <rFont val="Calibri"/>
        <family val="2"/>
      </rPr>
      <t>Total 210.82kWp</t>
    </r>
  </si>
  <si>
    <r>
      <t xml:space="preserve">Tyson Foods Korea 
</t>
    </r>
    <r>
      <rPr>
        <sz val="10"/>
        <color rgb="FF404040"/>
        <rFont val="Calibri"/>
        <family val="2"/>
      </rPr>
      <t>Total 650.24kWp</t>
    </r>
    <phoneticPr fontId="85" type="noConversion"/>
  </si>
  <si>
    <t>금액</t>
    <phoneticPr fontId="85" type="noConversion"/>
  </si>
  <si>
    <t>1차</t>
    <phoneticPr fontId="85" type="noConversion"/>
  </si>
  <si>
    <t>2차</t>
  </si>
  <si>
    <t>3차</t>
  </si>
  <si>
    <t>4차</t>
  </si>
  <si>
    <t>5차</t>
    <phoneticPr fontId="85" type="noConversion"/>
  </si>
  <si>
    <t>Batch 1</t>
    <phoneticPr fontId="85" type="noConversion"/>
  </si>
  <si>
    <t>YJ GASI 2</t>
    <phoneticPr fontId="85" type="noConversion"/>
  </si>
  <si>
    <t>JEIL TECH 1</t>
    <phoneticPr fontId="85" type="noConversion"/>
  </si>
  <si>
    <t>Batch 2</t>
    <phoneticPr fontId="85" type="noConversion"/>
  </si>
  <si>
    <t>Brokerage+Finder fee</t>
    <phoneticPr fontId="85" type="noConversion"/>
  </si>
  <si>
    <t>CAPEX</t>
  </si>
  <si>
    <t>DEVEX</t>
  </si>
  <si>
    <t>Jinyang metal
에너지플랜
30-10-50-10</t>
    <phoneticPr fontId="19" type="noConversion"/>
  </si>
  <si>
    <t>Jinyoung Metal</t>
  </si>
  <si>
    <t>Samhwa Suji</t>
    <phoneticPr fontId="19" type="noConversion"/>
  </si>
  <si>
    <t>Kairos</t>
    <phoneticPr fontId="19" type="noConversion"/>
  </si>
  <si>
    <t>Doori Industry</t>
    <phoneticPr fontId="19" type="noConversion"/>
  </si>
  <si>
    <t>COSMO chemical</t>
  </si>
  <si>
    <t>Sejin SMS</t>
  </si>
  <si>
    <t>Eco Insutech</t>
  </si>
  <si>
    <t>Younggwang Industry</t>
  </si>
  <si>
    <t>Ajin P&amp;S</t>
  </si>
  <si>
    <t>Ground Mounted-PV M&amp;A</t>
    <phoneticPr fontId="9"/>
  </si>
  <si>
    <t>LAND</t>
    <phoneticPr fontId="10"/>
  </si>
  <si>
    <t>MoTIE</t>
  </si>
  <si>
    <t>EXPENSE FORECAST (KRW)</t>
    <phoneticPr fontId="9"/>
  </si>
  <si>
    <t>INTERNAL</t>
    <phoneticPr fontId="9"/>
  </si>
  <si>
    <t>Project &amp; 
Total Capacity(kWp)</t>
    <phoneticPr fontId="74" type="noConversion"/>
  </si>
  <si>
    <t>Site Name</t>
    <phoneticPr fontId="74" type="noConversion"/>
  </si>
  <si>
    <t>Location (English)</t>
    <phoneticPr fontId="74" type="noConversion"/>
  </si>
  <si>
    <t>Location (Korean)</t>
    <phoneticPr fontId="74" type="noConversion"/>
  </si>
  <si>
    <t>Coordinates</t>
    <phoneticPr fontId="74" type="noConversion"/>
  </si>
  <si>
    <t>Pipeline registration date</t>
    <phoneticPr fontId="74" type="noConversion"/>
  </si>
  <si>
    <t>IRR</t>
    <phoneticPr fontId="74" type="noConversion"/>
  </si>
  <si>
    <t>GV
sensitivity analysis</t>
    <phoneticPr fontId="74" type="noConversion"/>
  </si>
  <si>
    <t>Specific Production  (MWh/year)</t>
    <phoneticPr fontId="74" type="noConversion"/>
  </si>
  <si>
    <t>Semi-RTB Date</t>
    <phoneticPr fontId="9"/>
  </si>
  <si>
    <t>RTB
Date</t>
    <phoneticPr fontId="74" type="noConversion"/>
  </si>
  <si>
    <t>PPA
Company</t>
    <phoneticPr fontId="74" type="noConversion"/>
  </si>
  <si>
    <t>PPA
Date</t>
    <phoneticPr fontId="74" type="noConversion"/>
  </si>
  <si>
    <t>GV COD
Date</t>
    <phoneticPr fontId="74" type="noConversion"/>
  </si>
  <si>
    <t>Set</t>
    <phoneticPr fontId="74" type="noConversion"/>
  </si>
  <si>
    <t>Interconnection fee(KRW)</t>
    <phoneticPr fontId="74" type="noConversion"/>
  </si>
  <si>
    <t>Construction period (months)</t>
    <phoneticPr fontId="74" type="noConversion"/>
  </si>
  <si>
    <t>Utility Company Area</t>
    <phoneticPr fontId="74" type="noConversion"/>
  </si>
  <si>
    <t>LOI
contract</t>
    <phoneticPr fontId="74" type="noConversion"/>
  </si>
  <si>
    <t>Land Contract</t>
    <phoneticPr fontId="74" type="noConversion"/>
  </si>
  <si>
    <t>Land Price(KRW)</t>
    <phoneticPr fontId="74" type="noConversion"/>
  </si>
  <si>
    <t>Land Price/Pyeong</t>
    <phoneticPr fontId="74" type="noConversion"/>
  </si>
  <si>
    <t>Lease Price(KRW)/Year</t>
    <phoneticPr fontId="74" type="noConversion"/>
  </si>
  <si>
    <t>Lease Price/Pyeong /Year</t>
    <phoneticPr fontId="74" type="noConversion"/>
  </si>
  <si>
    <t>Purchase
(Total project Price)</t>
    <phoneticPr fontId="74" type="noConversion"/>
  </si>
  <si>
    <t>Catg</t>
    <phoneticPr fontId="74" type="noConversion"/>
  </si>
  <si>
    <r>
      <t>Land Area(</t>
    </r>
    <r>
      <rPr>
        <b/>
        <sz val="10"/>
        <color theme="0"/>
        <rFont val="游ゴシック"/>
        <family val="3"/>
        <charset val="128"/>
      </rPr>
      <t>㎡</t>
    </r>
    <r>
      <rPr>
        <b/>
        <sz val="10"/>
        <color theme="0"/>
        <rFont val="Calibri"/>
        <family val="2"/>
      </rPr>
      <t>)</t>
    </r>
    <phoneticPr fontId="74" type="noConversion"/>
  </si>
  <si>
    <t>EBL</t>
    <phoneticPr fontId="74" type="noConversion"/>
  </si>
  <si>
    <t>EIA</t>
    <phoneticPr fontId="74" type="noConversion"/>
  </si>
  <si>
    <t>DAP</t>
    <phoneticPr fontId="74" type="noConversion"/>
  </si>
  <si>
    <t>GIA(Grid Interconnetion Agreement)</t>
    <phoneticPr fontId="74" type="noConversion"/>
  </si>
  <si>
    <t>Interconnection Line</t>
    <phoneticPr fontId="74" type="noConversion"/>
  </si>
  <si>
    <t>Farmland 
only</t>
    <phoneticPr fontId="74" type="noConversion"/>
  </si>
  <si>
    <t>Cultural Property</t>
    <phoneticPr fontId="74" type="noConversion"/>
  </si>
  <si>
    <t>Forestland Development</t>
    <phoneticPr fontId="74" type="noConversion"/>
  </si>
  <si>
    <t>Permits Cost estimation</t>
    <phoneticPr fontId="74" type="noConversion"/>
  </si>
  <si>
    <t>Land</t>
    <phoneticPr fontId="74" type="noConversion"/>
  </si>
  <si>
    <t>Utility(Grid)</t>
    <phoneticPr fontId="74" type="noConversion"/>
  </si>
  <si>
    <t>Permit</t>
    <phoneticPr fontId="74" type="noConversion"/>
  </si>
  <si>
    <t>EPC</t>
    <phoneticPr fontId="74" type="noConversion"/>
  </si>
  <si>
    <t>Last updated on</t>
    <phoneticPr fontId="74" type="noConversion"/>
  </si>
  <si>
    <t>Broker</t>
    <phoneticPr fontId="74" type="noConversion"/>
  </si>
  <si>
    <t>Specific Production (kWh/kWp/year)</t>
    <phoneticPr fontId="74" type="noConversion"/>
  </si>
  <si>
    <t>ex project ower</t>
    <phoneticPr fontId="9"/>
  </si>
  <si>
    <t>Project owner</t>
    <phoneticPr fontId="9"/>
  </si>
  <si>
    <t>Plant type</t>
    <phoneticPr fontId="9"/>
  </si>
  <si>
    <t>Comments</t>
    <phoneticPr fontId="9"/>
  </si>
  <si>
    <t>2794, Nansan-ri, Seongsan-eup, Seogwipo-si, Jeju-do</t>
  </si>
  <si>
    <r>
      <rPr>
        <sz val="9"/>
        <color rgb="FF000000"/>
        <rFont val="맑은 고딕"/>
        <family val="3"/>
        <charset val="129"/>
      </rPr>
      <t>제주도</t>
    </r>
    <r>
      <rPr>
        <sz val="9"/>
        <color rgb="FF000000"/>
        <rFont val="Calibri"/>
        <family val="2"/>
      </rPr>
      <t xml:space="preserve"> </t>
    </r>
    <r>
      <rPr>
        <sz val="9"/>
        <color rgb="FF000000"/>
        <rFont val="맑은 고딕"/>
        <family val="3"/>
        <charset val="129"/>
      </rPr>
      <t>서귀포시</t>
    </r>
    <r>
      <rPr>
        <sz val="9"/>
        <color rgb="FF000000"/>
        <rFont val="Calibri"/>
        <family val="2"/>
      </rPr>
      <t xml:space="preserve"> </t>
    </r>
    <r>
      <rPr>
        <sz val="9"/>
        <color rgb="FF000000"/>
        <rFont val="맑은 고딕"/>
        <family val="3"/>
        <charset val="129"/>
      </rPr>
      <t>성산읍</t>
    </r>
    <r>
      <rPr>
        <sz val="9"/>
        <color rgb="FF000000"/>
        <rFont val="Calibri"/>
        <family val="2"/>
      </rPr>
      <t xml:space="preserve"> </t>
    </r>
    <r>
      <rPr>
        <sz val="9"/>
        <color rgb="FF000000"/>
        <rFont val="맑은 고딕"/>
        <family val="3"/>
        <charset val="129"/>
      </rPr>
      <t>난산리</t>
    </r>
    <r>
      <rPr>
        <sz val="9"/>
        <color rgb="FF000000"/>
        <rFont val="Calibri"/>
        <family val="2"/>
      </rPr>
      <t xml:space="preserve"> 2794</t>
    </r>
  </si>
  <si>
    <t>33.407026 / 126.832880</t>
    <phoneticPr fontId="9"/>
  </si>
  <si>
    <t>N/A</t>
  </si>
  <si>
    <t>LCH</t>
  </si>
  <si>
    <t>Jeju</t>
  </si>
  <si>
    <t>Signed</t>
  </si>
  <si>
    <t>Farmland</t>
  </si>
  <si>
    <t>YES</t>
  </si>
  <si>
    <t>Seongsan S/S, Nansan D/L _7MW</t>
    <phoneticPr fontId="9"/>
  </si>
  <si>
    <t>NO</t>
  </si>
  <si>
    <t>Unnecessary</t>
  </si>
  <si>
    <t>200,000,000 (already paid by seller)</t>
  </si>
  <si>
    <t>Included Permits Cost</t>
  </si>
  <si>
    <t>Lee HongYeon</t>
    <phoneticPr fontId="9"/>
  </si>
  <si>
    <t>Ground PV</t>
    <phoneticPr fontId="10"/>
  </si>
  <si>
    <t>Current status: EPC contract reviewing</t>
    <phoneticPr fontId="9"/>
  </si>
  <si>
    <t>2794, Nansan-ri, Seongsan-eup, Seogwipo-si, Jeju-do</t>
    <phoneticPr fontId="9"/>
  </si>
  <si>
    <r>
      <rPr>
        <sz val="9"/>
        <color theme="1"/>
        <rFont val="맑은 고딕"/>
        <family val="3"/>
        <charset val="129"/>
      </rPr>
      <t>제주도</t>
    </r>
    <r>
      <rPr>
        <sz val="9"/>
        <color theme="1"/>
        <rFont val="Calibri"/>
        <family val="2"/>
      </rPr>
      <t xml:space="preserve"> </t>
    </r>
    <r>
      <rPr>
        <sz val="9"/>
        <color theme="1"/>
        <rFont val="맑은 고딕"/>
        <family val="3"/>
        <charset val="129"/>
      </rPr>
      <t>서귀포시</t>
    </r>
    <r>
      <rPr>
        <sz val="9"/>
        <color theme="1"/>
        <rFont val="Calibri"/>
        <family val="2"/>
      </rPr>
      <t xml:space="preserve"> </t>
    </r>
    <r>
      <rPr>
        <sz val="9"/>
        <color theme="1"/>
        <rFont val="맑은 고딕"/>
        <family val="3"/>
        <charset val="129"/>
      </rPr>
      <t>성산읍</t>
    </r>
    <r>
      <rPr>
        <sz val="9"/>
        <color theme="1"/>
        <rFont val="Calibri"/>
        <family val="2"/>
      </rPr>
      <t xml:space="preserve"> </t>
    </r>
    <r>
      <rPr>
        <sz val="9"/>
        <color theme="1"/>
        <rFont val="맑은 고딕"/>
        <family val="3"/>
        <charset val="129"/>
      </rPr>
      <t>난산리</t>
    </r>
    <r>
      <rPr>
        <sz val="9"/>
        <color theme="1"/>
        <rFont val="Calibri"/>
        <family val="2"/>
      </rPr>
      <t xml:space="preserve"> 2794</t>
    </r>
    <phoneticPr fontId="9"/>
  </si>
  <si>
    <t>Jeju</t>
    <phoneticPr fontId="9"/>
  </si>
  <si>
    <t>200,000,000 (already paid by seller)</t>
    <phoneticPr fontId="9"/>
  </si>
  <si>
    <t>3097, Gasi-ri, Pyoseon-myeon, Seogwipo-si, Jeju-do</t>
  </si>
  <si>
    <r>
      <rPr>
        <sz val="9"/>
        <color rgb="FF000000"/>
        <rFont val="맑은 고딕"/>
        <family val="3"/>
        <charset val="129"/>
      </rPr>
      <t>제주도</t>
    </r>
    <r>
      <rPr>
        <sz val="9"/>
        <color rgb="FF000000"/>
        <rFont val="Calibri"/>
        <family val="2"/>
      </rPr>
      <t xml:space="preserve"> </t>
    </r>
    <r>
      <rPr>
        <sz val="9"/>
        <color rgb="FF000000"/>
        <rFont val="맑은 고딕"/>
        <family val="3"/>
        <charset val="129"/>
      </rPr>
      <t>서귀포시</t>
    </r>
    <r>
      <rPr>
        <sz val="9"/>
        <color rgb="FF000000"/>
        <rFont val="Calibri"/>
        <family val="2"/>
      </rPr>
      <t xml:space="preserve"> </t>
    </r>
    <r>
      <rPr>
        <sz val="9"/>
        <color rgb="FF000000"/>
        <rFont val="맑은 고딕"/>
        <family val="3"/>
        <charset val="129"/>
      </rPr>
      <t>표선면</t>
    </r>
    <r>
      <rPr>
        <sz val="9"/>
        <color rgb="FF000000"/>
        <rFont val="Calibri"/>
        <family val="2"/>
      </rPr>
      <t xml:space="preserve"> </t>
    </r>
    <r>
      <rPr>
        <sz val="9"/>
        <color rgb="FF000000"/>
        <rFont val="맑은 고딕"/>
        <family val="3"/>
        <charset val="129"/>
      </rPr>
      <t>가시리</t>
    </r>
    <r>
      <rPr>
        <sz val="9"/>
        <color rgb="FF000000"/>
        <rFont val="Calibri"/>
        <family val="2"/>
      </rPr>
      <t xml:space="preserve"> 3097</t>
    </r>
    <phoneticPr fontId="9"/>
  </si>
  <si>
    <t>33.369228 / 126.754227</t>
    <phoneticPr fontId="9"/>
  </si>
  <si>
    <t>Mountain</t>
  </si>
  <si>
    <t>Pyoseon S/S, Taeheung D/L _4MW</t>
    <phoneticPr fontId="9"/>
  </si>
  <si>
    <t>3745, Wimi-ri, Namwon-eup, Seogwipo-si, Jeju-do</t>
  </si>
  <si>
    <r>
      <rPr>
        <sz val="9"/>
        <color rgb="FF000000"/>
        <rFont val="맑은 고딕"/>
        <family val="3"/>
        <charset val="129"/>
      </rPr>
      <t>제주도</t>
    </r>
    <r>
      <rPr>
        <sz val="9"/>
        <color rgb="FF000000"/>
        <rFont val="Calibri"/>
        <family val="2"/>
      </rPr>
      <t xml:space="preserve"> </t>
    </r>
    <r>
      <rPr>
        <sz val="9"/>
        <color rgb="FF000000"/>
        <rFont val="맑은 고딕"/>
        <family val="3"/>
        <charset val="129"/>
      </rPr>
      <t>서귀포시</t>
    </r>
    <r>
      <rPr>
        <sz val="9"/>
        <color rgb="FF000000"/>
        <rFont val="Calibri"/>
        <family val="2"/>
      </rPr>
      <t xml:space="preserve"> </t>
    </r>
    <r>
      <rPr>
        <sz val="9"/>
        <color rgb="FF000000"/>
        <rFont val="맑은 고딕"/>
        <family val="3"/>
        <charset val="129"/>
      </rPr>
      <t>남원읍</t>
    </r>
    <r>
      <rPr>
        <sz val="9"/>
        <color rgb="FF000000"/>
        <rFont val="Calibri"/>
        <family val="2"/>
      </rPr>
      <t xml:space="preserve"> </t>
    </r>
    <r>
      <rPr>
        <sz val="9"/>
        <color rgb="FF000000"/>
        <rFont val="맑은 고딕"/>
        <family val="3"/>
        <charset val="129"/>
      </rPr>
      <t>위미리</t>
    </r>
    <r>
      <rPr>
        <sz val="9"/>
        <color rgb="FF000000"/>
        <rFont val="Calibri"/>
        <family val="2"/>
      </rPr>
      <t xml:space="preserve"> 3745</t>
    </r>
  </si>
  <si>
    <t>33.317158 / 126.655067</t>
    <phoneticPr fontId="9"/>
  </si>
  <si>
    <t>Q2 '26</t>
    <phoneticPr fontId="9"/>
  </si>
  <si>
    <t>Grid-Q2' 26</t>
    <phoneticPr fontId="9"/>
  </si>
  <si>
    <t>Halla S/S</t>
    <phoneticPr fontId="9"/>
  </si>
  <si>
    <t>Kim HanYong</t>
    <phoneticPr fontId="9"/>
  </si>
  <si>
    <t>3745, Wimi-ri, Namwon-eup, Seogwipo-si, Jeju-do</t>
    <phoneticPr fontId="9"/>
  </si>
  <si>
    <r>
      <rPr>
        <sz val="9"/>
        <color theme="1"/>
        <rFont val="맑은 고딕"/>
        <family val="3"/>
        <charset val="129"/>
      </rPr>
      <t>제주도</t>
    </r>
    <r>
      <rPr>
        <sz val="9"/>
        <color theme="1"/>
        <rFont val="Calibri"/>
        <family val="2"/>
      </rPr>
      <t xml:space="preserve"> </t>
    </r>
    <r>
      <rPr>
        <sz val="9"/>
        <color theme="1"/>
        <rFont val="맑은 고딕"/>
        <family val="3"/>
        <charset val="129"/>
      </rPr>
      <t>서귀포시</t>
    </r>
    <r>
      <rPr>
        <sz val="9"/>
        <color theme="1"/>
        <rFont val="Calibri"/>
        <family val="2"/>
      </rPr>
      <t xml:space="preserve"> </t>
    </r>
    <r>
      <rPr>
        <sz val="9"/>
        <color theme="1"/>
        <rFont val="맑은 고딕"/>
        <family val="3"/>
        <charset val="129"/>
      </rPr>
      <t>남원읍</t>
    </r>
    <r>
      <rPr>
        <sz val="9"/>
        <color theme="1"/>
        <rFont val="Calibri"/>
        <family val="2"/>
      </rPr>
      <t xml:space="preserve"> </t>
    </r>
    <r>
      <rPr>
        <sz val="9"/>
        <color theme="1"/>
        <rFont val="맑은 고딕"/>
        <family val="3"/>
        <charset val="129"/>
      </rPr>
      <t>위미리</t>
    </r>
    <r>
      <rPr>
        <sz val="9"/>
        <color theme="1"/>
        <rFont val="Calibri"/>
        <family val="2"/>
      </rPr>
      <t xml:space="preserve"> 3745</t>
    </r>
    <phoneticPr fontId="9"/>
  </si>
  <si>
    <t>Halla S/S</t>
  </si>
  <si>
    <t>Lee SuKyung</t>
    <phoneticPr fontId="9"/>
  </si>
  <si>
    <t>Mountain 56, Sumang-ri, Namwon-eup, Seogwipo-si, Jeju-do</t>
  </si>
  <si>
    <r>
      <rPr>
        <sz val="9"/>
        <color theme="1"/>
        <rFont val="맑은 고딕"/>
        <family val="3"/>
        <charset val="129"/>
      </rPr>
      <t>제주도</t>
    </r>
    <r>
      <rPr>
        <sz val="9"/>
        <color theme="1"/>
        <rFont val="Calibri"/>
        <family val="2"/>
      </rPr>
      <t xml:space="preserve"> </t>
    </r>
    <r>
      <rPr>
        <sz val="9"/>
        <color theme="1"/>
        <rFont val="맑은 고딕"/>
        <family val="3"/>
        <charset val="129"/>
      </rPr>
      <t>서귀포시</t>
    </r>
    <r>
      <rPr>
        <sz val="9"/>
        <color theme="1"/>
        <rFont val="Calibri"/>
        <family val="2"/>
      </rPr>
      <t xml:space="preserve"> </t>
    </r>
    <r>
      <rPr>
        <sz val="9"/>
        <color theme="1"/>
        <rFont val="맑은 고딕"/>
        <family val="3"/>
        <charset val="129"/>
      </rPr>
      <t>남원읍</t>
    </r>
    <r>
      <rPr>
        <sz val="9"/>
        <color theme="1"/>
        <rFont val="Calibri"/>
        <family val="2"/>
      </rPr>
      <t xml:space="preserve"> </t>
    </r>
    <r>
      <rPr>
        <sz val="9"/>
        <color theme="1"/>
        <rFont val="맑은 고딕"/>
        <family val="3"/>
        <charset val="129"/>
      </rPr>
      <t>수망리</t>
    </r>
    <r>
      <rPr>
        <sz val="9"/>
        <color theme="1"/>
        <rFont val="Calibri"/>
        <family val="2"/>
      </rPr>
      <t xml:space="preserve"> </t>
    </r>
    <r>
      <rPr>
        <sz val="9"/>
        <color theme="1"/>
        <rFont val="맑은 고딕"/>
        <family val="3"/>
        <charset val="129"/>
      </rPr>
      <t>산</t>
    </r>
    <r>
      <rPr>
        <sz val="9"/>
        <color theme="1"/>
        <rFont val="Calibri"/>
        <family val="2"/>
      </rPr>
      <t xml:space="preserve"> 56</t>
    </r>
  </si>
  <si>
    <t>33.350553 / 126.714457</t>
    <phoneticPr fontId="9"/>
  </si>
  <si>
    <t>Q4 '25</t>
    <phoneticPr fontId="9"/>
  </si>
  <si>
    <t>Grid-Q1 '26</t>
    <phoneticPr fontId="9"/>
  </si>
  <si>
    <t>Kim JungHee</t>
    <phoneticPr fontId="9"/>
  </si>
  <si>
    <t>Mountain 56 &amp; 619 Sumang-ri, Namwon-eup, Seogwipo-si, Jeju-do</t>
  </si>
  <si>
    <r>
      <rPr>
        <sz val="9"/>
        <color theme="1"/>
        <rFont val="맑은 고딕"/>
        <family val="3"/>
        <charset val="129"/>
      </rPr>
      <t>제주도</t>
    </r>
    <r>
      <rPr>
        <sz val="9"/>
        <color theme="1"/>
        <rFont val="Calibri"/>
        <family val="2"/>
      </rPr>
      <t xml:space="preserve"> </t>
    </r>
    <r>
      <rPr>
        <sz val="9"/>
        <color theme="1"/>
        <rFont val="맑은 고딕"/>
        <family val="3"/>
        <charset val="129"/>
      </rPr>
      <t>서귀포시</t>
    </r>
    <r>
      <rPr>
        <sz val="9"/>
        <color theme="1"/>
        <rFont val="Calibri"/>
        <family val="2"/>
      </rPr>
      <t xml:space="preserve"> </t>
    </r>
    <r>
      <rPr>
        <sz val="9"/>
        <color theme="1"/>
        <rFont val="맑은 고딕"/>
        <family val="3"/>
        <charset val="129"/>
      </rPr>
      <t>남원읍</t>
    </r>
    <r>
      <rPr>
        <sz val="9"/>
        <color theme="1"/>
        <rFont val="Calibri"/>
        <family val="2"/>
      </rPr>
      <t xml:space="preserve"> </t>
    </r>
    <r>
      <rPr>
        <sz val="9"/>
        <color theme="1"/>
        <rFont val="맑은 고딕"/>
        <family val="3"/>
        <charset val="129"/>
      </rPr>
      <t>수망리</t>
    </r>
    <r>
      <rPr>
        <sz val="9"/>
        <color theme="1"/>
        <rFont val="Calibri"/>
        <family val="2"/>
      </rPr>
      <t xml:space="preserve"> 619</t>
    </r>
    <r>
      <rPr>
        <sz val="9"/>
        <color theme="1"/>
        <rFont val="맑은 고딕"/>
        <family val="3"/>
        <charset val="129"/>
      </rPr>
      <t>번지</t>
    </r>
    <r>
      <rPr>
        <sz val="9"/>
        <color theme="1"/>
        <rFont val="Calibri"/>
        <family val="2"/>
      </rPr>
      <t xml:space="preserve"> &amp; </t>
    </r>
    <r>
      <rPr>
        <sz val="9"/>
        <color theme="1"/>
        <rFont val="맑은 고딕"/>
        <family val="3"/>
        <charset val="129"/>
      </rPr>
      <t>산</t>
    </r>
    <r>
      <rPr>
        <sz val="9"/>
        <color theme="1"/>
        <rFont val="Calibri"/>
        <family val="2"/>
      </rPr>
      <t xml:space="preserve"> 56</t>
    </r>
  </si>
  <si>
    <t>33.350107 / 126.716851</t>
    <phoneticPr fontId="9"/>
  </si>
  <si>
    <t>Q4 '25</t>
  </si>
  <si>
    <t>Grid-Q1 '26</t>
  </si>
  <si>
    <t>Kim JungHyun</t>
    <phoneticPr fontId="9"/>
  </si>
  <si>
    <t>260, Jangchon-ri, Masan-myeon, Haenam-gun, Jeollanam-do</t>
  </si>
  <si>
    <r>
      <rPr>
        <sz val="9"/>
        <color rgb="FF000000"/>
        <rFont val="맑은 고딕"/>
        <family val="3"/>
        <charset val="129"/>
      </rPr>
      <t>전라남도</t>
    </r>
    <r>
      <rPr>
        <sz val="9"/>
        <color rgb="FF000000"/>
        <rFont val="Calibri"/>
        <family val="2"/>
      </rPr>
      <t xml:space="preserve"> </t>
    </r>
    <r>
      <rPr>
        <sz val="9"/>
        <color rgb="FF000000"/>
        <rFont val="맑은 고딕"/>
        <family val="3"/>
        <charset val="129"/>
      </rPr>
      <t>해남군</t>
    </r>
    <r>
      <rPr>
        <sz val="9"/>
        <color rgb="FF000000"/>
        <rFont val="Calibri"/>
        <family val="2"/>
      </rPr>
      <t xml:space="preserve"> </t>
    </r>
    <r>
      <rPr>
        <sz val="9"/>
        <color rgb="FF000000"/>
        <rFont val="맑은 고딕"/>
        <family val="3"/>
        <charset val="129"/>
      </rPr>
      <t>마산면</t>
    </r>
    <r>
      <rPr>
        <sz val="9"/>
        <color rgb="FF000000"/>
        <rFont val="Calibri"/>
        <family val="2"/>
      </rPr>
      <t xml:space="preserve"> </t>
    </r>
    <r>
      <rPr>
        <sz val="9"/>
        <color rgb="FF000000"/>
        <rFont val="맑은 고딕"/>
        <family val="3"/>
        <charset val="129"/>
      </rPr>
      <t>장촌리</t>
    </r>
    <r>
      <rPr>
        <sz val="9"/>
        <color rgb="FF000000"/>
        <rFont val="Calibri"/>
        <family val="2"/>
      </rPr>
      <t xml:space="preserve"> 260</t>
    </r>
  </si>
  <si>
    <t>34.603966 /126.581118</t>
  </si>
  <si>
    <t>Jeollanam-do</t>
  </si>
  <si>
    <t>Haenam S/S, Nansan D/L</t>
  </si>
  <si>
    <t xml:space="preserve"> - </t>
  </si>
  <si>
    <t>Soltop Miracle</t>
    <phoneticPr fontId="9"/>
  </si>
  <si>
    <t>EBL &amp; DAP date in red shall be changed up to extension date later.
Normally we extend the permits before 1 month of expiration</t>
    <phoneticPr fontId="9"/>
  </si>
  <si>
    <t>188, Masan-ri, Hwanggan-myeon, Yeongdong-gun, Chungcheongbuk-do</t>
    <phoneticPr fontId="9"/>
  </si>
  <si>
    <r>
      <rPr>
        <sz val="9"/>
        <color theme="1"/>
        <rFont val="맑은 고딕"/>
        <family val="3"/>
        <charset val="129"/>
      </rPr>
      <t>충북</t>
    </r>
    <r>
      <rPr>
        <sz val="9"/>
        <color theme="1"/>
        <rFont val="Calibri"/>
        <family val="2"/>
      </rPr>
      <t xml:space="preserve"> </t>
    </r>
    <r>
      <rPr>
        <sz val="9"/>
        <color theme="1"/>
        <rFont val="맑은 고딕"/>
        <family val="3"/>
        <charset val="129"/>
      </rPr>
      <t>영동군</t>
    </r>
    <r>
      <rPr>
        <sz val="9"/>
        <color theme="1"/>
        <rFont val="Calibri"/>
        <family val="2"/>
      </rPr>
      <t xml:space="preserve"> </t>
    </r>
    <r>
      <rPr>
        <sz val="9"/>
        <color theme="1"/>
        <rFont val="맑은 고딕"/>
        <family val="3"/>
        <charset val="129"/>
      </rPr>
      <t>황간면</t>
    </r>
    <r>
      <rPr>
        <sz val="9"/>
        <color theme="1"/>
        <rFont val="Calibri"/>
        <family val="2"/>
      </rPr>
      <t xml:space="preserve"> </t>
    </r>
    <r>
      <rPr>
        <sz val="9"/>
        <color theme="1"/>
        <rFont val="맑은 고딕"/>
        <family val="3"/>
        <charset val="129"/>
      </rPr>
      <t>마산리</t>
    </r>
    <r>
      <rPr>
        <sz val="9"/>
        <color theme="1"/>
        <rFont val="Calibri"/>
        <family val="2"/>
      </rPr>
      <t xml:space="preserve"> 188</t>
    </r>
  </si>
  <si>
    <t>34.760916 /127.164863</t>
  </si>
  <si>
    <t xml:space="preserve">Youngdong S/S, Maegok D/L </t>
  </si>
  <si>
    <t>Yoon Jeonghui</t>
    <phoneticPr fontId="9"/>
  </si>
  <si>
    <t xml:space="preserve">351 Mugok-ri, Daeyang-myeon, Hapcheon, Gyeongsangnam-do                                                                                                                                                                                                                                                                                                                              </t>
    <phoneticPr fontId="9"/>
  </si>
  <si>
    <r>
      <rPr>
        <sz val="9"/>
        <color theme="1"/>
        <rFont val="맑은 고딕"/>
        <family val="3"/>
        <charset val="129"/>
      </rPr>
      <t>경상남도</t>
    </r>
    <r>
      <rPr>
        <sz val="9"/>
        <color theme="1"/>
        <rFont val="Calibri"/>
        <family val="2"/>
      </rPr>
      <t xml:space="preserve"> </t>
    </r>
    <r>
      <rPr>
        <sz val="9"/>
        <color theme="1"/>
        <rFont val="맑은 고딕"/>
        <family val="3"/>
        <charset val="129"/>
      </rPr>
      <t>합천군</t>
    </r>
    <r>
      <rPr>
        <sz val="9"/>
        <color theme="1"/>
        <rFont val="Calibri"/>
        <family val="2"/>
      </rPr>
      <t xml:space="preserve"> </t>
    </r>
    <r>
      <rPr>
        <sz val="9"/>
        <color theme="1"/>
        <rFont val="맑은 고딕"/>
        <family val="3"/>
        <charset val="129"/>
      </rPr>
      <t>대양면</t>
    </r>
    <r>
      <rPr>
        <sz val="9"/>
        <color theme="1"/>
        <rFont val="Calibri"/>
        <family val="2"/>
      </rPr>
      <t xml:space="preserve"> </t>
    </r>
    <r>
      <rPr>
        <sz val="9"/>
        <color theme="1"/>
        <rFont val="맑은 고딕"/>
        <family val="3"/>
        <charset val="129"/>
      </rPr>
      <t>무곡리</t>
    </r>
    <r>
      <rPr>
        <sz val="9"/>
        <color theme="1"/>
        <rFont val="Calibri"/>
        <family val="2"/>
      </rPr>
      <t xml:space="preserve"> 351</t>
    </r>
  </si>
  <si>
    <t>35.528860 / 128.202764</t>
  </si>
  <si>
    <t>Until SOC</t>
  </si>
  <si>
    <t>Hapcheon S/S, Pyeonggu D/L</t>
  </si>
  <si>
    <t>Mugok</t>
    <phoneticPr fontId="9"/>
  </si>
  <si>
    <t>98-1, Jigyeong-ri, Seokbo-myeon, Yeongyang-gun, Gyeongsangbuk-do</t>
  </si>
  <si>
    <r>
      <rPr>
        <sz val="9"/>
        <color theme="1"/>
        <rFont val="맑은 고딕"/>
        <family val="3"/>
        <charset val="129"/>
      </rPr>
      <t>경상북도</t>
    </r>
    <r>
      <rPr>
        <sz val="9"/>
        <color theme="1"/>
        <rFont val="Calibri"/>
        <family val="2"/>
      </rPr>
      <t xml:space="preserve"> </t>
    </r>
    <r>
      <rPr>
        <sz val="9"/>
        <color theme="1"/>
        <rFont val="맑은 고딕"/>
        <family val="3"/>
        <charset val="129"/>
      </rPr>
      <t>영양군</t>
    </r>
    <r>
      <rPr>
        <sz val="9"/>
        <color theme="1"/>
        <rFont val="Calibri"/>
        <family val="2"/>
      </rPr>
      <t xml:space="preserve"> </t>
    </r>
    <r>
      <rPr>
        <sz val="9"/>
        <color theme="1"/>
        <rFont val="맑은 고딕"/>
        <family val="3"/>
        <charset val="129"/>
      </rPr>
      <t>석보면</t>
    </r>
    <r>
      <rPr>
        <sz val="9"/>
        <color theme="1"/>
        <rFont val="Calibri"/>
        <family val="2"/>
      </rPr>
      <t xml:space="preserve"> </t>
    </r>
    <r>
      <rPr>
        <sz val="9"/>
        <color theme="1"/>
        <rFont val="맑은 고딕"/>
        <family val="3"/>
        <charset val="129"/>
      </rPr>
      <t>지경리</t>
    </r>
    <r>
      <rPr>
        <sz val="9"/>
        <color theme="1"/>
        <rFont val="Calibri"/>
        <family val="2"/>
      </rPr>
      <t xml:space="preserve"> 98-1</t>
    </r>
  </si>
  <si>
    <t>36.546728 / 129.119361</t>
  </si>
  <si>
    <t>Jinbo S/S, Jigyeong D/L</t>
  </si>
  <si>
    <t>Mountain 51-22, Jigyeong-ri, Seokbo-myeon, Yeongyang-gun, Gyeongsangbuk-do</t>
  </si>
  <si>
    <r>
      <rPr>
        <sz val="9"/>
        <color rgb="FF000000"/>
        <rFont val="맑은 고딕"/>
        <family val="3"/>
        <charset val="129"/>
      </rPr>
      <t>경상북도</t>
    </r>
    <r>
      <rPr>
        <sz val="9"/>
        <color rgb="FF000000"/>
        <rFont val="Calibri"/>
        <family val="2"/>
      </rPr>
      <t xml:space="preserve"> </t>
    </r>
    <r>
      <rPr>
        <sz val="9"/>
        <color rgb="FF000000"/>
        <rFont val="맑은 고딕"/>
        <family val="3"/>
        <charset val="129"/>
      </rPr>
      <t>영양군</t>
    </r>
    <r>
      <rPr>
        <sz val="9"/>
        <color rgb="FF000000"/>
        <rFont val="Calibri"/>
        <family val="2"/>
      </rPr>
      <t xml:space="preserve"> </t>
    </r>
    <r>
      <rPr>
        <sz val="9"/>
        <color rgb="FF000000"/>
        <rFont val="맑은 고딕"/>
        <family val="3"/>
        <charset val="129"/>
      </rPr>
      <t>석보면</t>
    </r>
    <r>
      <rPr>
        <sz val="9"/>
        <color rgb="FF000000"/>
        <rFont val="Calibri"/>
        <family val="2"/>
      </rPr>
      <t xml:space="preserve"> </t>
    </r>
    <r>
      <rPr>
        <sz val="9"/>
        <color rgb="FF000000"/>
        <rFont val="맑은 고딕"/>
        <family val="3"/>
        <charset val="129"/>
      </rPr>
      <t>지경리</t>
    </r>
    <r>
      <rPr>
        <sz val="9"/>
        <color rgb="FF000000"/>
        <rFont val="Calibri"/>
        <family val="2"/>
      </rPr>
      <t xml:space="preserve"> </t>
    </r>
    <r>
      <rPr>
        <sz val="9"/>
        <color rgb="FF000000"/>
        <rFont val="맑은 고딕"/>
        <family val="3"/>
        <charset val="129"/>
      </rPr>
      <t>산</t>
    </r>
    <r>
      <rPr>
        <sz val="9"/>
        <color rgb="FF000000"/>
        <rFont val="Calibri"/>
        <family val="2"/>
      </rPr>
      <t>51-22</t>
    </r>
  </si>
  <si>
    <t>Farmland, Mountain</t>
  </si>
  <si>
    <t>12-4, Hodeok-ri, Gwayeok-myeon, Goheung-gun, Jeollanam-do</t>
  </si>
  <si>
    <r>
      <rPr>
        <sz val="9"/>
        <color theme="1"/>
        <rFont val="맑은 고딕"/>
        <family val="3"/>
        <charset val="129"/>
      </rPr>
      <t>전라남도</t>
    </r>
    <r>
      <rPr>
        <sz val="9"/>
        <color theme="1"/>
        <rFont val="Calibri"/>
        <family val="2"/>
      </rPr>
      <t xml:space="preserve"> </t>
    </r>
    <r>
      <rPr>
        <sz val="9"/>
        <color theme="1"/>
        <rFont val="맑은 고딕"/>
        <family val="3"/>
        <charset val="129"/>
      </rPr>
      <t>고흥군</t>
    </r>
    <r>
      <rPr>
        <sz val="9"/>
        <color theme="1"/>
        <rFont val="Calibri"/>
        <family val="2"/>
      </rPr>
      <t xml:space="preserve"> </t>
    </r>
    <r>
      <rPr>
        <sz val="9"/>
        <color theme="1"/>
        <rFont val="맑은 고딕"/>
        <family val="3"/>
        <charset val="129"/>
      </rPr>
      <t>과역면</t>
    </r>
    <r>
      <rPr>
        <sz val="9"/>
        <color theme="1"/>
        <rFont val="Calibri"/>
        <family val="2"/>
      </rPr>
      <t xml:space="preserve"> </t>
    </r>
    <r>
      <rPr>
        <sz val="9"/>
        <color theme="1"/>
        <rFont val="맑은 고딕"/>
        <family val="3"/>
        <charset val="129"/>
      </rPr>
      <t>호덕리</t>
    </r>
    <r>
      <rPr>
        <sz val="9"/>
        <color theme="1"/>
        <rFont val="Calibri"/>
        <family val="2"/>
      </rPr>
      <t xml:space="preserve"> 12-4</t>
    </r>
  </si>
  <si>
    <t>34.690387 / 127.415100</t>
  </si>
  <si>
    <t>Jeollanam-do</t>
    <phoneticPr fontId="9"/>
  </si>
  <si>
    <t>Beolkyo S/S</t>
  </si>
  <si>
    <t>2128, 2133,2134, 2279, 2616 Galsan-ri, Jaesan-myeon, Bonghwa-gun, Gyeongsangbuk-do</t>
    <phoneticPr fontId="9"/>
  </si>
  <si>
    <r>
      <rPr>
        <sz val="9"/>
        <color rgb="FF000000"/>
        <rFont val="맑은 고딕"/>
        <family val="3"/>
        <charset val="129"/>
      </rPr>
      <t>경상북도</t>
    </r>
    <r>
      <rPr>
        <sz val="9"/>
        <color rgb="FF000000"/>
        <rFont val="Calibri"/>
        <family val="2"/>
      </rPr>
      <t xml:space="preserve"> </t>
    </r>
    <r>
      <rPr>
        <sz val="9"/>
        <color rgb="FF000000"/>
        <rFont val="맑은 고딕"/>
        <family val="3"/>
        <charset val="129"/>
      </rPr>
      <t>봉화군</t>
    </r>
    <r>
      <rPr>
        <sz val="9"/>
        <color rgb="FF000000"/>
        <rFont val="Calibri"/>
        <family val="2"/>
      </rPr>
      <t xml:space="preserve"> </t>
    </r>
    <r>
      <rPr>
        <sz val="9"/>
        <color rgb="FF000000"/>
        <rFont val="맑은 고딕"/>
        <family val="3"/>
        <charset val="129"/>
      </rPr>
      <t>재산면</t>
    </r>
    <r>
      <rPr>
        <sz val="9"/>
        <color rgb="FF000000"/>
        <rFont val="Calibri"/>
        <family val="2"/>
      </rPr>
      <t xml:space="preserve"> </t>
    </r>
    <r>
      <rPr>
        <sz val="9"/>
        <color rgb="FF000000"/>
        <rFont val="맑은 고딕"/>
        <family val="3"/>
        <charset val="129"/>
      </rPr>
      <t>갈산리</t>
    </r>
    <r>
      <rPr>
        <sz val="9"/>
        <color rgb="FF000000"/>
        <rFont val="Calibri"/>
        <family val="2"/>
      </rPr>
      <t xml:space="preserve"> 2133</t>
    </r>
  </si>
  <si>
    <t>36.852391 / 128.961792</t>
  </si>
  <si>
    <t>N/A</t>
    <phoneticPr fontId="9"/>
  </si>
  <si>
    <t>TBD (Kolon industries)</t>
  </si>
  <si>
    <t>Q2 '26</t>
  </si>
  <si>
    <t>Bonghwa S/S</t>
  </si>
  <si>
    <t>Galsan</t>
  </si>
  <si>
    <t>2134-1, 2274, 2275, 2276, 2277, 2278, 2279-1 Galsan-ri, Jaesan-myeon, Bonghwa-gun, Gyeongsangbuk-do</t>
    <phoneticPr fontId="9"/>
  </si>
  <si>
    <r>
      <rPr>
        <sz val="9"/>
        <color theme="1"/>
        <rFont val="맑은 고딕"/>
        <family val="3"/>
        <charset val="129"/>
      </rPr>
      <t>경상북도</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재산면</t>
    </r>
    <r>
      <rPr>
        <sz val="9"/>
        <color theme="1"/>
        <rFont val="Calibri"/>
        <family val="2"/>
      </rPr>
      <t xml:space="preserve"> </t>
    </r>
    <r>
      <rPr>
        <sz val="9"/>
        <color theme="1"/>
        <rFont val="맑은 고딕"/>
        <family val="3"/>
        <charset val="129"/>
      </rPr>
      <t>갈산리</t>
    </r>
    <r>
      <rPr>
        <sz val="9"/>
        <color theme="1"/>
        <rFont val="Calibri"/>
        <family val="2"/>
      </rPr>
      <t xml:space="preserve"> 2133</t>
    </r>
  </si>
  <si>
    <t>Mineuri</t>
  </si>
  <si>
    <t>2127-1, 2280, 2281 Galsan-ri, Jaesan-myeon, Bonghwa-gun, Gyeongsangbuk-do</t>
    <phoneticPr fontId="9"/>
  </si>
  <si>
    <t>Saegol</t>
  </si>
  <si>
    <t>2127, 2128-1, Galsan-ri, Jaesan-myeon, Bonghwa-gun, Gyeongsangbuk-do</t>
    <phoneticPr fontId="9"/>
  </si>
  <si>
    <t>Jaesan</t>
  </si>
  <si>
    <t>Seodeul</t>
  </si>
  <si>
    <t>145-1, 145-2 Uguchi-ri, Chunyang-myeon, Bonghwa-gun, Gyeongsangbuk-do</t>
  </si>
  <si>
    <r>
      <rPr>
        <strike/>
        <sz val="9"/>
        <color theme="1"/>
        <rFont val="맑은 고딕"/>
        <family val="3"/>
        <charset val="129"/>
      </rPr>
      <t>경북</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춘양면</t>
    </r>
    <r>
      <rPr>
        <strike/>
        <sz val="9"/>
        <color theme="1"/>
        <rFont val="Calibri"/>
        <family val="2"/>
      </rPr>
      <t xml:space="preserve"> </t>
    </r>
    <r>
      <rPr>
        <strike/>
        <sz val="9"/>
        <color theme="1"/>
        <rFont val="맑은 고딕"/>
        <family val="3"/>
        <charset val="129"/>
      </rPr>
      <t>우구치리</t>
    </r>
    <r>
      <rPr>
        <strike/>
        <sz val="9"/>
        <color theme="1"/>
        <rFont val="Calibri"/>
        <family val="2"/>
      </rPr>
      <t xml:space="preserve"> 145-1,145-2</t>
    </r>
  </si>
  <si>
    <t>37.066663 / 128.772237</t>
  </si>
  <si>
    <t>Siwol</t>
  </si>
  <si>
    <t>146-1, 146-2 Uguchi-ri, Chunyang-myeon, Bonghwa-gun, Gyeongsangbuk-do</t>
  </si>
  <si>
    <r>
      <rPr>
        <strike/>
        <sz val="9"/>
        <color theme="1"/>
        <rFont val="맑은 고딕"/>
        <family val="3"/>
        <charset val="129"/>
      </rPr>
      <t>경북</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춘양면</t>
    </r>
    <r>
      <rPr>
        <strike/>
        <sz val="9"/>
        <color theme="1"/>
        <rFont val="Calibri"/>
        <family val="2"/>
      </rPr>
      <t xml:space="preserve"> </t>
    </r>
    <r>
      <rPr>
        <strike/>
        <sz val="9"/>
        <color theme="1"/>
        <rFont val="맑은 고딕"/>
        <family val="3"/>
        <charset val="129"/>
      </rPr>
      <t>우구치리</t>
    </r>
    <r>
      <rPr>
        <strike/>
        <sz val="9"/>
        <color theme="1"/>
        <rFont val="Calibri"/>
        <family val="2"/>
      </rPr>
      <t xml:space="preserve"> 146-1,146-2</t>
    </r>
  </si>
  <si>
    <t xml:space="preserve"> 37.066249 / 128.773019</t>
  </si>
  <si>
    <t>Guemjeong</t>
  </si>
  <si>
    <t>141, 142 Uguchi-ri, Chunyang-myeon, Bonghwa-gun, Gyeongsangbuk-do</t>
  </si>
  <si>
    <r>
      <rPr>
        <strike/>
        <sz val="9"/>
        <color theme="1"/>
        <rFont val="맑은 고딕"/>
        <family val="3"/>
        <charset val="129"/>
      </rPr>
      <t>경북</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춘양면</t>
    </r>
    <r>
      <rPr>
        <strike/>
        <sz val="9"/>
        <color theme="1"/>
        <rFont val="Calibri"/>
        <family val="2"/>
      </rPr>
      <t xml:space="preserve"> </t>
    </r>
    <r>
      <rPr>
        <strike/>
        <sz val="9"/>
        <color theme="1"/>
        <rFont val="맑은 고딕"/>
        <family val="3"/>
        <charset val="129"/>
      </rPr>
      <t>우구치리</t>
    </r>
    <r>
      <rPr>
        <strike/>
        <sz val="9"/>
        <color theme="1"/>
        <rFont val="Calibri"/>
        <family val="2"/>
      </rPr>
      <t xml:space="preserve"> 141,142</t>
    </r>
  </si>
  <si>
    <t xml:space="preserve"> 37.065281 / 128.773339</t>
  </si>
  <si>
    <t>Bongyang 1</t>
  </si>
  <si>
    <t>1126,1127,1129 Bongyang-ri, Bongseong-myeon, Bonghwa-gun, Gyeongsangbuk-do</t>
  </si>
  <si>
    <r>
      <rPr>
        <strike/>
        <sz val="9"/>
        <color theme="1"/>
        <rFont val="맑은 고딕"/>
        <family val="3"/>
        <charset val="129"/>
      </rPr>
      <t>경북</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봉성면</t>
    </r>
    <r>
      <rPr>
        <strike/>
        <sz val="9"/>
        <color theme="1"/>
        <rFont val="Calibri"/>
        <family val="2"/>
      </rPr>
      <t xml:space="preserve"> </t>
    </r>
    <r>
      <rPr>
        <strike/>
        <sz val="9"/>
        <color theme="1"/>
        <rFont val="맑은 고딕"/>
        <family val="3"/>
        <charset val="129"/>
      </rPr>
      <t>봉양리</t>
    </r>
    <r>
      <rPr>
        <strike/>
        <sz val="9"/>
        <color theme="1"/>
        <rFont val="Calibri"/>
        <family val="2"/>
      </rPr>
      <t xml:space="preserve"> 1126,1127,1129</t>
    </r>
  </si>
  <si>
    <t>36.859118 /128.800552</t>
  </si>
  <si>
    <t>Bongyang 3</t>
  </si>
  <si>
    <t>1131,1137,1138 Bongyang-ri, Bongseong-myeon, Bonghwa-gun, Gyeongsangbuk-do</t>
  </si>
  <si>
    <r>
      <rPr>
        <strike/>
        <sz val="9"/>
        <color theme="1"/>
        <rFont val="맑은 고딕"/>
        <family val="3"/>
        <charset val="129"/>
      </rPr>
      <t>경북</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봉성면</t>
    </r>
    <r>
      <rPr>
        <strike/>
        <sz val="9"/>
        <color theme="1"/>
        <rFont val="Calibri"/>
        <family val="2"/>
      </rPr>
      <t xml:space="preserve"> </t>
    </r>
    <r>
      <rPr>
        <strike/>
        <sz val="9"/>
        <color theme="1"/>
        <rFont val="맑은 고딕"/>
        <family val="3"/>
        <charset val="129"/>
      </rPr>
      <t>봉양리</t>
    </r>
    <r>
      <rPr>
        <strike/>
        <sz val="9"/>
        <color theme="1"/>
        <rFont val="Calibri"/>
        <family val="2"/>
      </rPr>
      <t xml:space="preserve"> 1131,1137,1138</t>
    </r>
  </si>
  <si>
    <t>36.859118 /128.800552</t>
    <phoneticPr fontId="9"/>
  </si>
  <si>
    <t>Bongyang 4</t>
  </si>
  <si>
    <t>1513-1 Bongyang-ri, Bongseong-myeon, Bonghwa-gun, Gyeongsangbuk-do</t>
    <phoneticPr fontId="9"/>
  </si>
  <si>
    <r>
      <rPr>
        <strike/>
        <sz val="9"/>
        <color theme="1"/>
        <rFont val="맑은 고딕"/>
        <family val="3"/>
        <charset val="129"/>
      </rPr>
      <t>경상북도</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봉양리</t>
    </r>
    <r>
      <rPr>
        <strike/>
        <sz val="9"/>
        <color theme="1"/>
        <rFont val="Calibri"/>
        <family val="2"/>
      </rPr>
      <t xml:space="preserve"> 1513</t>
    </r>
    <phoneticPr fontId="9"/>
  </si>
  <si>
    <t>36.869636 /128.792147</t>
  </si>
  <si>
    <t>Bongyang 4</t>
    <phoneticPr fontId="9"/>
  </si>
  <si>
    <t>Bongyang 6</t>
  </si>
  <si>
    <t>1139, Bongyang-ri, Bongseong-myeon, Bonghwa-gun, Gyeongsangbuk-do</t>
    <phoneticPr fontId="9"/>
  </si>
  <si>
    <r>
      <rPr>
        <strike/>
        <sz val="9"/>
        <color theme="1"/>
        <rFont val="맑은 고딕"/>
        <family val="3"/>
        <charset val="129"/>
      </rPr>
      <t>경상북도</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봉양리</t>
    </r>
    <r>
      <rPr>
        <strike/>
        <sz val="9"/>
        <color theme="1"/>
        <rFont val="Calibri"/>
        <family val="2"/>
      </rPr>
      <t xml:space="preserve"> 1139</t>
    </r>
    <phoneticPr fontId="9"/>
  </si>
  <si>
    <t>36.859895 / 128.799966</t>
  </si>
  <si>
    <t>Bongyang 6</t>
    <phoneticPr fontId="9"/>
  </si>
  <si>
    <t>Bongyang 10</t>
  </si>
  <si>
    <t>801, Bongyang-ri, Bongseong-myeon, Bonghwa-gun, Gyeongsangbuk-do</t>
  </si>
  <si>
    <r>
      <rPr>
        <strike/>
        <sz val="9"/>
        <color theme="1"/>
        <rFont val="맑은 고딕"/>
        <family val="3"/>
        <charset val="129"/>
      </rPr>
      <t>경상북도</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봉양리</t>
    </r>
    <r>
      <rPr>
        <strike/>
        <sz val="9"/>
        <color theme="1"/>
        <rFont val="Calibri"/>
        <family val="2"/>
      </rPr>
      <t xml:space="preserve"> 801</t>
    </r>
    <phoneticPr fontId="9"/>
  </si>
  <si>
    <t>36.854207 / 128.820455</t>
  </si>
  <si>
    <t>Bongyang 10</t>
    <phoneticPr fontId="9"/>
  </si>
  <si>
    <t>Moonchon Taeyang</t>
  </si>
  <si>
    <t>401, Munchon-ri, Sangun-myeon, Bonghwa-gun, Gyeongsangbuk-do</t>
    <phoneticPr fontId="9"/>
  </si>
  <si>
    <r>
      <rPr>
        <strike/>
        <sz val="9"/>
        <color theme="1"/>
        <rFont val="맑은 고딕"/>
        <family val="3"/>
        <charset val="129"/>
      </rPr>
      <t>경상북도</t>
    </r>
    <r>
      <rPr>
        <strike/>
        <sz val="9"/>
        <color theme="1"/>
        <rFont val="Calibri"/>
        <family val="2"/>
      </rPr>
      <t xml:space="preserve"> </t>
    </r>
    <r>
      <rPr>
        <strike/>
        <sz val="9"/>
        <color theme="1"/>
        <rFont val="맑은 고딕"/>
        <family val="3"/>
        <charset val="129"/>
      </rPr>
      <t>봉화군</t>
    </r>
    <r>
      <rPr>
        <strike/>
        <sz val="9"/>
        <color theme="1"/>
        <rFont val="Calibri"/>
        <family val="2"/>
      </rPr>
      <t xml:space="preserve"> </t>
    </r>
    <r>
      <rPr>
        <strike/>
        <sz val="9"/>
        <color theme="1"/>
        <rFont val="맑은 고딕"/>
        <family val="3"/>
        <charset val="129"/>
      </rPr>
      <t>상운면</t>
    </r>
    <r>
      <rPr>
        <strike/>
        <sz val="9"/>
        <color theme="1"/>
        <rFont val="Calibri"/>
        <family val="2"/>
      </rPr>
      <t xml:space="preserve"> </t>
    </r>
    <r>
      <rPr>
        <strike/>
        <sz val="9"/>
        <color theme="1"/>
        <rFont val="맑은 고딕"/>
        <family val="3"/>
        <charset val="129"/>
      </rPr>
      <t>문촌리</t>
    </r>
    <r>
      <rPr>
        <strike/>
        <sz val="9"/>
        <color theme="1"/>
        <rFont val="Calibri"/>
        <family val="2"/>
      </rPr>
      <t xml:space="preserve"> 401</t>
    </r>
  </si>
  <si>
    <t>36.860589 / 128.795904</t>
  </si>
  <si>
    <t>Moonchon</t>
    <phoneticPr fontId="9"/>
  </si>
  <si>
    <t>Woltan Taeyang</t>
  </si>
  <si>
    <t>73 Woltan-ri, Daegang-myeon, Namwon-si, Jeollabuk-do</t>
    <phoneticPr fontId="9"/>
  </si>
  <si>
    <r>
      <rPr>
        <strike/>
        <sz val="9"/>
        <color theme="1"/>
        <rFont val="맑은 고딕"/>
        <family val="3"/>
        <charset val="129"/>
      </rPr>
      <t>전라북도</t>
    </r>
    <r>
      <rPr>
        <strike/>
        <sz val="9"/>
        <color theme="1"/>
        <rFont val="Calibri"/>
        <family val="2"/>
      </rPr>
      <t xml:space="preserve"> </t>
    </r>
    <r>
      <rPr>
        <strike/>
        <sz val="9"/>
        <color theme="1"/>
        <rFont val="맑은 고딕"/>
        <family val="3"/>
        <charset val="129"/>
      </rPr>
      <t>남원시</t>
    </r>
    <r>
      <rPr>
        <strike/>
        <sz val="9"/>
        <color theme="1"/>
        <rFont val="Calibri"/>
        <family val="2"/>
      </rPr>
      <t xml:space="preserve"> </t>
    </r>
    <r>
      <rPr>
        <strike/>
        <sz val="9"/>
        <color theme="1"/>
        <rFont val="맑은 고딕"/>
        <family val="3"/>
        <charset val="129"/>
      </rPr>
      <t>대강면</t>
    </r>
    <r>
      <rPr>
        <strike/>
        <sz val="9"/>
        <color theme="1"/>
        <rFont val="Calibri"/>
        <family val="2"/>
      </rPr>
      <t xml:space="preserve"> </t>
    </r>
    <r>
      <rPr>
        <strike/>
        <sz val="9"/>
        <color theme="1"/>
        <rFont val="맑은 고딕"/>
        <family val="3"/>
        <charset val="129"/>
      </rPr>
      <t>월탄리</t>
    </r>
    <r>
      <rPr>
        <strike/>
        <sz val="9"/>
        <color theme="1"/>
        <rFont val="Calibri"/>
        <family val="2"/>
      </rPr>
      <t xml:space="preserve"> 73</t>
    </r>
  </si>
  <si>
    <t>35.355383 / 127.203402</t>
  </si>
  <si>
    <t>Woltan</t>
    <phoneticPr fontId="9"/>
  </si>
  <si>
    <t>SooAm 1</t>
  </si>
  <si>
    <t>8, Gajang-ri, Yulchon-myeon, Yeosu-si, Jeollanam-do</t>
  </si>
  <si>
    <r>
      <rPr>
        <sz val="9"/>
        <color theme="1"/>
        <rFont val="맑은 고딕"/>
        <family val="3"/>
        <charset val="129"/>
      </rPr>
      <t>전남</t>
    </r>
    <r>
      <rPr>
        <sz val="9"/>
        <color theme="1"/>
        <rFont val="Calibri"/>
        <family val="2"/>
      </rPr>
      <t xml:space="preserve"> </t>
    </r>
    <r>
      <rPr>
        <sz val="9"/>
        <color theme="1"/>
        <rFont val="맑은 고딕"/>
        <family val="3"/>
        <charset val="129"/>
      </rPr>
      <t>여수시</t>
    </r>
    <r>
      <rPr>
        <sz val="9"/>
        <color theme="1"/>
        <rFont val="Calibri"/>
        <family val="2"/>
      </rPr>
      <t xml:space="preserve"> </t>
    </r>
    <r>
      <rPr>
        <sz val="9"/>
        <color theme="1"/>
        <rFont val="맑은 고딕"/>
        <family val="3"/>
        <charset val="129"/>
      </rPr>
      <t>율촌면</t>
    </r>
    <r>
      <rPr>
        <sz val="9"/>
        <color theme="1"/>
        <rFont val="Calibri"/>
        <family val="2"/>
      </rPr>
      <t xml:space="preserve"> </t>
    </r>
    <r>
      <rPr>
        <sz val="9"/>
        <color theme="1"/>
        <rFont val="맑은 고딕"/>
        <family val="3"/>
        <charset val="129"/>
      </rPr>
      <t>가장리</t>
    </r>
    <r>
      <rPr>
        <sz val="9"/>
        <color theme="1"/>
        <rFont val="Calibri"/>
        <family val="2"/>
      </rPr>
      <t xml:space="preserve"> 8</t>
    </r>
  </si>
  <si>
    <t>34.842525 / 127.574525</t>
  </si>
  <si>
    <t>Not applied yet</t>
  </si>
  <si>
    <t>Sooam</t>
  </si>
  <si>
    <t>SooAm 2</t>
  </si>
  <si>
    <t>SooAm 3</t>
  </si>
  <si>
    <t>SooAm 4</t>
  </si>
  <si>
    <t>SooAm 5</t>
  </si>
  <si>
    <t>SooAm 6</t>
  </si>
  <si>
    <t>SooAm 7</t>
  </si>
  <si>
    <t>SooAm 8</t>
  </si>
  <si>
    <t>SooAm 9</t>
  </si>
  <si>
    <t>Boner 1</t>
  </si>
  <si>
    <t>120, Gongdanseo-gil, Chilseo-myeon, Haman-gun, Gyeongsangnam-do</t>
  </si>
  <si>
    <r>
      <rPr>
        <sz val="9"/>
        <color theme="1"/>
        <rFont val="맑은 고딕"/>
        <family val="3"/>
        <charset val="129"/>
      </rPr>
      <t>경남</t>
    </r>
    <r>
      <rPr>
        <sz val="9"/>
        <color theme="1"/>
        <rFont val="Calibri"/>
        <family val="2"/>
      </rPr>
      <t xml:space="preserve"> </t>
    </r>
    <r>
      <rPr>
        <sz val="9"/>
        <color theme="1"/>
        <rFont val="맑은 고딕"/>
        <family val="3"/>
        <charset val="129"/>
      </rPr>
      <t>함안군</t>
    </r>
    <r>
      <rPr>
        <sz val="9"/>
        <color theme="1"/>
        <rFont val="Calibri"/>
        <family val="2"/>
      </rPr>
      <t xml:space="preserve"> </t>
    </r>
    <r>
      <rPr>
        <sz val="9"/>
        <color theme="1"/>
        <rFont val="맑은 고딕"/>
        <family val="3"/>
        <charset val="129"/>
      </rPr>
      <t>칠서면</t>
    </r>
    <r>
      <rPr>
        <sz val="9"/>
        <color theme="1"/>
        <rFont val="Calibri"/>
        <family val="2"/>
      </rPr>
      <t xml:space="preserve"> </t>
    </r>
    <r>
      <rPr>
        <sz val="9"/>
        <color theme="1"/>
        <rFont val="맑은 고딕"/>
        <family val="3"/>
        <charset val="129"/>
      </rPr>
      <t>대치리</t>
    </r>
    <r>
      <rPr>
        <sz val="9"/>
        <color theme="1"/>
        <rFont val="Calibri"/>
        <family val="2"/>
      </rPr>
      <t xml:space="preserve"> 555-4</t>
    </r>
  </si>
  <si>
    <t>n/a</t>
  </si>
  <si>
    <t>Factory</t>
  </si>
  <si>
    <t>Rooftop</t>
  </si>
  <si>
    <t>Boner Solar</t>
  </si>
  <si>
    <t>Rooftop PV</t>
  </si>
  <si>
    <t>Boner 2</t>
  </si>
  <si>
    <t>603, Ugeo-ri, Beopsu-myeon, Haman-gun, Gyeongsangnam-do</t>
  </si>
  <si>
    <r>
      <rPr>
        <sz val="9"/>
        <color theme="1"/>
        <rFont val="맑은 고딕"/>
        <family val="3"/>
        <charset val="129"/>
      </rPr>
      <t>경남</t>
    </r>
    <r>
      <rPr>
        <sz val="9"/>
        <color theme="1"/>
        <rFont val="Calibri"/>
        <family val="2"/>
      </rPr>
      <t xml:space="preserve"> </t>
    </r>
    <r>
      <rPr>
        <sz val="9"/>
        <color theme="1"/>
        <rFont val="맑은 고딕"/>
        <family val="3"/>
        <charset val="129"/>
      </rPr>
      <t>함안군</t>
    </r>
    <r>
      <rPr>
        <sz val="9"/>
        <color theme="1"/>
        <rFont val="Calibri"/>
        <family val="2"/>
      </rPr>
      <t xml:space="preserve"> </t>
    </r>
    <r>
      <rPr>
        <sz val="9"/>
        <color theme="1"/>
        <rFont val="맑은 고딕"/>
        <family val="3"/>
        <charset val="129"/>
      </rPr>
      <t>법수면</t>
    </r>
    <r>
      <rPr>
        <sz val="9"/>
        <color theme="1"/>
        <rFont val="Calibri"/>
        <family val="2"/>
      </rPr>
      <t xml:space="preserve"> </t>
    </r>
    <r>
      <rPr>
        <sz val="9"/>
        <color theme="1"/>
        <rFont val="맑은 고딕"/>
        <family val="3"/>
        <charset val="129"/>
      </rPr>
      <t>우거리</t>
    </r>
    <r>
      <rPr>
        <sz val="9"/>
        <color theme="1"/>
        <rFont val="Calibri"/>
        <family val="2"/>
      </rPr>
      <t xml:space="preserve"> 603 </t>
    </r>
    <r>
      <rPr>
        <sz val="9"/>
        <color theme="1"/>
        <rFont val="맑은 고딕"/>
        <family val="3"/>
        <charset val="129"/>
      </rPr>
      <t>동해기계㈜</t>
    </r>
  </si>
  <si>
    <t>Boner 3</t>
  </si>
  <si>
    <t>74, Gangju 3-gil, Beopsu-myeon, Haman-gun, Gyeongsangnam-do</t>
  </si>
  <si>
    <r>
      <rPr>
        <sz val="9"/>
        <color theme="1"/>
        <rFont val="맑은 고딕"/>
        <family val="3"/>
        <charset val="129"/>
      </rPr>
      <t>경남</t>
    </r>
    <r>
      <rPr>
        <sz val="9"/>
        <color theme="1"/>
        <rFont val="Calibri"/>
        <family val="2"/>
      </rPr>
      <t xml:space="preserve"> </t>
    </r>
    <r>
      <rPr>
        <sz val="9"/>
        <color theme="1"/>
        <rFont val="맑은 고딕"/>
        <family val="3"/>
        <charset val="129"/>
      </rPr>
      <t>함안군</t>
    </r>
    <r>
      <rPr>
        <sz val="9"/>
        <color theme="1"/>
        <rFont val="Calibri"/>
        <family val="2"/>
      </rPr>
      <t xml:space="preserve"> </t>
    </r>
    <r>
      <rPr>
        <sz val="9"/>
        <color theme="1"/>
        <rFont val="맑은 고딕"/>
        <family val="3"/>
        <charset val="129"/>
      </rPr>
      <t>법수면</t>
    </r>
    <r>
      <rPr>
        <sz val="9"/>
        <color theme="1"/>
        <rFont val="Calibri"/>
        <family val="2"/>
      </rPr>
      <t xml:space="preserve"> </t>
    </r>
    <r>
      <rPr>
        <sz val="9"/>
        <color theme="1"/>
        <rFont val="맑은 고딕"/>
        <family val="3"/>
        <charset val="129"/>
      </rPr>
      <t>강주리</t>
    </r>
    <r>
      <rPr>
        <sz val="9"/>
        <color theme="1"/>
        <rFont val="Calibri"/>
        <family val="2"/>
      </rPr>
      <t xml:space="preserve"> 723-1</t>
    </r>
  </si>
  <si>
    <t>Boner 5</t>
  </si>
  <si>
    <t>37, Megapolliseu 1-ro, Daesowon-myeon, Chungju-si, Chungcheongbuk-do</t>
  </si>
  <si>
    <r>
      <rPr>
        <sz val="9"/>
        <color theme="1"/>
        <rFont val="맑은 고딕"/>
        <family val="3"/>
        <charset val="129"/>
      </rPr>
      <t>충청북도</t>
    </r>
    <r>
      <rPr>
        <sz val="9"/>
        <color theme="1"/>
        <rFont val="Calibri"/>
        <family val="2"/>
      </rPr>
      <t xml:space="preserve"> </t>
    </r>
    <r>
      <rPr>
        <sz val="9"/>
        <color theme="1"/>
        <rFont val="맑은 고딕"/>
        <family val="3"/>
        <charset val="129"/>
      </rPr>
      <t>충주시</t>
    </r>
    <r>
      <rPr>
        <sz val="9"/>
        <color theme="1"/>
        <rFont val="Calibri"/>
        <family val="2"/>
      </rPr>
      <t xml:space="preserve"> </t>
    </r>
    <r>
      <rPr>
        <sz val="9"/>
        <color theme="1"/>
        <rFont val="맑은 고딕"/>
        <family val="3"/>
        <charset val="129"/>
      </rPr>
      <t>대소원면</t>
    </r>
    <r>
      <rPr>
        <sz val="9"/>
        <color theme="1"/>
        <rFont val="Calibri"/>
        <family val="2"/>
      </rPr>
      <t xml:space="preserve"> </t>
    </r>
    <r>
      <rPr>
        <sz val="9"/>
        <color theme="1"/>
        <rFont val="맑은 고딕"/>
        <family val="3"/>
        <charset val="129"/>
      </rPr>
      <t>메가폴리스</t>
    </r>
    <r>
      <rPr>
        <sz val="9"/>
        <color theme="1"/>
        <rFont val="Calibri"/>
        <family val="2"/>
      </rPr>
      <t xml:space="preserve"> 1</t>
    </r>
    <r>
      <rPr>
        <sz val="9"/>
        <color theme="1"/>
        <rFont val="맑은 고딕"/>
        <family val="3"/>
        <charset val="129"/>
      </rPr>
      <t>로</t>
    </r>
    <r>
      <rPr>
        <sz val="9"/>
        <color theme="1"/>
        <rFont val="Calibri"/>
        <family val="2"/>
      </rPr>
      <t xml:space="preserve"> 37 </t>
    </r>
  </si>
  <si>
    <t>Boner 8</t>
  </si>
  <si>
    <t>57, Eogokgongdan 7-gil, Yangsan-si, Gyeongsangnam-do</t>
  </si>
  <si>
    <r>
      <rPr>
        <sz val="9"/>
        <color theme="1"/>
        <rFont val="맑은 고딕"/>
        <family val="3"/>
        <charset val="129"/>
      </rPr>
      <t>경상북도</t>
    </r>
    <r>
      <rPr>
        <sz val="9"/>
        <color theme="1"/>
        <rFont val="Calibri"/>
        <family val="2"/>
      </rPr>
      <t xml:space="preserve"> </t>
    </r>
    <r>
      <rPr>
        <sz val="9"/>
        <color theme="1"/>
        <rFont val="맑은 고딕"/>
        <family val="3"/>
        <charset val="129"/>
      </rPr>
      <t>양산시</t>
    </r>
    <r>
      <rPr>
        <sz val="9"/>
        <color theme="1"/>
        <rFont val="Calibri"/>
        <family val="2"/>
      </rPr>
      <t xml:space="preserve"> </t>
    </r>
    <r>
      <rPr>
        <sz val="9"/>
        <color theme="1"/>
        <rFont val="맑은 고딕"/>
        <family val="3"/>
        <charset val="129"/>
      </rPr>
      <t>어곡공단</t>
    </r>
    <r>
      <rPr>
        <sz val="9"/>
        <color theme="1"/>
        <rFont val="Calibri"/>
        <family val="2"/>
      </rPr>
      <t>7</t>
    </r>
    <r>
      <rPr>
        <sz val="9"/>
        <color theme="1"/>
        <rFont val="맑은 고딕"/>
        <family val="3"/>
        <charset val="129"/>
      </rPr>
      <t>길</t>
    </r>
    <r>
      <rPr>
        <sz val="9"/>
        <color theme="1"/>
        <rFont val="Calibri"/>
        <family val="2"/>
      </rPr>
      <t xml:space="preserve"> 57</t>
    </r>
  </si>
  <si>
    <t>Boner 10</t>
  </si>
  <si>
    <t>7, Mieumgukje 6-ro, Gangseo-gu, Busan</t>
  </si>
  <si>
    <r>
      <rPr>
        <sz val="9"/>
        <color theme="1"/>
        <rFont val="맑은 고딕"/>
        <family val="3"/>
        <charset val="129"/>
      </rPr>
      <t>부산광역시</t>
    </r>
    <r>
      <rPr>
        <sz val="9"/>
        <color theme="1"/>
        <rFont val="Calibri"/>
        <family val="2"/>
      </rPr>
      <t xml:space="preserve"> </t>
    </r>
    <r>
      <rPr>
        <sz val="9"/>
        <color theme="1"/>
        <rFont val="맑은 고딕"/>
        <family val="3"/>
        <charset val="129"/>
      </rPr>
      <t>강서구</t>
    </r>
    <r>
      <rPr>
        <sz val="9"/>
        <color theme="1"/>
        <rFont val="Calibri"/>
        <family val="2"/>
      </rPr>
      <t xml:space="preserve"> </t>
    </r>
    <r>
      <rPr>
        <sz val="9"/>
        <color theme="1"/>
        <rFont val="맑은 고딕"/>
        <family val="3"/>
        <charset val="129"/>
      </rPr>
      <t>미음국제</t>
    </r>
    <r>
      <rPr>
        <sz val="9"/>
        <color theme="1"/>
        <rFont val="Calibri"/>
        <family val="2"/>
      </rPr>
      <t>6</t>
    </r>
    <r>
      <rPr>
        <sz val="9"/>
        <color theme="1"/>
        <rFont val="맑은 고딕"/>
        <family val="3"/>
        <charset val="129"/>
      </rPr>
      <t>로</t>
    </r>
    <r>
      <rPr>
        <sz val="9"/>
        <color theme="1"/>
        <rFont val="Calibri"/>
        <family val="2"/>
      </rPr>
      <t xml:space="preserve"> 7</t>
    </r>
  </si>
  <si>
    <t>Boner 11</t>
  </si>
  <si>
    <t>41, 1gongdan-ro 2-gil, Gumi-si,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</si>
  <si>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구미시</t>
    </r>
    <r>
      <rPr>
        <sz val="9"/>
        <color theme="1"/>
        <rFont val="Calibri"/>
        <family val="2"/>
      </rPr>
      <t xml:space="preserve"> </t>
    </r>
    <r>
      <rPr>
        <sz val="9"/>
        <color theme="1"/>
        <rFont val="맑은 고딕"/>
        <family val="3"/>
        <charset val="129"/>
      </rPr>
      <t>공단동</t>
    </r>
    <r>
      <rPr>
        <sz val="9"/>
        <color theme="1"/>
        <rFont val="Calibri"/>
        <family val="2"/>
      </rPr>
      <t xml:space="preserve"> 282-64</t>
    </r>
  </si>
  <si>
    <t>Boner 12</t>
  </si>
  <si>
    <t>398, Noksansaneopjung-ro, Gangseo-gu, Busan</t>
  </si>
  <si>
    <r>
      <rPr>
        <sz val="9"/>
        <color theme="1"/>
        <rFont val="맑은 고딕"/>
        <family val="3"/>
        <charset val="129"/>
      </rPr>
      <t>부산광역시</t>
    </r>
    <r>
      <rPr>
        <sz val="9"/>
        <color theme="1"/>
        <rFont val="Calibri"/>
        <family val="2"/>
      </rPr>
      <t xml:space="preserve"> </t>
    </r>
    <r>
      <rPr>
        <sz val="9"/>
        <color theme="1"/>
        <rFont val="맑은 고딕"/>
        <family val="3"/>
        <charset val="129"/>
      </rPr>
      <t>강서구</t>
    </r>
    <r>
      <rPr>
        <sz val="9"/>
        <color theme="1"/>
        <rFont val="Calibri"/>
        <family val="2"/>
      </rPr>
      <t xml:space="preserve"> </t>
    </r>
    <r>
      <rPr>
        <sz val="9"/>
        <color theme="1"/>
        <rFont val="맑은 고딕"/>
        <family val="3"/>
        <charset val="129"/>
      </rPr>
      <t>녹산산업중로</t>
    </r>
    <r>
      <rPr>
        <sz val="9"/>
        <color theme="1"/>
        <rFont val="Calibri"/>
        <family val="2"/>
      </rPr>
      <t xml:space="preserve"> 398(</t>
    </r>
    <r>
      <rPr>
        <sz val="9"/>
        <color theme="1"/>
        <rFont val="맑은 고딕"/>
        <family val="3"/>
        <charset val="129"/>
      </rPr>
      <t>송정동</t>
    </r>
    <r>
      <rPr>
        <sz val="9"/>
        <color theme="1"/>
        <rFont val="Calibri"/>
        <family val="2"/>
      </rPr>
      <t>)</t>
    </r>
  </si>
  <si>
    <t>Boner 13</t>
  </si>
  <si>
    <t>1, Munhyeongdongnim-ro 49beon-gil, Mohyeon-eup, Cheoin-gu, Yongin-si, Gyeonggi-do</t>
  </si>
  <si>
    <r>
      <rPr>
        <sz val="9"/>
        <color theme="1"/>
        <rFont val="맑은 고딕"/>
        <family val="3"/>
        <charset val="129"/>
      </rPr>
      <t>경기도</t>
    </r>
    <r>
      <rPr>
        <sz val="9"/>
        <color theme="1"/>
        <rFont val="Calibri"/>
        <family val="2"/>
      </rPr>
      <t xml:space="preserve"> </t>
    </r>
    <r>
      <rPr>
        <sz val="9"/>
        <color theme="1"/>
        <rFont val="맑은 고딕"/>
        <family val="3"/>
        <charset val="129"/>
      </rPr>
      <t>용인시</t>
    </r>
    <r>
      <rPr>
        <sz val="9"/>
        <color theme="1"/>
        <rFont val="Calibri"/>
        <family val="2"/>
      </rPr>
      <t xml:space="preserve"> </t>
    </r>
    <r>
      <rPr>
        <sz val="9"/>
        <color theme="1"/>
        <rFont val="맑은 고딕"/>
        <family val="3"/>
        <charset val="129"/>
      </rPr>
      <t>처인구</t>
    </r>
    <r>
      <rPr>
        <sz val="9"/>
        <color theme="1"/>
        <rFont val="Calibri"/>
        <family val="2"/>
      </rPr>
      <t xml:space="preserve"> </t>
    </r>
    <r>
      <rPr>
        <sz val="9"/>
        <color theme="1"/>
        <rFont val="맑은 고딕"/>
        <family val="3"/>
        <charset val="129"/>
      </rPr>
      <t>모현읍</t>
    </r>
    <r>
      <rPr>
        <sz val="9"/>
        <color theme="1"/>
        <rFont val="Calibri"/>
        <family val="2"/>
      </rPr>
      <t xml:space="preserve"> </t>
    </r>
    <r>
      <rPr>
        <sz val="9"/>
        <color theme="1"/>
        <rFont val="맑은 고딕"/>
        <family val="3"/>
        <charset val="129"/>
      </rPr>
      <t>동림리</t>
    </r>
    <r>
      <rPr>
        <sz val="9"/>
        <color theme="1"/>
        <rFont val="Calibri"/>
        <family val="2"/>
      </rPr>
      <t xml:space="preserve"> 155</t>
    </r>
  </si>
  <si>
    <t>Drne 1</t>
  </si>
  <si>
    <t>351,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</si>
  <si>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351</t>
    </r>
  </si>
  <si>
    <t>37.077911 / 128.990722</t>
  </si>
  <si>
    <t>Sungil Energy</t>
  </si>
  <si>
    <t>Drne 2</t>
  </si>
  <si>
    <t>330-1,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</si>
  <si>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330-1</t>
    </r>
  </si>
  <si>
    <t>37.078246 / 128.987168</t>
  </si>
  <si>
    <t>WangsanDaeki 9</t>
  </si>
  <si>
    <t>Drne 5</t>
  </si>
  <si>
    <t>373,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</si>
  <si>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373</t>
    </r>
  </si>
  <si>
    <t xml:space="preserve">37.081866 / 128.980149 </t>
  </si>
  <si>
    <t>Gwangmyeong</t>
  </si>
  <si>
    <t>Drne 6</t>
  </si>
  <si>
    <t>336,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</si>
  <si>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336</t>
    </r>
  </si>
  <si>
    <t>37.078474 / 128.983815</t>
  </si>
  <si>
    <t>WangsanDaeki 7</t>
  </si>
  <si>
    <t>Drne 7</t>
  </si>
  <si>
    <t>306-1,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</si>
  <si>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306-1</t>
    </r>
  </si>
  <si>
    <t>37.079454 / 128.980403</t>
  </si>
  <si>
    <t>Daewoo Solar</t>
  </si>
  <si>
    <t>Drne 8</t>
  </si>
  <si>
    <t>302,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</si>
  <si>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302 </t>
    </r>
  </si>
  <si>
    <t>37.077591 / 128.980871</t>
  </si>
  <si>
    <t>WangsanDaeki 11</t>
  </si>
  <si>
    <t>Drne 9</t>
  </si>
  <si>
    <t>297,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</si>
  <si>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297</t>
    </r>
  </si>
  <si>
    <t>37.079014 / 128.976915</t>
  </si>
  <si>
    <t>WangsanDaeki</t>
  </si>
  <si>
    <t>Drne 10</t>
  </si>
  <si>
    <t>294, Daehyeon-ri, Seokpo-myeon, Bonghwa-gun, Gyeongsangbuk-do</t>
  </si>
  <si>
    <r>
      <rPr>
        <sz val="9"/>
        <color theme="1"/>
        <rFont val="맑은 고딕"/>
        <family val="3"/>
        <charset val="129"/>
      </rPr>
      <t>경북</t>
    </r>
    <r>
      <rPr>
        <sz val="9"/>
        <color theme="1"/>
        <rFont val="Calibri"/>
        <family val="2"/>
      </rPr>
      <t xml:space="preserve"> </t>
    </r>
    <r>
      <rPr>
        <sz val="9"/>
        <color theme="1"/>
        <rFont val="맑은 고딕"/>
        <family val="3"/>
        <charset val="129"/>
      </rPr>
      <t>봉화군</t>
    </r>
    <r>
      <rPr>
        <sz val="9"/>
        <color theme="1"/>
        <rFont val="Calibri"/>
        <family val="2"/>
      </rPr>
      <t xml:space="preserve"> </t>
    </r>
    <r>
      <rPr>
        <sz val="9"/>
        <color theme="1"/>
        <rFont val="맑은 고딕"/>
        <family val="3"/>
        <charset val="129"/>
      </rPr>
      <t>석포면</t>
    </r>
    <r>
      <rPr>
        <sz val="9"/>
        <color theme="1"/>
        <rFont val="Calibri"/>
        <family val="2"/>
      </rPr>
      <t xml:space="preserve"> </t>
    </r>
    <r>
      <rPr>
        <sz val="9"/>
        <color theme="1"/>
        <rFont val="맑은 고딕"/>
        <family val="3"/>
        <charset val="129"/>
      </rPr>
      <t>대현리</t>
    </r>
    <r>
      <rPr>
        <sz val="9"/>
        <color theme="1"/>
        <rFont val="Calibri"/>
        <family val="2"/>
      </rPr>
      <t xml:space="preserve"> 294 </t>
    </r>
  </si>
  <si>
    <t>37.079421 / 128.974548</t>
  </si>
  <si>
    <t>Sunjin Solar 1</t>
  </si>
  <si>
    <t>Batch 2_RTB</t>
  </si>
  <si>
    <t>Project Site Address</t>
  </si>
  <si>
    <t>Permitted
 Capacity(kw)</t>
  </si>
  <si>
    <t>Specific Production
 [kWh/kWp]</t>
  </si>
  <si>
    <t>KIER</t>
  </si>
  <si>
    <t>AEP [MWh]</t>
  </si>
  <si>
    <t>Land Use</t>
  </si>
  <si>
    <t>Self Owned/Rented</t>
  </si>
  <si>
    <t>License Status</t>
  </si>
  <si>
    <t>Grid Connection Status</t>
  </si>
  <si>
    <t>EBL(1)</t>
  </si>
  <si>
    <t>Development
permit(2)</t>
  </si>
  <si>
    <t>Business
registration(3)</t>
  </si>
  <si>
    <t>Certified copy
of the register(4)</t>
  </si>
  <si>
    <t>Shareholder
register(5)</t>
  </si>
  <si>
    <t>Certificate of a
registered seal(6)</t>
  </si>
  <si>
    <t>Module Layout</t>
  </si>
  <si>
    <t>PPA agmt.(7)</t>
  </si>
  <si>
    <t>Sellers PPA to KEPCO</t>
  </si>
  <si>
    <t>Power of
Attorney(8)</t>
  </si>
  <si>
    <t>ID copy
of owner(9)</t>
  </si>
  <si>
    <t>GIA</t>
  </si>
  <si>
    <t>Lease agmt.</t>
  </si>
  <si>
    <t>day</t>
  </si>
  <si>
    <t>South</t>
  </si>
  <si>
    <t>East-West</t>
  </si>
  <si>
    <t>Date to be issued</t>
  </si>
  <si>
    <t>Date Expired</t>
  </si>
  <si>
    <t>Available to connect</t>
  </si>
  <si>
    <t>경북 봉화군 재산면 갈산리 2133,2135</t>
  </si>
  <si>
    <t>Self-Owned</t>
  </si>
  <si>
    <t>Development Permit Completed</t>
  </si>
  <si>
    <t>Second half of the year in 2026</t>
  </si>
  <si>
    <t>O</t>
  </si>
  <si>
    <t>x</t>
  </si>
  <si>
    <t>Jan '25</t>
  </si>
  <si>
    <t>경북 봉화군 재산면 갈산리 2134,2279</t>
  </si>
  <si>
    <t>Jan '27</t>
  </si>
  <si>
    <t>경북 봉화군 재산면 갈산리 2127,2280,2281</t>
  </si>
  <si>
    <t>경북 봉화군 재산면 갈산리 2127,2128</t>
  </si>
  <si>
    <t>=365*</t>
  </si>
  <si>
    <t>Hanil Jigyeong 1</t>
  </si>
  <si>
    <t>경상북도 영양군 석보면 지경리 98-1</t>
  </si>
  <si>
    <t>Mar '25</t>
  </si>
  <si>
    <t>Ho Duck4</t>
  </si>
  <si>
    <t>전라남도 고흥군 과역면 호덕리 12-4</t>
  </si>
  <si>
    <t>Sole proprietorship</t>
  </si>
  <si>
    <t>Jul '25</t>
  </si>
  <si>
    <t>Hanil Mugok 15</t>
  </si>
  <si>
    <t>경남 합천군 대양면 무곡리 351,352</t>
  </si>
  <si>
    <t>Till end by Construction</t>
  </si>
  <si>
    <t>Hanil Jigyeong 2</t>
  </si>
  <si>
    <t>경상북도 영양군 석보면 지경리 98-1, 산51-22</t>
  </si>
  <si>
    <t>May '26</t>
  </si>
  <si>
    <t>경북 봉화군 춘양면 우구치리 145-1,145-2</t>
  </si>
  <si>
    <t>Jun '26</t>
  </si>
  <si>
    <t>경북 봉화군 춘양면 우구치리 146-1,146-2</t>
  </si>
  <si>
    <t>경북 봉화군 춘양면 우구치리 141,142</t>
  </si>
  <si>
    <t>Rented(25yrs)</t>
  </si>
  <si>
    <t>Jangchon 1</t>
  </si>
  <si>
    <t>전남 해남군 마산면 장촌리 260,262,713-1,713-2,714,715,716</t>
  </si>
  <si>
    <t>Jul '26</t>
  </si>
  <si>
    <t>Masan 1</t>
  </si>
  <si>
    <t>충청북도 영동군 황간면 마산리 188</t>
  </si>
  <si>
    <t>Aug '26</t>
  </si>
  <si>
    <t>경북 봉화군 봉성면 봉양리 1126,1127,1129,1131,1137,1138</t>
  </si>
  <si>
    <t>경북 봉화군 봉성면 봉양리 1126,1127,1129,1131</t>
  </si>
  <si>
    <t>경북 봉화군 봉성면 봉양리 1513-1,1513-2</t>
  </si>
  <si>
    <t>경북 봉화군 봉성면 봉양리 1139,1140</t>
  </si>
  <si>
    <t>경북 봉화군 봉성면 봉양리 801,806,807,808</t>
  </si>
  <si>
    <t>MunChon Taeyang</t>
  </si>
  <si>
    <t>경북 봉화군 상운면 문촌리 401,402,403</t>
  </si>
  <si>
    <t>전북 남원시 대강면 월탄리 73,74</t>
  </si>
  <si>
    <t>EXPENSE FOERCAST</t>
    <phoneticPr fontId="9"/>
  </si>
  <si>
    <t>Next Step</t>
  </si>
  <si>
    <t xml:space="preserve"> Proyect Name</t>
  </si>
  <si>
    <t>Coordinates</t>
    <phoneticPr fontId="10"/>
  </si>
  <si>
    <t>Pipeline registration date</t>
  </si>
  <si>
    <t>DC</t>
    <phoneticPr fontId="10"/>
  </si>
  <si>
    <t>AC</t>
    <phoneticPr fontId="10"/>
  </si>
  <si>
    <t>PPA
Company</t>
  </si>
  <si>
    <t>GV COD
Mark</t>
    <phoneticPr fontId="9"/>
  </si>
  <si>
    <t>Utility Progress</t>
    <phoneticPr fontId="10"/>
  </si>
  <si>
    <t>Preliminary app date</t>
    <phoneticPr fontId="10"/>
  </si>
  <si>
    <t>Secondary app date</t>
    <phoneticPr fontId="9"/>
  </si>
  <si>
    <t>Secondary response date</t>
  </si>
  <si>
    <t>ICC reception date</t>
    <phoneticPr fontId="9"/>
  </si>
  <si>
    <t>Interconnection fee(KRW)</t>
    <phoneticPr fontId="9"/>
  </si>
  <si>
    <t>Utility construction period (months)</t>
  </si>
  <si>
    <t>Utility COD</t>
  </si>
  <si>
    <t>Utility COD</t>
    <phoneticPr fontId="9"/>
  </si>
  <si>
    <t>LOI
contract</t>
    <phoneticPr fontId="10"/>
  </si>
  <si>
    <t>Land Contract</t>
    <phoneticPr fontId="10"/>
  </si>
  <si>
    <t>Land Price(KRW)</t>
    <phoneticPr fontId="10"/>
  </si>
  <si>
    <t>Land Price/Pyeong</t>
    <phoneticPr fontId="10"/>
  </si>
  <si>
    <t>Lease Price(KRW)/Year</t>
    <phoneticPr fontId="10"/>
  </si>
  <si>
    <t>Lease Price/Pyeong /Year</t>
    <phoneticPr fontId="10"/>
  </si>
  <si>
    <t>Catg</t>
    <phoneticPr fontId="10"/>
  </si>
  <si>
    <r>
      <t>Land Area(</t>
    </r>
    <r>
      <rPr>
        <b/>
        <sz val="12"/>
        <color theme="0"/>
        <rFont val="游ゴシック"/>
        <family val="3"/>
        <charset val="128"/>
      </rPr>
      <t>㎡</t>
    </r>
    <r>
      <rPr>
        <b/>
        <sz val="12"/>
        <color theme="0"/>
        <rFont val="Calibri"/>
        <family val="2"/>
      </rPr>
      <t>)</t>
    </r>
    <phoneticPr fontId="10"/>
  </si>
  <si>
    <t>EBL</t>
  </si>
  <si>
    <t>EIA</t>
  </si>
  <si>
    <t>Development Permit</t>
  </si>
  <si>
    <t>GIA(Grid Interconnetion Agreement)</t>
  </si>
  <si>
    <t>Farmland only</t>
  </si>
  <si>
    <t>Cultural Property</t>
  </si>
  <si>
    <t>Forestland Development</t>
    <phoneticPr fontId="10"/>
  </si>
  <si>
    <t>Permits Cost estimation</t>
  </si>
  <si>
    <t>Land</t>
    <phoneticPr fontId="9"/>
  </si>
  <si>
    <t>Utility</t>
    <phoneticPr fontId="9"/>
  </si>
  <si>
    <t>Permit</t>
    <phoneticPr fontId="9"/>
  </si>
  <si>
    <t>Land /
Wp</t>
  </si>
  <si>
    <t>Utility /
Wp</t>
    <phoneticPr fontId="9"/>
  </si>
  <si>
    <t>Permit /
Wp</t>
    <phoneticPr fontId="9"/>
  </si>
  <si>
    <t>EPC /
Wp</t>
    <phoneticPr fontId="9"/>
  </si>
  <si>
    <t>Total / Wp</t>
    <phoneticPr fontId="9"/>
  </si>
  <si>
    <t>Last updated on</t>
    <phoneticPr fontId="10"/>
  </si>
  <si>
    <t>Specific Production (kWh/kAp/year)</t>
    <phoneticPr fontId="9"/>
  </si>
  <si>
    <t>ex project ower</t>
  </si>
  <si>
    <t>Project owner</t>
    <phoneticPr fontId="10"/>
  </si>
  <si>
    <t>SPC</t>
    <phoneticPr fontId="9"/>
  </si>
  <si>
    <t>Plant type</t>
    <phoneticPr fontId="10"/>
  </si>
  <si>
    <t>Description</t>
  </si>
  <si>
    <t>Batch 1 - YJ NANSAN 1</t>
    <phoneticPr fontId="9"/>
  </si>
  <si>
    <t>제주도 서귀포시 성산읍 난산리 2794</t>
    <phoneticPr fontId="9"/>
  </si>
  <si>
    <t>- EPC company has been decided as the DB company.
- Require site survey and get approved the detailed drawing by GV.
- Make a report to Jeju local government, KEPCO and Kesco(Korea Electrical Safety Corportation).
- After Kesco's approval -&gt; COD</t>
  </si>
  <si>
    <t>Batch 1 - YJ NANSAN 2</t>
    <phoneticPr fontId="9"/>
  </si>
  <si>
    <r>
      <rPr>
        <sz val="9"/>
        <color theme="1"/>
        <rFont val="맑은 고딕"/>
        <family val="3"/>
        <charset val="129"/>
        <scheme val="minor"/>
      </rPr>
      <t>제주도 서귀포시 성산읍 난산리 2794</t>
    </r>
    <phoneticPr fontId="9"/>
  </si>
  <si>
    <t>Batch 1 - YJ GASI 1</t>
    <phoneticPr fontId="9"/>
  </si>
  <si>
    <t>3097, Gasi-ri, Pyoseon-myeon, Seogwipo-si, Jeju-do</t>
    <phoneticPr fontId="9"/>
  </si>
  <si>
    <t>제주도 서귀포시 표선면 가시리 3097</t>
    <phoneticPr fontId="9"/>
  </si>
  <si>
    <t>Batch 1 - YJ GASI 2</t>
    <phoneticPr fontId="9"/>
  </si>
  <si>
    <t>Batch 1 - Dream 1</t>
    <phoneticPr fontId="9"/>
  </si>
  <si>
    <r>
      <rPr>
        <sz val="9"/>
        <color theme="1"/>
        <rFont val="맑은 고딕"/>
        <family val="3"/>
        <charset val="129"/>
        <scheme val="minor"/>
      </rPr>
      <t>제주도 서귀포시 남원읍 위미리 3745</t>
    </r>
    <phoneticPr fontId="9"/>
  </si>
  <si>
    <t>Batch 1 - Dream 2</t>
    <phoneticPr fontId="9"/>
  </si>
  <si>
    <r>
      <rPr>
        <sz val="9"/>
        <color theme="1"/>
        <rFont val="맑은 고딕"/>
        <family val="3"/>
        <charset val="129"/>
        <scheme val="major"/>
      </rPr>
      <t>제주도 서귀포시 남원읍 위미리 3745</t>
    </r>
    <phoneticPr fontId="9"/>
  </si>
  <si>
    <t>Batch 1 - JEIL TECH 1</t>
    <phoneticPr fontId="9"/>
  </si>
  <si>
    <t>Mountain 56, Sumang-ri, Namwon-eup, Seogwipo-si, Jeju-do</t>
    <phoneticPr fontId="9"/>
  </si>
  <si>
    <t>제주도 서귀포시 남원읍 수망리 산 56</t>
    <phoneticPr fontId="9"/>
  </si>
  <si>
    <t>Batch 1 - JEIL TECH 2</t>
    <phoneticPr fontId="9"/>
  </si>
  <si>
    <t>Mountain 56 &amp; 619 Sumang-ri, Namwon-eup, Seogwipo-si, Jeju-do</t>
    <phoneticPr fontId="9"/>
  </si>
  <si>
    <t>제주도 서귀포시 남원읍 수망리 619번지 &amp; 산 56</t>
    <phoneticPr fontId="9"/>
  </si>
  <si>
    <t>2133, Galsan-ri, Jaesan-myeon, Bonghwa-gun, Gyeongsangbuk-do</t>
    <phoneticPr fontId="9"/>
  </si>
  <si>
    <t>전라남도 해남군 마산면 장촌리 260</t>
    <phoneticPr fontId="9"/>
  </si>
  <si>
    <t>34.603966 /126.581118</t>
    <phoneticPr fontId="9"/>
  </si>
  <si>
    <t>충북 영동군 황간면 마산리 188</t>
    <phoneticPr fontId="9"/>
  </si>
  <si>
    <t>34.760916 /127.164863</t>
    <phoneticPr fontId="9"/>
  </si>
  <si>
    <t>경상북도 합천군 대양면 무곡리 351</t>
    <phoneticPr fontId="9"/>
  </si>
  <si>
    <t>35.528860 / 128.202764</t>
    <phoneticPr fontId="9"/>
  </si>
  <si>
    <t>경상북도 봉화군 재산면 갈산리 2133</t>
    <phoneticPr fontId="9"/>
  </si>
  <si>
    <t>36.852391 / 128.961792</t>
    <phoneticPr fontId="9"/>
  </si>
  <si>
    <t>Galsan, Mineuri, Saegol, Jaesan</t>
    <phoneticPr fontId="9"/>
  </si>
  <si>
    <t>경상북도 봉화군 춘양면 우구치리 145-1</t>
    <phoneticPr fontId="9"/>
  </si>
  <si>
    <t>37.066663 / 128.772237</t>
    <phoneticPr fontId="9"/>
  </si>
  <si>
    <t>Seodeul, Siwol, Guemjeong</t>
    <phoneticPr fontId="9"/>
  </si>
  <si>
    <t>260, Jangchon-ri, Masan-myeon, Haenam-gun, Jeollanam-do</t>
    <phoneticPr fontId="9"/>
  </si>
  <si>
    <t>Batch 2 - SooAm 1</t>
  </si>
  <si>
    <t>- The land owner is going to proceed with the development action in person and OG will pay them for the sales and permitting amounts.
Appr. KRW 50milion/MW (M&amp;A) + KRW 400milion/MW (Development incl. DAP) + KRW 20milion/MW (Broker fee) + KRW 900mil-1billion/MW = Total KRW 1.4 bilion/MW
The detailed information will be updated.</t>
  </si>
  <si>
    <t>Batch 2 - SooAm 2</t>
  </si>
  <si>
    <t>Batch 2 - SooAm 3</t>
  </si>
  <si>
    <t>Batch 2 - SooAm 4</t>
  </si>
  <si>
    <t>Batch 2 - SooAm 5</t>
  </si>
  <si>
    <t>Batch 2 - SooAm 6</t>
  </si>
  <si>
    <t>Batch 2 - SooAm 7</t>
  </si>
  <si>
    <t>Batch 2 - SooAm 8</t>
  </si>
  <si>
    <t>Batch 2 - SooAm 9</t>
  </si>
  <si>
    <t>Total 17.5MW</t>
  </si>
  <si>
    <t>Ground Mounted-PV Organic</t>
    <phoneticPr fontId="19" type="noConversion"/>
  </si>
  <si>
    <t>EXPENSE FORECAST (KRW)</t>
  </si>
  <si>
    <t>Project Name</t>
  </si>
  <si>
    <t>PD</t>
  </si>
  <si>
    <t>PM</t>
  </si>
  <si>
    <t>Development Act Permit</t>
  </si>
  <si>
    <t>Comments</t>
    <phoneticPr fontId="10"/>
  </si>
  <si>
    <t>DG-PV M&amp;A</t>
  </si>
  <si>
    <t>Unit: KRW</t>
  </si>
  <si>
    <t>INTERNAL</t>
    <phoneticPr fontId="10"/>
  </si>
  <si>
    <t>EXPENSE FORECAST(KRW)</t>
    <phoneticPr fontId="10"/>
  </si>
  <si>
    <t>Coordinates
N / E</t>
    <phoneticPr fontId="74" type="noConversion"/>
  </si>
  <si>
    <t>NEH
(Year)</t>
  </si>
  <si>
    <t>DC
(kWp)</t>
    <phoneticPr fontId="74" type="noConversion"/>
  </si>
  <si>
    <t>Roof  Lease Price/kW/Year</t>
  </si>
  <si>
    <t>Roof Area(㎡)</t>
  </si>
  <si>
    <t>DAP</t>
  </si>
  <si>
    <t>Grid available to connect</t>
  </si>
  <si>
    <t>Utility /
Wp</t>
  </si>
  <si>
    <t>Permit /
Wp</t>
  </si>
  <si>
    <t>EPC /
Wp</t>
  </si>
  <si>
    <t>Total / Wp</t>
  </si>
  <si>
    <t>Last 
updated on</t>
    <phoneticPr fontId="74" type="noConversion"/>
  </si>
  <si>
    <t>Supply
Voltage (V)</t>
    <phoneticPr fontId="74" type="noConversion"/>
  </si>
  <si>
    <t>Module 
Type</t>
    <phoneticPr fontId="74" type="noConversion"/>
  </si>
  <si>
    <t>No. of Module</t>
    <phoneticPr fontId="74" type="noConversion"/>
  </si>
  <si>
    <t>Project owner</t>
  </si>
  <si>
    <t>Roof Lease amount/kWp</t>
    <phoneticPr fontId="74" type="noConversion"/>
  </si>
  <si>
    <t>Annual  Roof Lease Payment</t>
    <phoneticPr fontId="74" type="noConversion"/>
  </si>
  <si>
    <t>Pre-payment (Year)</t>
    <phoneticPr fontId="74" type="noConversion"/>
  </si>
  <si>
    <t>Pre-payment  Amount</t>
    <phoneticPr fontId="74" type="noConversion"/>
  </si>
  <si>
    <t>Brokerage 
Fee</t>
    <phoneticPr fontId="74" type="noConversion"/>
  </si>
  <si>
    <t>Remark</t>
    <phoneticPr fontId="74" type="noConversion"/>
  </si>
  <si>
    <t>POSN2-1HO</t>
    <phoneticPr fontId="10"/>
  </si>
  <si>
    <t>14, Yuchonsandan 1-gil, Geumwang-eup, Eumseong-gun, Chungcheongbuk-do</t>
  </si>
  <si>
    <r>
      <rPr>
        <sz val="9"/>
        <color theme="1"/>
        <rFont val="맑은 고딕"/>
        <family val="3"/>
        <charset val="129"/>
      </rPr>
      <t>충청북도</t>
    </r>
    <r>
      <rPr>
        <sz val="9"/>
        <color theme="1"/>
        <rFont val="Calibri"/>
        <family val="2"/>
      </rPr>
      <t xml:space="preserve"> </t>
    </r>
    <r>
      <rPr>
        <sz val="9"/>
        <color theme="1"/>
        <rFont val="맑은 고딕"/>
        <family val="3"/>
        <charset val="129"/>
      </rPr>
      <t>음성군</t>
    </r>
    <r>
      <rPr>
        <sz val="9"/>
        <color theme="1"/>
        <rFont val="Calibri"/>
        <family val="2"/>
      </rPr>
      <t xml:space="preserve"> </t>
    </r>
    <r>
      <rPr>
        <sz val="9"/>
        <color theme="1"/>
        <rFont val="맑은 고딕"/>
        <family val="3"/>
        <charset val="129"/>
      </rPr>
      <t>금왕읍</t>
    </r>
    <r>
      <rPr>
        <sz val="9"/>
        <color theme="1"/>
        <rFont val="Calibri"/>
        <family val="2"/>
      </rPr>
      <t xml:space="preserve"> </t>
    </r>
    <r>
      <rPr>
        <sz val="9"/>
        <color theme="1"/>
        <rFont val="맑은 고딕"/>
        <family val="3"/>
        <charset val="129"/>
      </rPr>
      <t>유촌리</t>
    </r>
    <r>
      <rPr>
        <sz val="9"/>
        <color theme="1"/>
        <rFont val="Calibri"/>
        <family val="2"/>
      </rPr>
      <t xml:space="preserve"> 779</t>
    </r>
    <phoneticPr fontId="74" type="noConversion"/>
  </si>
  <si>
    <t>36.954473 / 127.563122</t>
  </si>
  <si>
    <t>Eumseong, Chungbuk</t>
    <phoneticPr fontId="74" type="noConversion"/>
  </si>
  <si>
    <t>Yes</t>
  </si>
  <si>
    <t>By 06 Apr '26</t>
  </si>
  <si>
    <t>Yes</t>
    <phoneticPr fontId="74" type="noConversion"/>
  </si>
  <si>
    <t>By 31 Dec '26</t>
  </si>
  <si>
    <t>Hanjeon PPA Applied</t>
    <phoneticPr fontId="74" type="noConversion"/>
  </si>
  <si>
    <t>NamEumseong S/S, Ingok D/L_10.6MW</t>
  </si>
  <si>
    <t>Next S</t>
    <phoneticPr fontId="74" type="noConversion"/>
  </si>
  <si>
    <t>380V</t>
  </si>
  <si>
    <t>SL65-78TDP-600S</t>
  </si>
  <si>
    <t>Next S</t>
  </si>
  <si>
    <r>
      <t>The capacity was 345.6kW but on PPA application it's applied</t>
    </r>
    <r>
      <rPr>
        <b/>
        <sz val="9"/>
        <color theme="1"/>
        <rFont val="Calibri"/>
        <family val="2"/>
      </rPr>
      <t xml:space="preserve"> 362.88kW</t>
    </r>
    <r>
      <rPr>
        <sz val="9"/>
        <color theme="1"/>
        <rFont val="Calibri"/>
        <family val="2"/>
      </rPr>
      <t>. Upfront 1-5years of lease: 10% discount, annually shall be paid from the 6th year. Pay 90% of Devex at SPA signing and rest 10% at DAP completion (TBC)</t>
    </r>
    <phoneticPr fontId="10"/>
  </si>
  <si>
    <t xml:space="preserve"> </t>
  </si>
  <si>
    <t>POSN2-3HO</t>
    <phoneticPr fontId="10"/>
  </si>
  <si>
    <t>278-48 &amp; 7 lots(413-11, 334-3, 336-1, 333-2, 332-2, 413-10, 316-4), Deokgeum-ro, Jincheon-eup, Jincheon-gun, Chungcheongbuk-do</t>
  </si>
  <si>
    <r>
      <rPr>
        <sz val="9"/>
        <color rgb="FF000000"/>
        <rFont val="맑은 고딕"/>
        <family val="3"/>
        <charset val="129"/>
      </rPr>
      <t>충청북도</t>
    </r>
    <r>
      <rPr>
        <sz val="9"/>
        <color rgb="FF000000"/>
        <rFont val="Calibri"/>
        <family val="2"/>
      </rPr>
      <t xml:space="preserve"> </t>
    </r>
    <r>
      <rPr>
        <sz val="9"/>
        <color rgb="FF000000"/>
        <rFont val="맑은 고딕"/>
        <family val="3"/>
        <charset val="129"/>
      </rPr>
      <t>진천군</t>
    </r>
    <r>
      <rPr>
        <sz val="9"/>
        <color rgb="FF000000"/>
        <rFont val="Calibri"/>
        <family val="2"/>
      </rPr>
      <t xml:space="preserve"> </t>
    </r>
    <r>
      <rPr>
        <sz val="9"/>
        <color rgb="FF000000"/>
        <rFont val="맑은 고딕"/>
        <family val="3"/>
        <charset val="129"/>
      </rPr>
      <t>진천읍</t>
    </r>
    <r>
      <rPr>
        <sz val="9"/>
        <color rgb="FF000000"/>
        <rFont val="Calibri"/>
        <family val="2"/>
      </rPr>
      <t xml:space="preserve"> 상신리 310-5번지 외 7필지</t>
    </r>
  </si>
  <si>
    <t>Jincheon, Chungbuk</t>
    <phoneticPr fontId="74" type="noConversion"/>
  </si>
  <si>
    <t>By 25 Sep '27</t>
  </si>
  <si>
    <t>By 31 Oct '25</t>
  </si>
  <si>
    <t>Deoksan S/S, Sangshin D/L_3MW</t>
  </si>
  <si>
    <t>SL65-78TDP-630S</t>
  </si>
  <si>
    <t>Upfront 1- 5years of lease: 10% discount, annually shall be paid from the 6th year.</t>
    <phoneticPr fontId="10"/>
  </si>
  <si>
    <t>POSN2-4HO</t>
    <phoneticPr fontId="10"/>
  </si>
  <si>
    <t>77, Chungjusandan 7-ro, Chungju-si, Chungcheongbuk-do</t>
  </si>
  <si>
    <r>
      <rPr>
        <sz val="9"/>
        <color theme="1"/>
        <rFont val="맑은 고딕"/>
        <family val="3"/>
        <charset val="129"/>
      </rPr>
      <t>충청북도</t>
    </r>
    <r>
      <rPr>
        <sz val="9"/>
        <color theme="1"/>
        <rFont val="Calibri"/>
        <family val="2"/>
      </rPr>
      <t xml:space="preserve"> </t>
    </r>
    <r>
      <rPr>
        <sz val="9"/>
        <color theme="1"/>
        <rFont val="맑은 고딕"/>
        <family val="3"/>
        <charset val="129"/>
      </rPr>
      <t>충주시</t>
    </r>
    <r>
      <rPr>
        <sz val="9"/>
        <color theme="1"/>
        <rFont val="Calibri"/>
        <family val="2"/>
      </rPr>
      <t xml:space="preserve"> </t>
    </r>
    <r>
      <rPr>
        <sz val="9"/>
        <color theme="1"/>
        <rFont val="맑은 고딕"/>
        <family val="3"/>
        <charset val="129"/>
      </rPr>
      <t>충주산단</t>
    </r>
    <r>
      <rPr>
        <sz val="9"/>
        <color theme="1"/>
        <rFont val="Calibri"/>
        <family val="2"/>
      </rPr>
      <t>7</t>
    </r>
    <r>
      <rPr>
        <sz val="9"/>
        <color theme="1"/>
        <rFont val="맑은 고딕"/>
        <family val="3"/>
        <charset val="129"/>
      </rPr>
      <t>로</t>
    </r>
    <r>
      <rPr>
        <sz val="9"/>
        <color theme="1"/>
        <rFont val="Calibri"/>
        <family val="2"/>
      </rPr>
      <t xml:space="preserve"> 77</t>
    </r>
    <phoneticPr fontId="74" type="noConversion"/>
  </si>
  <si>
    <t>37.016515 / 127.953404</t>
  </si>
  <si>
    <t>Chungju, Chungbuk</t>
    <phoneticPr fontId="74" type="noConversion"/>
  </si>
  <si>
    <t>By 17 Nov '27</t>
  </si>
  <si>
    <t>Choonju S/S, Bolt D/L_5MW</t>
  </si>
  <si>
    <t>22.9kV</t>
  </si>
  <si>
    <t>Upfront 1-5years of lease: 10% discount, annually shall be paid from the 6th year.</t>
    <phoneticPr fontId="10"/>
  </si>
  <si>
    <t>POSN2-6HO</t>
    <phoneticPr fontId="10"/>
  </si>
  <si>
    <t>245, Gongdan 3-daero, Siheung-si, Gyeonggi-do</t>
  </si>
  <si>
    <r>
      <rPr>
        <sz val="9"/>
        <color theme="1"/>
        <rFont val="맑은 고딕"/>
        <family val="3"/>
        <charset val="129"/>
      </rPr>
      <t>경기도</t>
    </r>
    <r>
      <rPr>
        <sz val="9"/>
        <color theme="1"/>
        <rFont val="Calibri"/>
        <family val="2"/>
      </rPr>
      <t xml:space="preserve"> </t>
    </r>
    <r>
      <rPr>
        <sz val="9"/>
        <color theme="1"/>
        <rFont val="맑은 고딕"/>
        <family val="3"/>
        <charset val="129"/>
      </rPr>
      <t>시흥시</t>
    </r>
    <r>
      <rPr>
        <sz val="9"/>
        <color theme="1"/>
        <rFont val="Calibri"/>
        <family val="2"/>
      </rPr>
      <t xml:space="preserve"> </t>
    </r>
    <r>
      <rPr>
        <sz val="9"/>
        <color theme="1"/>
        <rFont val="맑은 고딕"/>
        <family val="3"/>
        <charset val="129"/>
      </rPr>
      <t>공단</t>
    </r>
    <r>
      <rPr>
        <sz val="9"/>
        <color theme="1"/>
        <rFont val="Calibri"/>
        <family val="2"/>
      </rPr>
      <t>3</t>
    </r>
    <r>
      <rPr>
        <sz val="9"/>
        <color theme="1"/>
        <rFont val="맑은 고딕"/>
        <family val="3"/>
        <charset val="129"/>
      </rPr>
      <t>대로</t>
    </r>
    <r>
      <rPr>
        <sz val="9"/>
        <color theme="1"/>
        <rFont val="Calibri"/>
        <family val="2"/>
      </rPr>
      <t xml:space="preserve"> 245</t>
    </r>
    <phoneticPr fontId="74" type="noConversion"/>
  </si>
  <si>
    <t>37.321046 / 126.714477</t>
  </si>
  <si>
    <t>Siheung, Gyeonggido</t>
    <phoneticPr fontId="74" type="noConversion"/>
  </si>
  <si>
    <t>By 05 Jun '26</t>
  </si>
  <si>
    <t>Accepted Jan '25</t>
  </si>
  <si>
    <t>NamJeongwang S/S, Miho D/L_4MW</t>
  </si>
  <si>
    <t>POSN2-8HO</t>
    <phoneticPr fontId="10"/>
  </si>
  <si>
    <t>89-24, Daegot-ro 328beon-gil, Daegot-myeon, Gimpo-si</t>
  </si>
  <si>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김포시</t>
    </r>
    <r>
      <rPr>
        <sz val="9"/>
        <color rgb="FF000000"/>
        <rFont val="Calibri"/>
        <family val="2"/>
      </rPr>
      <t xml:space="preserve"> </t>
    </r>
    <r>
      <rPr>
        <sz val="9"/>
        <color rgb="FF000000"/>
        <rFont val="맑은 고딕"/>
        <family val="3"/>
        <charset val="129"/>
      </rPr>
      <t>대곶면</t>
    </r>
    <r>
      <rPr>
        <sz val="9"/>
        <color rgb="FF000000"/>
        <rFont val="Calibri"/>
        <family val="2"/>
      </rPr>
      <t xml:space="preserve"> </t>
    </r>
    <r>
      <rPr>
        <sz val="9"/>
        <color rgb="FF000000"/>
        <rFont val="맑은 고딕"/>
        <family val="3"/>
        <charset val="129"/>
      </rPr>
      <t>석정리</t>
    </r>
    <r>
      <rPr>
        <sz val="9"/>
        <color rgb="FF000000"/>
        <rFont val="Calibri"/>
        <family val="2"/>
      </rPr>
      <t xml:space="preserve"> 169-27 가동,나동, 169-20 가동,나동. 169-32 건물 위</t>
    </r>
  </si>
  <si>
    <t>37.675322 / 126.560357</t>
  </si>
  <si>
    <t>Gimpo, Gyeonggido</t>
    <phoneticPr fontId="74" type="noConversion"/>
  </si>
  <si>
    <t>By 09 Jul '26</t>
  </si>
  <si>
    <t xml:space="preserve">Applied </t>
  </si>
  <si>
    <t>Hanjeon PPA Applied</t>
  </si>
  <si>
    <t>Yanggok S/S, Tongjin D/L_5MW</t>
  </si>
  <si>
    <t>Asan 500KW</t>
    <phoneticPr fontId="9"/>
  </si>
  <si>
    <t>234, Sinui-gil, Eumbong-myeon, Asan-si, Chungcheongnam-do</t>
    <phoneticPr fontId="9"/>
  </si>
  <si>
    <t>- Shall meet a seller to discuss further</t>
  </si>
  <si>
    <t>Boryeong 500KW</t>
  </si>
  <si>
    <t>57-17, Ungcheonsandan 2-gil, Ungcheon-eup, Boryeong-si, Chungcheongnam-do</t>
    <phoneticPr fontId="9"/>
  </si>
  <si>
    <t>- Shall meet a seller with Ken to discuss related to lease amount.</t>
  </si>
  <si>
    <t>Kwangyang port 7.5MW</t>
  </si>
  <si>
    <t>11, Hangman 3-ro, Gwangyang-si, Jeollanam-do</t>
    <phoneticPr fontId="9"/>
  </si>
  <si>
    <t>- Value proposal sent out to KL.
- According to the sub station status survey, Gwangyang sub station is full so new sub stations or DL should be considered.
- IRR : Appr. 9.65%</t>
  </si>
  <si>
    <t>Cheonan 5.3MW</t>
  </si>
  <si>
    <t>5, Saeteo-gil, Seonggeo-eup, Seobuk-gu, Cheonan-si, Chungcheongnam-do</t>
  </si>
  <si>
    <t xml:space="preserve">- 3 Storages. Batch 1: module 202ea(128.27kW), Batch 2: module 203ea(128.905kW), Batch3: module 7,953ea(5,050.155kW)/ Total: 5,307.33kW
- Require to visit the site to check the available DL Point(Confirmed Seonggeo SS #4 TR has left appr. 7MW)
- Require to confirm connection status and timing with KEPCO.
- IRR : Appr. 8.95% </t>
  </si>
  <si>
    <t>Kookje University</t>
  </si>
  <si>
    <t>Donate $6,000 in rent to scholarships</t>
  </si>
  <si>
    <t>Grid available '26-'27</t>
  </si>
  <si>
    <t xml:space="preserve">Sejin MSC </t>
  </si>
  <si>
    <t>Myeongil Curtain Wall</t>
  </si>
  <si>
    <t>계약예정</t>
  </si>
  <si>
    <t xml:space="preserve">Seoyong </t>
  </si>
  <si>
    <t>Yeoju NH Investment &amp; Securities</t>
  </si>
  <si>
    <t>From Kyobo Realco</t>
  </si>
  <si>
    <t>Icheon NH Investment &amp; Securities</t>
  </si>
  <si>
    <t>Chilgok Melon Asset No. 12 Specialized Investment Private Real Estate Investment (Co.)</t>
  </si>
  <si>
    <t>Seun Steel Busan Factory &amp; Warehouse Building</t>
  </si>
  <si>
    <t>Seun BNC</t>
  </si>
  <si>
    <t>Seun Steel Gyeongju</t>
  </si>
  <si>
    <t>Good Road</t>
  </si>
  <si>
    <t>KIC</t>
  </si>
  <si>
    <t>계약예정/ Grid available '26-'27</t>
  </si>
  <si>
    <t>Under lease</t>
  </si>
  <si>
    <t xml:space="preserve">Cosmo chemical </t>
  </si>
  <si>
    <t xml:space="preserve">MPM Trade </t>
  </si>
  <si>
    <t>Vision E&amp;C</t>
  </si>
  <si>
    <t xml:space="preserve">Medicox Gimhae </t>
  </si>
  <si>
    <t xml:space="preserve">Medicoxx Goseong </t>
  </si>
  <si>
    <t>Daesun Josun Bongrae</t>
  </si>
  <si>
    <t>Daesun Josun Dadae</t>
  </si>
  <si>
    <t>Fine vestil</t>
  </si>
  <si>
    <t>Dongil Steel</t>
  </si>
  <si>
    <t>Seyoung Tech</t>
  </si>
  <si>
    <t>Seji Solotech Busan</t>
  </si>
  <si>
    <t>Seji Solotech Ulsan</t>
  </si>
  <si>
    <t>Shingal Warehouse 1-2</t>
  </si>
  <si>
    <t>Seohae Industries</t>
  </si>
  <si>
    <t>Daekyung Industrial 1-1</t>
  </si>
  <si>
    <t>Daekyung Industrial 1-2</t>
  </si>
  <si>
    <t>GIS</t>
  </si>
  <si>
    <t>Korea E&amp;R</t>
  </si>
  <si>
    <t>Project name</t>
  </si>
  <si>
    <t xml:space="preserve"> kWp </t>
  </si>
  <si>
    <t>Location</t>
  </si>
  <si>
    <t>RtB date</t>
  </si>
  <si>
    <t>Cod date</t>
  </si>
  <si>
    <t>Seq.</t>
  </si>
  <si>
    <t>No.</t>
  </si>
  <si>
    <r>
      <t>Capacity</t>
    </r>
    <r>
      <rPr>
        <sz val="8"/>
        <color rgb="FFFFFFFF"/>
        <rFont val="Calibri"/>
        <family val="2"/>
      </rPr>
      <t>(kWp)</t>
    </r>
  </si>
  <si>
    <t>Grid connection</t>
  </si>
  <si>
    <t>Jinyoung Metal Factory 1</t>
  </si>
  <si>
    <t>Apr '25</t>
  </si>
  <si>
    <t>Oct '25</t>
  </si>
  <si>
    <t>①</t>
  </si>
  <si>
    <t xml:space="preserve">Sammi </t>
    <phoneticPr fontId="19" type="noConversion"/>
  </si>
  <si>
    <t>Incheon</t>
    <phoneticPr fontId="19" type="noConversion"/>
  </si>
  <si>
    <t xml:space="preserve">  12MW spare capacity</t>
    <phoneticPr fontId="19" type="noConversion"/>
  </si>
  <si>
    <t>Jinyoung Metal Factory 2</t>
    <phoneticPr fontId="19" type="noConversion"/>
  </si>
  <si>
    <t>Busan</t>
    <phoneticPr fontId="19" type="noConversion"/>
  </si>
  <si>
    <t>May '25</t>
  </si>
  <si>
    <t>Nov '25</t>
  </si>
  <si>
    <t>②</t>
    <phoneticPr fontId="19" type="noConversion"/>
  </si>
  <si>
    <t>MPM Trade</t>
    <phoneticPr fontId="19" type="noConversion"/>
  </si>
  <si>
    <t>Gyeonggi-do</t>
    <phoneticPr fontId="19" type="noConversion"/>
  </si>
  <si>
    <t>Chungcheongbuk-do</t>
    <phoneticPr fontId="19" type="noConversion"/>
  </si>
  <si>
    <t>③</t>
    <phoneticPr fontId="19" type="noConversion"/>
  </si>
  <si>
    <t xml:space="preserve">Tyson Foods Korea </t>
    <phoneticPr fontId="19" type="noConversion"/>
  </si>
  <si>
    <t>Sejong</t>
    <phoneticPr fontId="19" type="noConversion"/>
  </si>
  <si>
    <t xml:space="preserve"> 6MW spare capacity</t>
    <phoneticPr fontId="19" type="noConversion"/>
  </si>
  <si>
    <t>④</t>
    <phoneticPr fontId="19" type="noConversion"/>
  </si>
  <si>
    <t>BNB Composite</t>
    <phoneticPr fontId="19" type="noConversion"/>
  </si>
  <si>
    <t>Gyeongsangnam-do</t>
    <phoneticPr fontId="19" type="noConversion"/>
  </si>
  <si>
    <t xml:space="preserve">  5MW spare capacity</t>
    <phoneticPr fontId="19" type="noConversion"/>
  </si>
  <si>
    <t>Younggwang Industry*</t>
  </si>
  <si>
    <t>Jun '25</t>
  </si>
  <si>
    <t>Dec '25</t>
  </si>
  <si>
    <t xml:space="preserve">Oneel </t>
  </si>
  <si>
    <t xml:space="preserve"> 12MW spare capacity</t>
    <phoneticPr fontId="19" type="noConversion"/>
  </si>
  <si>
    <t>Esun*</t>
  </si>
  <si>
    <t>Kyunghan Korea 1</t>
  </si>
  <si>
    <t xml:space="preserve"> 10MW spare capacity</t>
    <phoneticPr fontId="19" type="noConversion"/>
  </si>
  <si>
    <t>Sejin SMC *</t>
  </si>
  <si>
    <t xml:space="preserve">  11MW spare capacity</t>
    <phoneticPr fontId="19" type="noConversion"/>
  </si>
  <si>
    <t>Seoyong*</t>
  </si>
  <si>
    <t>⑤</t>
    <phoneticPr fontId="19" type="noConversion"/>
  </si>
  <si>
    <t>Seun BNC</t>
    <phoneticPr fontId="19" type="noConversion"/>
  </si>
  <si>
    <t>Gyeongsangbuk-do</t>
    <phoneticPr fontId="19" type="noConversion"/>
  </si>
  <si>
    <t xml:space="preserve">   10MW spare capacity</t>
    <phoneticPr fontId="19" type="noConversion"/>
  </si>
  <si>
    <t>Ajin P&amp;S*</t>
  </si>
  <si>
    <t>Daegu</t>
    <phoneticPr fontId="19" type="noConversion"/>
  </si>
  <si>
    <t>Seun Steel Gyeongju</t>
    <phoneticPr fontId="19" type="noConversion"/>
  </si>
  <si>
    <t xml:space="preserve">  9MW spare capacity</t>
    <phoneticPr fontId="19" type="noConversion"/>
  </si>
  <si>
    <t>Cosmo chemical*</t>
  </si>
  <si>
    <t>Ulsan</t>
    <phoneticPr fontId="19" type="noConversion"/>
  </si>
  <si>
    <t>⑥</t>
    <phoneticPr fontId="19" type="noConversion"/>
  </si>
  <si>
    <t>Yooil Rubber 1</t>
    <phoneticPr fontId="19" type="noConversion"/>
  </si>
  <si>
    <t>8MW spare capacity</t>
    <phoneticPr fontId="19" type="noConversion"/>
  </si>
  <si>
    <t>Kyunghan Korea 1</t>
    <phoneticPr fontId="19" type="noConversion"/>
  </si>
  <si>
    <t>Eco Inshutech*</t>
  </si>
  <si>
    <t>Yooil Rubber 2</t>
    <phoneticPr fontId="19" type="noConversion"/>
  </si>
  <si>
    <t>Myunghyun Tech</t>
  </si>
  <si>
    <t>Jeonjin Tech</t>
  </si>
  <si>
    <t>Total kWp</t>
  </si>
  <si>
    <t>서류준비는 끝났으나 담당이사님 (임영화)이 오늘까지 연차여서 SPA 도장이 늦는다</t>
    <phoneticPr fontId="19" type="noConversion"/>
  </si>
  <si>
    <t xml:space="preserve">AT Hakjang </t>
  </si>
  <si>
    <t>부산 15ea</t>
  </si>
  <si>
    <t>Industrial Technology</t>
  </si>
  <si>
    <t>Lee Won Precision Co.</t>
  </si>
  <si>
    <t>Lee Won Precision Co. Factory 1</t>
  </si>
  <si>
    <t>Vision E&amp;C Roof Top</t>
  </si>
  <si>
    <t>충북 3ea</t>
  </si>
  <si>
    <t>Nurungji</t>
  </si>
  <si>
    <t>충남 5ea</t>
  </si>
  <si>
    <t>Lux Electric</t>
  </si>
  <si>
    <t>대구 1ea</t>
  </si>
  <si>
    <t>강원도 1ea</t>
  </si>
  <si>
    <t>Myeongju</t>
  </si>
  <si>
    <t>경기도 37ea</t>
  </si>
  <si>
    <t xml:space="preserve">Myeongil Curtain Wall </t>
  </si>
  <si>
    <t>MPM Trade Roof Top</t>
  </si>
  <si>
    <t>Singal logistics storage 1</t>
  </si>
  <si>
    <t>Singal logistics storage 1-1</t>
  </si>
  <si>
    <t>Seohae Industry</t>
  </si>
  <si>
    <t>Daegyung Industry 1-1</t>
  </si>
  <si>
    <t>Daegyung Industry 1-2</t>
  </si>
  <si>
    <t>Gyeonggi Curtain Wall 1-1</t>
  </si>
  <si>
    <t>Gyeonggi Curtain Wall 1-2</t>
  </si>
  <si>
    <t>Lee Sang Bok</t>
  </si>
  <si>
    <t xml:space="preserve">Gyeonggi Changho </t>
  </si>
  <si>
    <t>Oh Sung-young/Oh Se-geun(Private property)</t>
  </si>
  <si>
    <t>GTI Co.</t>
  </si>
  <si>
    <t>Sunkyung Industry (building owned by the representative)</t>
  </si>
  <si>
    <t>Lee Je-hoon (building owned by an individual)</t>
  </si>
  <si>
    <t>Shinyang Mecatech Co.</t>
  </si>
  <si>
    <t>Yale Hightech 1-1 Co.</t>
  </si>
  <si>
    <t>Yale Hightech 1-2 Co.</t>
  </si>
  <si>
    <t>Fine clean Co.</t>
  </si>
  <si>
    <t>Oracom Co.</t>
  </si>
  <si>
    <t>Boseung Co.</t>
  </si>
  <si>
    <t>Taesung Chemical</t>
  </si>
  <si>
    <t>World Paper</t>
  </si>
  <si>
    <t>Chemsfield Korea</t>
  </si>
  <si>
    <t>World paper 1-2</t>
  </si>
  <si>
    <t>경북 8ea</t>
  </si>
  <si>
    <t>Chilgok Melon Asset No. 12 Specialized Investment Private Real Estate Investment</t>
  </si>
  <si>
    <t>Medicox Gimhae</t>
  </si>
  <si>
    <t>Medicox Goseong</t>
  </si>
  <si>
    <t>경남 16ea</t>
  </si>
  <si>
    <t>Forex-Changwon</t>
  </si>
  <si>
    <t>Forex-Jinju</t>
  </si>
  <si>
    <t>Shin Mi-ok (building owned by an individual)</t>
  </si>
  <si>
    <t>Songwol Towel Noryong</t>
  </si>
  <si>
    <t>Daekyung Susan</t>
  </si>
  <si>
    <t>Kangsung Industry</t>
  </si>
  <si>
    <t>Taewon Industry</t>
  </si>
  <si>
    <t xml:space="preserve">Hanjin Susan </t>
  </si>
  <si>
    <t>Seunsteel Changwon</t>
  </si>
  <si>
    <t>인천 1ea</t>
  </si>
  <si>
    <t>전북 1ea</t>
  </si>
  <si>
    <t>AT Jangseong</t>
  </si>
  <si>
    <t>전남 1ea</t>
  </si>
  <si>
    <t>울산 2ea</t>
  </si>
  <si>
    <t>세종 1ea</t>
  </si>
  <si>
    <t>Tyson Foods Korea</t>
  </si>
  <si>
    <t>Quarterly Business Development Projection Analysis</t>
    <phoneticPr fontId="9"/>
  </si>
  <si>
    <r>
      <t>Project</t>
    </r>
    <r>
      <rPr>
        <b/>
        <sz val="8"/>
        <color rgb="FF0000FF"/>
        <rFont val="Calibri"/>
        <family val="2"/>
      </rPr>
      <t>*</t>
    </r>
    <r>
      <rPr>
        <b/>
        <sz val="8"/>
        <color theme="1"/>
        <rFont val="Calibri"/>
        <family val="2"/>
      </rPr>
      <t xml:space="preserve"> : Previously granted approval</t>
    </r>
    <phoneticPr fontId="9"/>
  </si>
  <si>
    <t xml:space="preserve">
[Unit: KRW K, Incl. VAT 10%]</t>
    <phoneticPr fontId="10"/>
  </si>
  <si>
    <t>DG Batch</t>
    <phoneticPr fontId="9"/>
  </si>
  <si>
    <t>No.</t>
    <phoneticPr fontId="10"/>
  </si>
  <si>
    <t>Project Name</t>
    <phoneticPr fontId="9"/>
  </si>
  <si>
    <t>Bank</t>
    <phoneticPr fontId="9"/>
  </si>
  <si>
    <t>Bank  Account Number</t>
    <phoneticPr fontId="9"/>
  </si>
  <si>
    <t>Coordinates
N / E</t>
  </si>
  <si>
    <t>Location</t>
    <phoneticPr fontId="10"/>
  </si>
  <si>
    <t>Specific Production  (MWh/year)</t>
    <phoneticPr fontId="10"/>
  </si>
  <si>
    <t>Grid 
constraint</t>
    <phoneticPr fontId="9"/>
  </si>
  <si>
    <t>kWp</t>
    <phoneticPr fontId="10"/>
  </si>
  <si>
    <t>NEH (Year)</t>
  </si>
  <si>
    <t>IRR ASSM
Based on GV</t>
    <phoneticPr fontId="10"/>
  </si>
  <si>
    <t>RTB Date</t>
    <phoneticPr fontId="10"/>
  </si>
  <si>
    <t>COD Date</t>
    <phoneticPr fontId="10"/>
  </si>
  <si>
    <t>(1) Brokerage
Fee</t>
    <phoneticPr fontId="9"/>
  </si>
  <si>
    <t>(2) DEVEX</t>
    <phoneticPr fontId="9"/>
  </si>
  <si>
    <t>T. (1+2)</t>
    <phoneticPr fontId="10"/>
  </si>
  <si>
    <t>T. DEVEX/MW</t>
    <phoneticPr fontId="10"/>
  </si>
  <si>
    <t>T. CAPEX</t>
    <phoneticPr fontId="10"/>
  </si>
  <si>
    <t>T. OPEX/MW</t>
    <phoneticPr fontId="10"/>
  </si>
  <si>
    <r>
      <t>Eco Inshutech</t>
    </r>
    <r>
      <rPr>
        <sz val="9"/>
        <color rgb="FF0000FF"/>
        <rFont val="Calibri"/>
        <family val="2"/>
      </rPr>
      <t>*</t>
    </r>
    <phoneticPr fontId="9"/>
  </si>
  <si>
    <t>Kookmin Bank</t>
    <phoneticPr fontId="9"/>
  </si>
  <si>
    <r>
      <t>Younggwang Industry</t>
    </r>
    <r>
      <rPr>
        <sz val="9"/>
        <color rgb="FF0000FF"/>
        <rFont val="Calibri"/>
        <family val="2"/>
      </rPr>
      <t>*</t>
    </r>
    <phoneticPr fontId="9"/>
  </si>
  <si>
    <r>
      <t>Ajin P&amp;S</t>
    </r>
    <r>
      <rPr>
        <sz val="9"/>
        <color rgb="FF0000FF"/>
        <rFont val="Calibri"/>
        <family val="2"/>
      </rPr>
      <t>*</t>
    </r>
    <phoneticPr fontId="9"/>
  </si>
  <si>
    <t>20, Munhwahoegwan 11an-gil, Dalseo-gu, Daegu, Republic of Korea</t>
  </si>
  <si>
    <t>대구광역시 달서구 문화회관 11안길 20</t>
  </si>
  <si>
    <r>
      <t>Sejin SMC</t>
    </r>
    <r>
      <rPr>
        <sz val="9"/>
        <color rgb="FF0000FF"/>
        <rFont val="Calibri"/>
        <family val="2"/>
      </rPr>
      <t xml:space="preserve"> *</t>
    </r>
    <phoneticPr fontId="9"/>
  </si>
  <si>
    <t>Q1</t>
  </si>
  <si>
    <r>
      <rPr>
        <sz val="9"/>
        <color rgb="FF000000"/>
        <rFont val="Calibri"/>
        <family val="2"/>
      </rPr>
      <t>Seoyong</t>
    </r>
    <r>
      <rPr>
        <sz val="9"/>
        <color rgb="FF0000FF"/>
        <rFont val="Calibri"/>
        <family val="2"/>
      </rPr>
      <t>*</t>
    </r>
  </si>
  <si>
    <t>Myunghyun Tech</t>
    <phoneticPr fontId="9"/>
  </si>
  <si>
    <t>Jinyoung Metal Factory 1
Jinyoung Metal Factory 2</t>
    <phoneticPr fontId="10"/>
  </si>
  <si>
    <t>부산광역시 강서구 가리새2로 50(범방동 1921-9)</t>
  </si>
  <si>
    <t>37.185887 / 128.886199</t>
  </si>
  <si>
    <t>부산광역시 강서구 미음국제2로 124(미음동 1644-3)</t>
  </si>
  <si>
    <t>Kookmin Bank</t>
  </si>
  <si>
    <t>35.148711 / 128.863679</t>
  </si>
  <si>
    <t>35, Je 3sandan 3-ro, Jecheon-si, Chungcheongbuk-do</t>
    <phoneticPr fontId="9"/>
  </si>
  <si>
    <r>
      <rPr>
        <sz val="9"/>
        <color rgb="FF000000"/>
        <rFont val="맑은 고딕"/>
        <family val="2"/>
        <charset val="129"/>
      </rPr>
      <t>충청북도</t>
    </r>
    <r>
      <rPr>
        <sz val="9"/>
        <color rgb="FF000000"/>
        <rFont val="Calibri"/>
        <family val="2"/>
      </rPr>
      <t xml:space="preserve"> </t>
    </r>
    <r>
      <rPr>
        <sz val="9"/>
        <color rgb="FF000000"/>
        <rFont val="맑은 고딕"/>
        <family val="2"/>
        <charset val="129"/>
      </rPr>
      <t>제천시</t>
    </r>
    <r>
      <rPr>
        <sz val="9"/>
        <color rgb="FF000000"/>
        <rFont val="Calibri"/>
        <family val="2"/>
      </rPr>
      <t xml:space="preserve"> </t>
    </r>
    <r>
      <rPr>
        <sz val="9"/>
        <color rgb="FF000000"/>
        <rFont val="맑은 고딕"/>
        <family val="2"/>
        <charset val="129"/>
      </rPr>
      <t>제</t>
    </r>
    <r>
      <rPr>
        <sz val="9"/>
        <color rgb="FF000000"/>
        <rFont val="Calibri"/>
        <family val="2"/>
      </rPr>
      <t>3</t>
    </r>
    <r>
      <rPr>
        <sz val="9"/>
        <color rgb="FF000000"/>
        <rFont val="맑은 고딕"/>
        <family val="2"/>
        <charset val="129"/>
      </rPr>
      <t>산단</t>
    </r>
    <r>
      <rPr>
        <sz val="9"/>
        <color rgb="FF000000"/>
        <rFont val="Calibri"/>
        <family val="2"/>
      </rPr>
      <t>3</t>
    </r>
    <r>
      <rPr>
        <sz val="9"/>
        <color rgb="FF000000"/>
        <rFont val="맑은 고딕"/>
        <family val="2"/>
        <charset val="129"/>
      </rPr>
      <t>로</t>
    </r>
    <r>
      <rPr>
        <sz val="9"/>
        <color rgb="FF000000"/>
        <rFont val="Calibri"/>
        <family val="2"/>
      </rPr>
      <t xml:space="preserve"> 35 (</t>
    </r>
    <r>
      <rPr>
        <sz val="9"/>
        <color rgb="FF000000"/>
        <rFont val="맑은 고딕"/>
        <family val="2"/>
        <charset val="129"/>
      </rPr>
      <t>충청북도</t>
    </r>
    <r>
      <rPr>
        <sz val="9"/>
        <color rgb="FF000000"/>
        <rFont val="Calibri"/>
        <family val="2"/>
      </rPr>
      <t xml:space="preserve"> </t>
    </r>
    <r>
      <rPr>
        <sz val="9"/>
        <color rgb="FF000000"/>
        <rFont val="맑은 고딕"/>
        <family val="2"/>
        <charset val="129"/>
      </rPr>
      <t>제천시</t>
    </r>
    <r>
      <rPr>
        <sz val="9"/>
        <color rgb="FF000000"/>
        <rFont val="Calibri"/>
        <family val="2"/>
      </rPr>
      <t xml:space="preserve"> </t>
    </r>
    <r>
      <rPr>
        <sz val="9"/>
        <color rgb="FF000000"/>
        <rFont val="맑은 고딕"/>
        <family val="2"/>
        <charset val="129"/>
      </rPr>
      <t>왕암동</t>
    </r>
    <r>
      <rPr>
        <sz val="9"/>
        <color rgb="FF000000"/>
        <rFont val="Calibri"/>
        <family val="2"/>
      </rPr>
      <t xml:space="preserve"> 1435)</t>
    </r>
    <phoneticPr fontId="9"/>
  </si>
  <si>
    <t>37.145323 / 128.142151</t>
  </si>
  <si>
    <t>Sehyun Chemical</t>
    <phoneticPr fontId="10"/>
  </si>
  <si>
    <r>
      <t>Cosmo chemical</t>
    </r>
    <r>
      <rPr>
        <sz val="9"/>
        <color rgb="FF0000FF"/>
        <rFont val="Calibri"/>
        <family val="2"/>
      </rPr>
      <t>*</t>
    </r>
    <phoneticPr fontId="9"/>
  </si>
  <si>
    <t>096301-04-103343</t>
  </si>
  <si>
    <t>174-42, Jeongoksandan-ro, Seosin-myeon, Hwaseong-si, Gyeonggi-do</t>
    <phoneticPr fontId="9"/>
  </si>
  <si>
    <r>
      <rPr>
        <strike/>
        <sz val="9"/>
        <color rgb="FFC00000"/>
        <rFont val="맑은 고딕"/>
        <family val="3"/>
        <charset val="129"/>
      </rPr>
      <t>경기도</t>
    </r>
    <r>
      <rPr>
        <strike/>
        <sz val="9"/>
        <color rgb="FFC00000"/>
        <rFont val="Calibri"/>
        <family val="2"/>
      </rPr>
      <t xml:space="preserve"> </t>
    </r>
    <r>
      <rPr>
        <strike/>
        <sz val="9"/>
        <color rgb="FFC00000"/>
        <rFont val="맑은 고딕"/>
        <family val="3"/>
        <charset val="129"/>
      </rPr>
      <t>화성시</t>
    </r>
    <r>
      <rPr>
        <strike/>
        <sz val="9"/>
        <color rgb="FFC00000"/>
        <rFont val="Calibri"/>
        <family val="2"/>
      </rPr>
      <t xml:space="preserve"> </t>
    </r>
    <r>
      <rPr>
        <strike/>
        <sz val="9"/>
        <color rgb="FFC00000"/>
        <rFont val="맑은 고딕"/>
        <family val="3"/>
        <charset val="129"/>
      </rPr>
      <t>서신면</t>
    </r>
    <r>
      <rPr>
        <strike/>
        <sz val="9"/>
        <color rgb="FFC00000"/>
        <rFont val="Calibri"/>
        <family val="2"/>
      </rPr>
      <t xml:space="preserve"> </t>
    </r>
    <r>
      <rPr>
        <strike/>
        <sz val="9"/>
        <color rgb="FFC00000"/>
        <rFont val="맑은 고딕"/>
        <family val="3"/>
        <charset val="129"/>
      </rPr>
      <t>전곡산단로</t>
    </r>
    <r>
      <rPr>
        <strike/>
        <sz val="9"/>
        <color rgb="FFC00000"/>
        <rFont val="Calibri"/>
        <family val="2"/>
      </rPr>
      <t xml:space="preserve"> 174-42(</t>
    </r>
    <r>
      <rPr>
        <strike/>
        <sz val="9"/>
        <color rgb="FFC00000"/>
        <rFont val="맑은 고딕"/>
        <family val="2"/>
        <charset val="129"/>
      </rPr>
      <t>장외리</t>
    </r>
    <r>
      <rPr>
        <strike/>
        <sz val="9"/>
        <color rgb="FFC00000"/>
        <rFont val="Calibri"/>
        <family val="2"/>
      </rPr>
      <t xml:space="preserve"> 651-7)</t>
    </r>
    <phoneticPr fontId="0" type="noConversion"/>
  </si>
  <si>
    <r>
      <t>Esun</t>
    </r>
    <r>
      <rPr>
        <sz val="9"/>
        <color rgb="FF0000FF"/>
        <rFont val="Calibri"/>
        <family val="2"/>
      </rPr>
      <t>*</t>
    </r>
    <phoneticPr fontId="9"/>
  </si>
  <si>
    <t>26, Euntongsandan 1-gil, Yeoncheon-eup, Yeoncheon-gun, Gyeonggi-do</t>
    <phoneticPr fontId="9"/>
  </si>
  <si>
    <r>
      <rPr>
        <sz val="9"/>
        <color rgb="FF000000"/>
        <rFont val="맑은 고딕"/>
        <family val="2"/>
      </rPr>
      <t>경기</t>
    </r>
    <r>
      <rPr>
        <sz val="9"/>
        <color rgb="FF000000"/>
        <rFont val="Calibri"/>
        <family val="2"/>
      </rPr>
      <t xml:space="preserve"> </t>
    </r>
    <r>
      <rPr>
        <sz val="9"/>
        <color rgb="FF000000"/>
        <rFont val="맑은 고딕"/>
        <family val="2"/>
      </rPr>
      <t>연천군</t>
    </r>
    <r>
      <rPr>
        <sz val="9"/>
        <color rgb="FF000000"/>
        <rFont val="Calibri"/>
        <family val="2"/>
      </rPr>
      <t xml:space="preserve"> </t>
    </r>
    <r>
      <rPr>
        <sz val="9"/>
        <color rgb="FF000000"/>
        <rFont val="맑은 고딕"/>
        <family val="2"/>
      </rPr>
      <t>연천읍</t>
    </r>
    <r>
      <rPr>
        <sz val="9"/>
        <color rgb="FF000000"/>
        <rFont val="Calibri"/>
        <family val="2"/>
      </rPr>
      <t xml:space="preserve"> </t>
    </r>
    <r>
      <rPr>
        <sz val="9"/>
        <color rgb="FF000000"/>
        <rFont val="맑은 고딕"/>
        <family val="2"/>
      </rPr>
      <t>통현리</t>
    </r>
    <r>
      <rPr>
        <sz val="9"/>
        <color rgb="FF000000"/>
        <rFont val="Calibri"/>
        <family val="2"/>
      </rPr>
      <t xml:space="preserve"> 1069-7</t>
    </r>
    <phoneticPr fontId="0" type="noConversion"/>
  </si>
  <si>
    <t>38.071849 / 127.077021</t>
  </si>
  <si>
    <t>Total Capacity</t>
    <phoneticPr fontId="9"/>
  </si>
  <si>
    <t>Average IRR(%)</t>
    <phoneticPr fontId="9"/>
  </si>
  <si>
    <t>Grand T. (1+2)</t>
    <phoneticPr fontId="9"/>
  </si>
  <si>
    <t>KRW 5,737,589 K (c EUR 3,903,122)</t>
    <phoneticPr fontId="9"/>
  </si>
  <si>
    <t>096301-04-103330</t>
    <phoneticPr fontId="9"/>
  </si>
  <si>
    <t>KRW</t>
    <phoneticPr fontId="9"/>
  </si>
  <si>
    <t>096301-04-103330</t>
  </si>
  <si>
    <t>EUR</t>
    <phoneticPr fontId="9"/>
  </si>
  <si>
    <t>T CAPEX KRW</t>
    <phoneticPr fontId="9"/>
  </si>
  <si>
    <t>T CAPEX EUR</t>
    <phoneticPr fontId="9"/>
  </si>
  <si>
    <t>DVEX/MW KRW</t>
    <phoneticPr fontId="9"/>
  </si>
  <si>
    <t>DVEX/MW EUR</t>
    <phoneticPr fontId="9"/>
  </si>
  <si>
    <t>Q1-1</t>
    <phoneticPr fontId="0" type="noConversion"/>
  </si>
  <si>
    <t>Bolt Taeyanggwang 2HO</t>
    <phoneticPr fontId="9"/>
  </si>
  <si>
    <t>096301-04-103327</t>
  </si>
  <si>
    <t>KRW K (c EUR )</t>
    <phoneticPr fontId="9"/>
  </si>
  <si>
    <t>Q2
2025</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</si>
  <si>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장안동</t>
    </r>
    <r>
      <rPr>
        <sz val="9"/>
        <color rgb="FF000000"/>
        <rFont val="Calibri"/>
        <family val="2"/>
      </rPr>
      <t xml:space="preserve"> 353</t>
    </r>
  </si>
  <si>
    <t>37.064506 / 127.080781</t>
    <phoneticPr fontId="9"/>
  </si>
  <si>
    <t>976-9, Hyeeum-ro, Gwangtan-myeon, Paju-si,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</si>
  <si>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파주시</t>
    </r>
    <r>
      <rPr>
        <sz val="9"/>
        <color rgb="FF000000"/>
        <rFont val="Calibri"/>
        <family val="2"/>
      </rPr>
      <t xml:space="preserve"> </t>
    </r>
    <r>
      <rPr>
        <sz val="9"/>
        <color rgb="FF000000"/>
        <rFont val="맑은 고딕"/>
        <family val="2"/>
      </rPr>
      <t>광탄면</t>
    </r>
    <r>
      <rPr>
        <sz val="9"/>
        <color rgb="FF000000"/>
        <rFont val="Calibri"/>
        <family val="2"/>
      </rPr>
      <t xml:space="preserve"> </t>
    </r>
    <r>
      <rPr>
        <sz val="9"/>
        <color rgb="FF000000"/>
        <rFont val="맑은 고딕"/>
        <family val="2"/>
      </rPr>
      <t>혜음로</t>
    </r>
    <r>
      <rPr>
        <sz val="9"/>
        <color rgb="FF000000"/>
        <rFont val="Calibri"/>
        <family val="2"/>
      </rPr>
      <t xml:space="preserve"> 976-9</t>
    </r>
    <phoneticPr fontId="9"/>
  </si>
  <si>
    <t>37.770977 / 126.851925</t>
  </si>
  <si>
    <t>1049, Gyeongchung-daero, Ganam-eup, Yeoju-si, Gyeonggi-do</t>
  </si>
  <si>
    <r>
      <rPr>
        <sz val="9"/>
        <color rgb="FF000000"/>
        <rFont val="맑은 고딕"/>
        <family val="2"/>
      </rPr>
      <t>경기도</t>
    </r>
    <r>
      <rPr>
        <sz val="9"/>
        <color rgb="FF000000"/>
        <rFont val="Calibri"/>
        <family val="2"/>
      </rPr>
      <t xml:space="preserve"> </t>
    </r>
    <r>
      <rPr>
        <sz val="9"/>
        <color rgb="FF000000"/>
        <rFont val="맑은 고딕"/>
        <family val="2"/>
      </rPr>
      <t>여주시</t>
    </r>
    <r>
      <rPr>
        <sz val="9"/>
        <color rgb="FF000000"/>
        <rFont val="Calibri"/>
        <family val="2"/>
      </rPr>
      <t xml:space="preserve"> </t>
    </r>
    <r>
      <rPr>
        <sz val="9"/>
        <color rgb="FF000000"/>
        <rFont val="맑은 고딕"/>
        <family val="2"/>
      </rPr>
      <t>가남읍</t>
    </r>
    <r>
      <rPr>
        <sz val="9"/>
        <color rgb="FF000000"/>
        <rFont val="Calibri"/>
        <family val="2"/>
      </rPr>
      <t xml:space="preserve"> </t>
    </r>
    <r>
      <rPr>
        <sz val="9"/>
        <color rgb="FF000000"/>
        <rFont val="맑은 고딕"/>
        <family val="2"/>
      </rPr>
      <t>경충대로</t>
    </r>
    <r>
      <rPr>
        <sz val="9"/>
        <color rgb="FF000000"/>
        <rFont val="Calibri"/>
        <family val="2"/>
      </rPr>
      <t xml:space="preserve"> 1049</t>
    </r>
    <phoneticPr fontId="0" type="noConversion"/>
  </si>
  <si>
    <t>37.188297 / 127.559881</t>
  </si>
  <si>
    <t>1894, Jinsangmi-ro, Icheon-si,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</si>
  <si>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진상미로</t>
    </r>
    <r>
      <rPr>
        <sz val="9"/>
        <color rgb="FF000000"/>
        <rFont val="Calibri"/>
        <family val="2"/>
      </rPr>
      <t xml:space="preserve"> 1894</t>
    </r>
    <phoneticPr fontId="0" type="noConversion"/>
  </si>
  <si>
    <t>37.216792 / 127.452298</t>
    <phoneticPr fontId="9"/>
  </si>
  <si>
    <t>6-15, Gongdan-ro 13-gil, Waegwan-eup, Chilgok-gun, Gyeongsangbuk-do</t>
    <phoneticPr fontId="9"/>
  </si>
  <si>
    <r>
      <rPr>
        <sz val="9"/>
        <color rgb="FF000000"/>
        <rFont val="맑은 고딕"/>
        <family val="2"/>
      </rPr>
      <t>경상북도</t>
    </r>
    <r>
      <rPr>
        <sz val="9"/>
        <color rgb="FF000000"/>
        <rFont val="Calibri"/>
        <family val="2"/>
      </rPr>
      <t xml:space="preserve"> </t>
    </r>
    <r>
      <rPr>
        <sz val="9"/>
        <color rgb="FF000000"/>
        <rFont val="맑은 고딕"/>
        <family val="2"/>
      </rPr>
      <t>칠곡군</t>
    </r>
    <r>
      <rPr>
        <sz val="9"/>
        <color rgb="FF000000"/>
        <rFont val="Calibri"/>
        <family val="2"/>
      </rPr>
      <t xml:space="preserve"> </t>
    </r>
    <r>
      <rPr>
        <sz val="9"/>
        <color rgb="FF000000"/>
        <rFont val="맑은 고딕"/>
        <family val="2"/>
      </rPr>
      <t>왜관읍</t>
    </r>
    <r>
      <rPr>
        <sz val="9"/>
        <color rgb="FF000000"/>
        <rFont val="Calibri"/>
        <family val="2"/>
      </rPr>
      <t xml:space="preserve"> </t>
    </r>
    <r>
      <rPr>
        <sz val="9"/>
        <color rgb="FF000000"/>
        <rFont val="맑은 고딕"/>
        <family val="2"/>
      </rPr>
      <t>공단로</t>
    </r>
    <r>
      <rPr>
        <sz val="9"/>
        <color rgb="FF000000"/>
        <rFont val="Calibri"/>
        <family val="2"/>
      </rPr>
      <t>13</t>
    </r>
    <r>
      <rPr>
        <sz val="9"/>
        <color rgb="FF000000"/>
        <rFont val="맑은 고딕"/>
        <family val="2"/>
      </rPr>
      <t>길</t>
    </r>
    <r>
      <rPr>
        <sz val="9"/>
        <color rgb="FF000000"/>
        <rFont val="Calibri"/>
        <family val="2"/>
      </rPr>
      <t xml:space="preserve"> 6-15</t>
    </r>
    <phoneticPr fontId="9"/>
  </si>
  <si>
    <t>35.962166 / 128.408782</t>
  </si>
  <si>
    <t>35.565890 / 129.365446</t>
    <phoneticPr fontId="9"/>
  </si>
  <si>
    <t>35.165792 / 128.947869</t>
    <phoneticPr fontId="9"/>
  </si>
  <si>
    <t>35.957090 / 129.391365</t>
    <phoneticPr fontId="9"/>
  </si>
  <si>
    <t xml:space="preserve"> 35.944606 / 129.271791</t>
    <phoneticPr fontId="9"/>
  </si>
  <si>
    <r>
      <rPr>
        <sz val="9"/>
        <color rgb="FF000000"/>
        <rFont val="맑은 고딕"/>
        <family val="2"/>
      </rPr>
      <t>경상북도</t>
    </r>
    <r>
      <rPr>
        <sz val="9"/>
        <color rgb="FF000000"/>
        <rFont val="Calibri"/>
        <family val="2"/>
      </rPr>
      <t xml:space="preserve"> </t>
    </r>
    <r>
      <rPr>
        <sz val="9"/>
        <color rgb="FF000000"/>
        <rFont val="맑은 고딕"/>
        <family val="2"/>
      </rPr>
      <t>포항시</t>
    </r>
    <r>
      <rPr>
        <sz val="9"/>
        <color rgb="FF000000"/>
        <rFont val="Calibri"/>
        <family val="2"/>
      </rPr>
      <t xml:space="preserve"> </t>
    </r>
    <r>
      <rPr>
        <sz val="9"/>
        <color rgb="FF000000"/>
        <rFont val="맑은 고딕"/>
        <family val="2"/>
      </rPr>
      <t>남구</t>
    </r>
    <r>
      <rPr>
        <sz val="9"/>
        <color rgb="FF000000"/>
        <rFont val="Calibri"/>
        <family val="2"/>
      </rPr>
      <t xml:space="preserve"> </t>
    </r>
    <r>
      <rPr>
        <sz val="9"/>
        <color rgb="FF000000"/>
        <rFont val="맑은 고딕"/>
        <family val="2"/>
      </rPr>
      <t>오천읍</t>
    </r>
    <r>
      <rPr>
        <sz val="9"/>
        <color rgb="FF000000"/>
        <rFont val="Calibri"/>
        <family val="2"/>
      </rPr>
      <t xml:space="preserve"> </t>
    </r>
    <r>
      <rPr>
        <sz val="9"/>
        <color rgb="FF000000"/>
        <rFont val="맑은 고딕"/>
        <family val="2"/>
      </rPr>
      <t>철강산단로</t>
    </r>
    <r>
      <rPr>
        <sz val="9"/>
        <color rgb="FF000000"/>
        <rFont val="Calibri"/>
        <family val="2"/>
      </rPr>
      <t>130</t>
    </r>
    <r>
      <rPr>
        <sz val="9"/>
        <color rgb="FF000000"/>
        <rFont val="맑은 고딕"/>
        <family val="2"/>
      </rPr>
      <t>번길</t>
    </r>
    <r>
      <rPr>
        <sz val="9"/>
        <color rgb="FF000000"/>
        <rFont val="Calibri"/>
        <family val="2"/>
      </rPr>
      <t xml:space="preserve"> 207-13</t>
    </r>
    <phoneticPr fontId="0" type="noConversion"/>
  </si>
  <si>
    <t xml:space="preserve"> 35.958561/ 129.391720</t>
    <phoneticPr fontId="9"/>
  </si>
  <si>
    <t>경기도 화성시 양감면 암소고개로 238</t>
    <phoneticPr fontId="0" type="noConversion"/>
  </si>
  <si>
    <t>37.077854 / 126.915375</t>
    <phoneticPr fontId="9"/>
  </si>
  <si>
    <t>37.009729 / 127.752899</t>
    <phoneticPr fontId="9"/>
  </si>
  <si>
    <t>경상남도 고성군 하일면 자란만로 2080</t>
    <phoneticPr fontId="0" type="noConversion"/>
  </si>
  <si>
    <t>Q3-4 2025</t>
    <phoneticPr fontId="9"/>
  </si>
  <si>
    <t>충청남도 천안시 서북구 입장면 연곡길 385</t>
    <phoneticPr fontId="0" type="noConversion"/>
  </si>
  <si>
    <t>586-3, Sin-gal-ri, Moga-myeon, Icheon-si,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</si>
  <si>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모가면</t>
    </r>
    <r>
      <rPr>
        <sz val="9"/>
        <color rgb="FF000000"/>
        <rFont val="Calibri"/>
        <family val="2"/>
      </rPr>
      <t xml:space="preserve"> </t>
    </r>
    <r>
      <rPr>
        <sz val="9"/>
        <color rgb="FF000000"/>
        <rFont val="맑은 고딕"/>
        <family val="2"/>
      </rPr>
      <t>신갈리</t>
    </r>
    <r>
      <rPr>
        <sz val="9"/>
        <color rgb="FF000000"/>
        <rFont val="Calibri"/>
        <family val="2"/>
      </rPr>
      <t xml:space="preserve"> 586-3</t>
    </r>
    <phoneticPr fontId="0" type="noConversion"/>
  </si>
  <si>
    <t>37.196321 / 127.444041</t>
    <phoneticPr fontId="9"/>
  </si>
  <si>
    <t>971, Sasil-ro, Moga-myeon, Icheon-si,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</si>
  <si>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모가면</t>
    </r>
    <r>
      <rPr>
        <sz val="9"/>
        <color rgb="FF000000"/>
        <rFont val="Calibri"/>
        <family val="2"/>
      </rPr>
      <t xml:space="preserve"> </t>
    </r>
    <r>
      <rPr>
        <sz val="9"/>
        <color rgb="FF000000"/>
        <rFont val="맑은 고딕"/>
        <family val="2"/>
      </rPr>
      <t>사실로</t>
    </r>
    <r>
      <rPr>
        <sz val="9"/>
        <color rgb="FF000000"/>
        <rFont val="Calibri"/>
        <family val="2"/>
      </rPr>
      <t xml:space="preserve"> 971(</t>
    </r>
    <r>
      <rPr>
        <sz val="9"/>
        <color rgb="FF000000"/>
        <rFont val="맑은 고딕"/>
        <family val="2"/>
      </rPr>
      <t>신갈리</t>
    </r>
    <r>
      <rPr>
        <sz val="9"/>
        <color rgb="FF000000"/>
        <rFont val="Calibri"/>
        <family val="2"/>
      </rPr>
      <t xml:space="preserve"> 850)</t>
    </r>
    <phoneticPr fontId="0" type="noConversion"/>
  </si>
  <si>
    <t>37.199076/ 127.444457</t>
    <phoneticPr fontId="9"/>
  </si>
  <si>
    <t>154-47, Gimhae-daero 916beon-gil, Hallim-myeon, Gimhae-si, Gyeongsangnam-do</t>
    <phoneticPr fontId="9"/>
  </si>
  <si>
    <r>
      <rPr>
        <sz val="9"/>
        <color rgb="FF000000"/>
        <rFont val="맑은 고딕"/>
        <family val="2"/>
      </rPr>
      <t>경상남도</t>
    </r>
    <r>
      <rPr>
        <sz val="9"/>
        <color rgb="FF000000"/>
        <rFont val="Calibri"/>
        <family val="2"/>
      </rPr>
      <t xml:space="preserve"> </t>
    </r>
    <r>
      <rPr>
        <sz val="9"/>
        <color rgb="FF000000"/>
        <rFont val="맑은 고딕"/>
        <family val="2"/>
      </rPr>
      <t>김해시</t>
    </r>
    <r>
      <rPr>
        <sz val="9"/>
        <color rgb="FF000000"/>
        <rFont val="Calibri"/>
        <family val="2"/>
      </rPr>
      <t xml:space="preserve"> </t>
    </r>
    <r>
      <rPr>
        <sz val="9"/>
        <color rgb="FF000000"/>
        <rFont val="맑은 고딕"/>
        <family val="2"/>
      </rPr>
      <t>한림면</t>
    </r>
    <r>
      <rPr>
        <sz val="9"/>
        <color rgb="FF000000"/>
        <rFont val="Calibri"/>
        <family val="2"/>
      </rPr>
      <t xml:space="preserve"> </t>
    </r>
    <r>
      <rPr>
        <sz val="9"/>
        <color rgb="FF000000"/>
        <rFont val="맑은 고딕"/>
        <family val="2"/>
      </rPr>
      <t>김해대로</t>
    </r>
    <r>
      <rPr>
        <sz val="9"/>
        <color rgb="FF000000"/>
        <rFont val="Calibri"/>
        <family val="2"/>
      </rPr>
      <t xml:space="preserve"> 916</t>
    </r>
    <r>
      <rPr>
        <sz val="9"/>
        <color rgb="FF000000"/>
        <rFont val="맑은 고딕"/>
        <family val="2"/>
      </rPr>
      <t>번길</t>
    </r>
    <r>
      <rPr>
        <sz val="9"/>
        <color rgb="FF000000"/>
        <rFont val="Calibri"/>
        <family val="2"/>
      </rPr>
      <t xml:space="preserve"> 154-47</t>
    </r>
    <phoneticPr fontId="0" type="noConversion"/>
  </si>
  <si>
    <t>35.282896 / 128.795583</t>
    <phoneticPr fontId="9"/>
  </si>
  <si>
    <t>739, Donghae-ro, Georyu-myeon, Goseong-gun, Gyeongsangnam-do</t>
    <phoneticPr fontId="9"/>
  </si>
  <si>
    <r>
      <rPr>
        <sz val="9"/>
        <color rgb="FF000000"/>
        <rFont val="맑은 고딕"/>
        <family val="2"/>
      </rPr>
      <t>경상남도</t>
    </r>
    <r>
      <rPr>
        <sz val="9"/>
        <color rgb="FF000000"/>
        <rFont val="Calibri"/>
        <family val="2"/>
      </rPr>
      <t xml:space="preserve"> </t>
    </r>
    <r>
      <rPr>
        <sz val="9"/>
        <color rgb="FF000000"/>
        <rFont val="맑은 고딕"/>
        <family val="2"/>
      </rPr>
      <t>고성군</t>
    </r>
    <r>
      <rPr>
        <sz val="9"/>
        <color rgb="FF000000"/>
        <rFont val="Calibri"/>
        <family val="2"/>
      </rPr>
      <t xml:space="preserve"> </t>
    </r>
    <r>
      <rPr>
        <sz val="9"/>
        <color rgb="FF000000"/>
        <rFont val="맑은 고딕"/>
        <family val="2"/>
      </rPr>
      <t>거류면</t>
    </r>
    <r>
      <rPr>
        <sz val="9"/>
        <color rgb="FF000000"/>
        <rFont val="Calibri"/>
        <family val="2"/>
      </rPr>
      <t xml:space="preserve"> </t>
    </r>
    <r>
      <rPr>
        <sz val="9"/>
        <color rgb="FF000000"/>
        <rFont val="맑은 고딕"/>
        <family val="2"/>
      </rPr>
      <t>동해로</t>
    </r>
    <r>
      <rPr>
        <sz val="9"/>
        <color rgb="FF000000"/>
        <rFont val="Calibri"/>
        <family val="2"/>
      </rPr>
      <t xml:space="preserve"> 739</t>
    </r>
    <phoneticPr fontId="0" type="noConversion"/>
  </si>
  <si>
    <t>35.016398 / 128.389241</t>
    <phoneticPr fontId="9"/>
  </si>
  <si>
    <t>28, Gangbyeon-ro 670beon-gil, Gangneung-si, Gangwon-do</t>
    <phoneticPr fontId="9"/>
  </si>
  <si>
    <r>
      <rPr>
        <sz val="9"/>
        <color rgb="FF000000"/>
        <rFont val="맑은 고딕"/>
        <family val="2"/>
      </rPr>
      <t>강원도</t>
    </r>
    <r>
      <rPr>
        <sz val="9"/>
        <color rgb="FF000000"/>
        <rFont val="Calibri"/>
        <family val="2"/>
      </rPr>
      <t xml:space="preserve"> </t>
    </r>
    <r>
      <rPr>
        <sz val="9"/>
        <color rgb="FF000000"/>
        <rFont val="맑은 고딕"/>
        <family val="2"/>
      </rPr>
      <t>강릉시</t>
    </r>
    <r>
      <rPr>
        <sz val="9"/>
        <color rgb="FF000000"/>
        <rFont val="Calibri"/>
        <family val="2"/>
      </rPr>
      <t xml:space="preserve"> </t>
    </r>
    <r>
      <rPr>
        <sz val="9"/>
        <color rgb="FF000000"/>
        <rFont val="맑은 고딕"/>
        <family val="2"/>
      </rPr>
      <t>강변로</t>
    </r>
    <r>
      <rPr>
        <sz val="9"/>
        <color rgb="FF000000"/>
        <rFont val="Calibri"/>
        <family val="2"/>
      </rPr>
      <t>670</t>
    </r>
    <r>
      <rPr>
        <sz val="9"/>
        <color rgb="FF000000"/>
        <rFont val="맑은 고딕"/>
        <family val="2"/>
      </rPr>
      <t>번길</t>
    </r>
    <r>
      <rPr>
        <sz val="9"/>
        <color rgb="FF000000"/>
        <rFont val="Calibri"/>
        <family val="2"/>
      </rPr>
      <t xml:space="preserve"> 28</t>
    </r>
    <phoneticPr fontId="0" type="noConversion"/>
  </si>
  <si>
    <t>37.767065 / 128.932636</t>
    <phoneticPr fontId="9"/>
  </si>
  <si>
    <t>81-1, Songnae-gil, Poseung-eup, Pyeongtaek-si,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</si>
  <si>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포승읍</t>
    </r>
    <r>
      <rPr>
        <sz val="9"/>
        <color rgb="FF000000"/>
        <rFont val="Calibri"/>
        <family val="2"/>
      </rPr>
      <t xml:space="preserve"> </t>
    </r>
    <r>
      <rPr>
        <sz val="9"/>
        <color rgb="FF000000"/>
        <rFont val="맑은 고딕"/>
        <family val="2"/>
      </rPr>
      <t>송내길</t>
    </r>
    <r>
      <rPr>
        <sz val="9"/>
        <color rgb="FF000000"/>
        <rFont val="Calibri"/>
        <family val="2"/>
      </rPr>
      <t xml:space="preserve"> 81-1</t>
    </r>
    <phoneticPr fontId="0" type="noConversion"/>
  </si>
  <si>
    <t>36.964554 / 126.868290</t>
    <phoneticPr fontId="9"/>
  </si>
  <si>
    <t>71, Eunma-gil, Ilsandong-gu, Goyang-si,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</si>
  <si>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고양시</t>
    </r>
    <r>
      <rPr>
        <sz val="9"/>
        <color rgb="FF000000"/>
        <rFont val="Calibri"/>
        <family val="2"/>
      </rPr>
      <t xml:space="preserve"> </t>
    </r>
    <r>
      <rPr>
        <sz val="9"/>
        <color rgb="FF000000"/>
        <rFont val="맑은 고딕"/>
        <family val="2"/>
      </rPr>
      <t>일산동구</t>
    </r>
    <r>
      <rPr>
        <sz val="9"/>
        <color rgb="FF000000"/>
        <rFont val="Calibri"/>
        <family val="2"/>
      </rPr>
      <t xml:space="preserve"> </t>
    </r>
    <r>
      <rPr>
        <sz val="9"/>
        <color rgb="FF000000"/>
        <rFont val="맑은 고딕"/>
        <family val="2"/>
      </rPr>
      <t>설문동</t>
    </r>
    <r>
      <rPr>
        <sz val="9"/>
        <color rgb="FF000000"/>
        <rFont val="Calibri"/>
        <family val="2"/>
      </rPr>
      <t xml:space="preserve"> 495-1</t>
    </r>
    <phoneticPr fontId="0" type="noConversion"/>
  </si>
  <si>
    <t>37.714686 / 126.806743</t>
    <phoneticPr fontId="9"/>
  </si>
  <si>
    <t>217, Eunma-gil, Ilsandong-gu, Goyang-si,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</si>
  <si>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고양시</t>
    </r>
    <r>
      <rPr>
        <sz val="9"/>
        <color rgb="FF000000"/>
        <rFont val="Calibri"/>
        <family val="2"/>
      </rPr>
      <t xml:space="preserve"> </t>
    </r>
    <r>
      <rPr>
        <sz val="9"/>
        <color rgb="FF000000"/>
        <rFont val="맑은 고딕"/>
        <family val="2"/>
      </rPr>
      <t>일산동구</t>
    </r>
    <r>
      <rPr>
        <sz val="9"/>
        <color rgb="FF000000"/>
        <rFont val="Calibri"/>
        <family val="2"/>
      </rPr>
      <t xml:space="preserve"> </t>
    </r>
    <r>
      <rPr>
        <sz val="9"/>
        <color rgb="FF000000"/>
        <rFont val="맑은 고딕"/>
        <family val="2"/>
      </rPr>
      <t>설문동</t>
    </r>
    <r>
      <rPr>
        <sz val="9"/>
        <color rgb="FF000000"/>
        <rFont val="Calibri"/>
        <family val="2"/>
      </rPr>
      <t xml:space="preserve"> 576-8</t>
    </r>
    <phoneticPr fontId="0" type="noConversion"/>
  </si>
  <si>
    <t>37.725217 / 126.801923</t>
    <phoneticPr fontId="9"/>
  </si>
  <si>
    <t>55, 5gongdan 5-ro, Sandong-eup, Gumi-si, Gyeongsangbuk-do</t>
    <phoneticPr fontId="9"/>
  </si>
  <si>
    <r>
      <rPr>
        <sz val="9"/>
        <color rgb="FF000000"/>
        <rFont val="맑은 고딕"/>
        <family val="2"/>
      </rPr>
      <t>경상북도</t>
    </r>
    <r>
      <rPr>
        <sz val="9"/>
        <color rgb="FF000000"/>
        <rFont val="Calibri"/>
        <family val="2"/>
      </rPr>
      <t xml:space="preserve"> </t>
    </r>
    <r>
      <rPr>
        <sz val="9"/>
        <color rgb="FF000000"/>
        <rFont val="맑은 고딕"/>
        <family val="2"/>
      </rPr>
      <t>구미시</t>
    </r>
    <r>
      <rPr>
        <sz val="9"/>
        <color rgb="FF000000"/>
        <rFont val="Calibri"/>
        <family val="2"/>
      </rPr>
      <t xml:space="preserve"> </t>
    </r>
    <r>
      <rPr>
        <sz val="9"/>
        <color rgb="FF000000"/>
        <rFont val="맑은 고딕"/>
        <family val="2"/>
      </rPr>
      <t>산동읍</t>
    </r>
    <r>
      <rPr>
        <sz val="9"/>
        <color rgb="FF000000"/>
        <rFont val="Calibri"/>
        <family val="2"/>
      </rPr>
      <t xml:space="preserve"> 5</t>
    </r>
    <r>
      <rPr>
        <sz val="9"/>
        <color rgb="FF000000"/>
        <rFont val="맑은 고딕"/>
        <family val="2"/>
      </rPr>
      <t>공단</t>
    </r>
    <r>
      <rPr>
        <sz val="9"/>
        <color rgb="FF000000"/>
        <rFont val="Calibri"/>
        <family val="2"/>
      </rPr>
      <t xml:space="preserve"> 5</t>
    </r>
    <r>
      <rPr>
        <sz val="9"/>
        <color rgb="FF000000"/>
        <rFont val="맑은 고딕"/>
        <family val="2"/>
      </rPr>
      <t>로</t>
    </r>
    <r>
      <rPr>
        <sz val="9"/>
        <color rgb="FF000000"/>
        <rFont val="Calibri"/>
        <family val="2"/>
      </rPr>
      <t xml:space="preserve"> 55</t>
    </r>
    <phoneticPr fontId="0" type="noConversion"/>
  </si>
  <si>
    <t>36.185808 / 128.431620</t>
    <phoneticPr fontId="9"/>
  </si>
  <si>
    <t>374-33, Manjangsan-ro, Gwangtan-myeon, Paju-si, Gyeonggi-do</t>
    <phoneticPr fontId="9"/>
  </si>
  <si>
    <r>
      <rPr>
        <sz val="9"/>
        <color rgb="FF000000"/>
        <rFont val="맑은 고딕"/>
        <family val="2"/>
      </rPr>
      <t>경기</t>
    </r>
    <r>
      <rPr>
        <sz val="9"/>
        <color rgb="FF000000"/>
        <rFont val="Calibri"/>
        <family val="2"/>
      </rPr>
      <t xml:space="preserve"> </t>
    </r>
    <r>
      <rPr>
        <sz val="9"/>
        <color rgb="FF000000"/>
        <rFont val="맑은 고딕"/>
        <family val="2"/>
      </rPr>
      <t>파주시</t>
    </r>
    <r>
      <rPr>
        <sz val="9"/>
        <color rgb="FF000000"/>
        <rFont val="Calibri"/>
        <family val="2"/>
      </rPr>
      <t xml:space="preserve"> </t>
    </r>
    <r>
      <rPr>
        <sz val="9"/>
        <color rgb="FF000000"/>
        <rFont val="맑은 고딕"/>
        <family val="2"/>
      </rPr>
      <t>광탄면</t>
    </r>
    <r>
      <rPr>
        <sz val="9"/>
        <color rgb="FF000000"/>
        <rFont val="Calibri"/>
        <family val="2"/>
      </rPr>
      <t xml:space="preserve"> </t>
    </r>
    <r>
      <rPr>
        <sz val="9"/>
        <color rgb="FF000000"/>
        <rFont val="맑은 고딕"/>
        <family val="2"/>
      </rPr>
      <t>창만리</t>
    </r>
    <r>
      <rPr>
        <sz val="9"/>
        <color rgb="FF000000"/>
        <rFont val="Calibri"/>
        <family val="2"/>
      </rPr>
      <t xml:space="preserve"> 201-6</t>
    </r>
    <phoneticPr fontId="0" type="noConversion"/>
  </si>
  <si>
    <t>37.798231 / 126.877088</t>
    <phoneticPr fontId="9"/>
  </si>
  <si>
    <t>199-38, Eungol-gil, Jori-eup, Paju-si, Gyeonggi-do</t>
    <phoneticPr fontId="9"/>
  </si>
  <si>
    <r>
      <rPr>
        <sz val="9"/>
        <color rgb="FF000000"/>
        <rFont val="맑은 고딕"/>
        <family val="2"/>
      </rPr>
      <t>경기</t>
    </r>
    <r>
      <rPr>
        <sz val="9"/>
        <color rgb="FF000000"/>
        <rFont val="Calibri"/>
        <family val="2"/>
      </rPr>
      <t xml:space="preserve"> </t>
    </r>
    <r>
      <rPr>
        <sz val="9"/>
        <color rgb="FF000000"/>
        <rFont val="맑은 고딕"/>
        <family val="2"/>
      </rPr>
      <t>파주시</t>
    </r>
    <r>
      <rPr>
        <sz val="9"/>
        <color rgb="FF000000"/>
        <rFont val="Calibri"/>
        <family val="2"/>
      </rPr>
      <t xml:space="preserve"> </t>
    </r>
    <r>
      <rPr>
        <sz val="9"/>
        <color rgb="FF000000"/>
        <rFont val="맑은 고딕"/>
        <family val="2"/>
      </rPr>
      <t>조리읍</t>
    </r>
    <r>
      <rPr>
        <sz val="9"/>
        <color rgb="FF000000"/>
        <rFont val="Calibri"/>
        <family val="2"/>
      </rPr>
      <t xml:space="preserve"> </t>
    </r>
    <r>
      <rPr>
        <sz val="9"/>
        <color rgb="FF000000"/>
        <rFont val="맑은 고딕"/>
        <family val="2"/>
      </rPr>
      <t>장곡리</t>
    </r>
    <r>
      <rPr>
        <sz val="9"/>
        <color rgb="FF000000"/>
        <rFont val="Calibri"/>
        <family val="2"/>
      </rPr>
      <t xml:space="preserve"> 44-11</t>
    </r>
    <phoneticPr fontId="0" type="noConversion"/>
  </si>
  <si>
    <t>37.751772 / 126.848093</t>
    <phoneticPr fontId="9"/>
  </si>
  <si>
    <t>456, Cheongbuk-ro, Cheongbuk-eup, Pyeongtaek-si, Gyeonggi-do</t>
    <phoneticPr fontId="9"/>
  </si>
  <si>
    <r>
      <rPr>
        <sz val="9"/>
        <color rgb="FF000000"/>
        <rFont val="맑은 고딕"/>
        <family val="2"/>
      </rPr>
      <t>경기</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청북읍</t>
    </r>
    <r>
      <rPr>
        <sz val="9"/>
        <color rgb="FF000000"/>
        <rFont val="Calibri"/>
        <family val="2"/>
      </rPr>
      <t xml:space="preserve"> </t>
    </r>
    <r>
      <rPr>
        <sz val="9"/>
        <color rgb="FF000000"/>
        <rFont val="맑은 고딕"/>
        <family val="2"/>
      </rPr>
      <t>율북리</t>
    </r>
    <r>
      <rPr>
        <sz val="9"/>
        <color rgb="FF000000"/>
        <rFont val="Calibri"/>
        <family val="2"/>
      </rPr>
      <t xml:space="preserve"> 3-29</t>
    </r>
    <phoneticPr fontId="0" type="noConversion"/>
  </si>
  <si>
    <t>37.070226 / 126.968714</t>
    <phoneticPr fontId="9"/>
  </si>
  <si>
    <t>46, Banwol-ro, Seongsan-gu, Changwon-si, Gyeongsangnam-do</t>
    <phoneticPr fontId="9"/>
  </si>
  <si>
    <r>
      <rPr>
        <sz val="9"/>
        <color rgb="FF000000"/>
        <rFont val="맑은 고딕"/>
        <family val="2"/>
      </rPr>
      <t>경남</t>
    </r>
    <r>
      <rPr>
        <sz val="9"/>
        <color rgb="FF000000"/>
        <rFont val="Calibri"/>
        <family val="2"/>
      </rPr>
      <t xml:space="preserve"> </t>
    </r>
    <r>
      <rPr>
        <sz val="9"/>
        <color rgb="FF000000"/>
        <rFont val="맑은 고딕"/>
        <family val="2"/>
      </rPr>
      <t>창원시</t>
    </r>
    <r>
      <rPr>
        <sz val="9"/>
        <color rgb="FF000000"/>
        <rFont val="Calibri"/>
        <family val="2"/>
      </rPr>
      <t xml:space="preserve"> </t>
    </r>
    <r>
      <rPr>
        <sz val="9"/>
        <color rgb="FF000000"/>
        <rFont val="맑은 고딕"/>
        <family val="2"/>
      </rPr>
      <t>성산구</t>
    </r>
    <r>
      <rPr>
        <sz val="9"/>
        <color rgb="FF000000"/>
        <rFont val="Calibri"/>
        <family val="2"/>
      </rPr>
      <t xml:space="preserve"> </t>
    </r>
    <r>
      <rPr>
        <sz val="9"/>
        <color rgb="FF000000"/>
        <rFont val="맑은 고딕"/>
        <family val="2"/>
      </rPr>
      <t>반월로</t>
    </r>
    <r>
      <rPr>
        <sz val="9"/>
        <color rgb="FF000000"/>
        <rFont val="Calibri"/>
        <family val="2"/>
      </rPr>
      <t xml:space="preserve"> 46</t>
    </r>
    <phoneticPr fontId="0" type="noConversion"/>
  </si>
  <si>
    <t>35.207624 / 128.634204</t>
    <phoneticPr fontId="9"/>
  </si>
  <si>
    <t>74, Saneop-ro, Jeongchon-myeon, Jinju-si, Gyeongsangnam-do</t>
    <phoneticPr fontId="9"/>
  </si>
  <si>
    <r>
      <rPr>
        <sz val="9"/>
        <color rgb="FF000000"/>
        <rFont val="맑은 고딕"/>
        <family val="2"/>
      </rPr>
      <t>경남</t>
    </r>
    <r>
      <rPr>
        <sz val="9"/>
        <color rgb="FF000000"/>
        <rFont val="Calibri"/>
        <family val="2"/>
      </rPr>
      <t xml:space="preserve"> </t>
    </r>
    <r>
      <rPr>
        <sz val="9"/>
        <color rgb="FF000000"/>
        <rFont val="맑은 고딕"/>
        <family val="2"/>
      </rPr>
      <t>진주시</t>
    </r>
    <r>
      <rPr>
        <sz val="9"/>
        <color rgb="FF000000"/>
        <rFont val="Calibri"/>
        <family val="2"/>
      </rPr>
      <t xml:space="preserve"> </t>
    </r>
    <r>
      <rPr>
        <sz val="9"/>
        <color rgb="FF000000"/>
        <rFont val="맑은 고딕"/>
        <family val="2"/>
      </rPr>
      <t>정촌면</t>
    </r>
    <r>
      <rPr>
        <sz val="9"/>
        <color rgb="FF000000"/>
        <rFont val="Calibri"/>
        <family val="2"/>
      </rPr>
      <t xml:space="preserve"> </t>
    </r>
    <r>
      <rPr>
        <sz val="9"/>
        <color rgb="FF000000"/>
        <rFont val="맑은 고딕"/>
        <family val="2"/>
      </rPr>
      <t>산업로</t>
    </r>
    <r>
      <rPr>
        <sz val="9"/>
        <color rgb="FF000000"/>
        <rFont val="Calibri"/>
        <family val="2"/>
      </rPr>
      <t xml:space="preserve"> 74</t>
    </r>
    <phoneticPr fontId="0" type="noConversion"/>
  </si>
  <si>
    <t>35.121341 / 128.106637</t>
    <phoneticPr fontId="9"/>
  </si>
  <si>
    <t>275-38, Eungol-gil, Jori-eup, Paju-si, Gyeonggi-do</t>
    <phoneticPr fontId="9"/>
  </si>
  <si>
    <r>
      <rPr>
        <sz val="9"/>
        <color rgb="FF000000"/>
        <rFont val="맑은 고딕"/>
        <family val="2"/>
      </rPr>
      <t>경기도</t>
    </r>
    <r>
      <rPr>
        <sz val="9"/>
        <color rgb="FF000000"/>
        <rFont val="Calibri"/>
        <family val="2"/>
      </rPr>
      <t xml:space="preserve"> </t>
    </r>
    <r>
      <rPr>
        <sz val="9"/>
        <color rgb="FF000000"/>
        <rFont val="맑은 고딕"/>
        <family val="2"/>
      </rPr>
      <t>파주시</t>
    </r>
    <r>
      <rPr>
        <sz val="9"/>
        <color rgb="FF000000"/>
        <rFont val="Calibri"/>
        <family val="2"/>
      </rPr>
      <t xml:space="preserve"> </t>
    </r>
    <r>
      <rPr>
        <sz val="9"/>
        <color rgb="FF000000"/>
        <rFont val="맑은 고딕"/>
        <family val="2"/>
      </rPr>
      <t>조리읍</t>
    </r>
    <r>
      <rPr>
        <sz val="9"/>
        <color rgb="FF000000"/>
        <rFont val="Calibri"/>
        <family val="2"/>
      </rPr>
      <t xml:space="preserve"> </t>
    </r>
    <r>
      <rPr>
        <sz val="9"/>
        <color rgb="FF000000"/>
        <rFont val="맑은 고딕"/>
        <family val="2"/>
      </rPr>
      <t>은골길</t>
    </r>
    <r>
      <rPr>
        <sz val="9"/>
        <color rgb="FF000000"/>
        <rFont val="Calibri"/>
        <family val="2"/>
      </rPr>
      <t xml:space="preserve"> 275-38</t>
    </r>
    <phoneticPr fontId="0" type="noConversion"/>
  </si>
  <si>
    <t>37.751031 / 126.846303</t>
    <phoneticPr fontId="9"/>
  </si>
  <si>
    <t>36.950735 / 127.187073</t>
    <phoneticPr fontId="9"/>
  </si>
  <si>
    <r>
      <rPr>
        <sz val="9"/>
        <color rgb="FF000000"/>
        <rFont val="맑은 고딕"/>
        <family val="2"/>
      </rPr>
      <t>경기도</t>
    </r>
    <r>
      <rPr>
        <sz val="9"/>
        <color rgb="FF000000"/>
        <rFont val="Calibri"/>
        <family val="2"/>
      </rPr>
      <t xml:space="preserve"> </t>
    </r>
    <r>
      <rPr>
        <sz val="9"/>
        <color rgb="FF000000"/>
        <rFont val="맑은 고딕"/>
        <family val="2"/>
      </rPr>
      <t>안산시</t>
    </r>
    <r>
      <rPr>
        <sz val="9"/>
        <color rgb="FF000000"/>
        <rFont val="Calibri"/>
        <family val="2"/>
      </rPr>
      <t xml:space="preserve"> </t>
    </r>
    <r>
      <rPr>
        <sz val="9"/>
        <color rgb="FF000000"/>
        <rFont val="맑은 고딕"/>
        <family val="2"/>
      </rPr>
      <t>단원구</t>
    </r>
    <r>
      <rPr>
        <sz val="9"/>
        <color rgb="FF000000"/>
        <rFont val="Calibri"/>
        <family val="2"/>
      </rPr>
      <t xml:space="preserve"> </t>
    </r>
    <r>
      <rPr>
        <sz val="9"/>
        <color rgb="FF000000"/>
        <rFont val="맑은 고딕"/>
        <family val="2"/>
      </rPr>
      <t>초지동</t>
    </r>
    <r>
      <rPr>
        <sz val="9"/>
        <color rgb="FF000000"/>
        <rFont val="Calibri"/>
        <family val="2"/>
      </rPr>
      <t xml:space="preserve"> 619-3</t>
    </r>
    <phoneticPr fontId="0" type="noConversion"/>
  </si>
  <si>
    <t>37.307331 / 126.803703</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</si>
  <si>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오성면</t>
    </r>
    <r>
      <rPr>
        <sz val="9"/>
        <color rgb="FF000000"/>
        <rFont val="Calibri"/>
        <family val="2"/>
      </rPr>
      <t xml:space="preserve"> </t>
    </r>
    <r>
      <rPr>
        <sz val="9"/>
        <color rgb="FF000000"/>
        <rFont val="맑은 고딕"/>
        <family val="2"/>
      </rPr>
      <t>창신뜰길</t>
    </r>
    <r>
      <rPr>
        <sz val="9"/>
        <color rgb="FF000000"/>
        <rFont val="Calibri"/>
        <family val="2"/>
      </rPr>
      <t xml:space="preserve"> 8, 10</t>
    </r>
    <phoneticPr fontId="0" type="noConversion"/>
  </si>
  <si>
    <t>37.013927 / 127.004582</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</si>
  <si>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오성면</t>
    </r>
    <r>
      <rPr>
        <sz val="9"/>
        <color rgb="FF000000"/>
        <rFont val="Calibri"/>
        <family val="2"/>
      </rPr>
      <t xml:space="preserve"> </t>
    </r>
    <r>
      <rPr>
        <sz val="9"/>
        <color rgb="FF000000"/>
        <rFont val="맑은 고딕"/>
        <family val="2"/>
      </rPr>
      <t>오성북로</t>
    </r>
    <r>
      <rPr>
        <sz val="9"/>
        <color rgb="FF000000"/>
        <rFont val="Calibri"/>
        <family val="2"/>
      </rPr>
      <t xml:space="preserve"> 112 </t>
    </r>
    <phoneticPr fontId="0" type="noConversion"/>
  </si>
  <si>
    <t xml:space="preserve"> 37.014575 / 126.973801</t>
    <phoneticPr fontId="9"/>
  </si>
  <si>
    <r>
      <rPr>
        <sz val="9"/>
        <color rgb="FF000000"/>
        <rFont val="맑은 고딕"/>
        <family val="2"/>
      </rPr>
      <t>경기도</t>
    </r>
    <r>
      <rPr>
        <sz val="9"/>
        <color rgb="FF000000"/>
        <rFont val="Calibri"/>
        <family val="2"/>
      </rPr>
      <t xml:space="preserve"> </t>
    </r>
    <r>
      <rPr>
        <sz val="9"/>
        <color rgb="FF000000"/>
        <rFont val="맑은 고딕"/>
        <family val="2"/>
      </rPr>
      <t>안성시</t>
    </r>
    <r>
      <rPr>
        <sz val="9"/>
        <color rgb="FF000000"/>
        <rFont val="Calibri"/>
        <family val="2"/>
      </rPr>
      <t xml:space="preserve"> </t>
    </r>
    <r>
      <rPr>
        <sz val="9"/>
        <color rgb="FF000000"/>
        <rFont val="맑은 고딕"/>
        <family val="2"/>
      </rPr>
      <t>양성면</t>
    </r>
    <r>
      <rPr>
        <sz val="9"/>
        <color rgb="FF000000"/>
        <rFont val="Calibri"/>
        <family val="2"/>
      </rPr>
      <t xml:space="preserve"> </t>
    </r>
    <r>
      <rPr>
        <sz val="9"/>
        <color rgb="FF000000"/>
        <rFont val="맑은 고딕"/>
        <family val="2"/>
      </rPr>
      <t>도곡길</t>
    </r>
    <r>
      <rPr>
        <sz val="9"/>
        <color rgb="FF000000"/>
        <rFont val="Calibri"/>
        <family val="2"/>
      </rPr>
      <t xml:space="preserve"> 34-3,36-20</t>
    </r>
    <phoneticPr fontId="0" type="noConversion"/>
  </si>
  <si>
    <t xml:space="preserve"> 37.078219 / 127.212921</t>
    <phoneticPr fontId="9"/>
  </si>
  <si>
    <r>
      <rPr>
        <sz val="9"/>
        <color rgb="FF000000"/>
        <rFont val="맑은 고딕"/>
        <family val="2"/>
      </rPr>
      <t>경기도</t>
    </r>
    <r>
      <rPr>
        <sz val="9"/>
        <color rgb="FF000000"/>
        <rFont val="Calibri"/>
        <family val="2"/>
      </rPr>
      <t xml:space="preserve"> </t>
    </r>
    <r>
      <rPr>
        <sz val="9"/>
        <color rgb="FF000000"/>
        <rFont val="맑은 고딕"/>
        <family val="2"/>
      </rPr>
      <t>김포시</t>
    </r>
    <r>
      <rPr>
        <sz val="9"/>
        <color rgb="FF000000"/>
        <rFont val="Calibri"/>
        <family val="2"/>
      </rPr>
      <t xml:space="preserve"> </t>
    </r>
    <r>
      <rPr>
        <sz val="9"/>
        <color rgb="FF000000"/>
        <rFont val="맑은 고딕"/>
        <family val="2"/>
      </rPr>
      <t>고촌읍</t>
    </r>
    <r>
      <rPr>
        <sz val="9"/>
        <color rgb="FF000000"/>
        <rFont val="Calibri"/>
        <family val="2"/>
      </rPr>
      <t xml:space="preserve"> </t>
    </r>
    <r>
      <rPr>
        <sz val="9"/>
        <color rgb="FF000000"/>
        <rFont val="맑은 고딕"/>
        <family val="2"/>
      </rPr>
      <t>아라육로</t>
    </r>
    <r>
      <rPr>
        <sz val="9"/>
        <color rgb="FF000000"/>
        <rFont val="Calibri"/>
        <family val="2"/>
      </rPr>
      <t>182</t>
    </r>
    <r>
      <rPr>
        <sz val="9"/>
        <color rgb="FF000000"/>
        <rFont val="맑은 고딕"/>
        <family val="2"/>
      </rPr>
      <t>번길</t>
    </r>
    <r>
      <rPr>
        <sz val="9"/>
        <color rgb="FF000000"/>
        <rFont val="Calibri"/>
        <family val="2"/>
      </rPr>
      <t xml:space="preserve"> 12</t>
    </r>
    <phoneticPr fontId="0" type="noConversion"/>
  </si>
  <si>
    <t xml:space="preserve"> 37.595567 / 126.782454</t>
    <phoneticPr fontId="9"/>
  </si>
  <si>
    <r>
      <rPr>
        <sz val="9"/>
        <color rgb="FF000000"/>
        <rFont val="맑은 고딕"/>
        <family val="2"/>
      </rPr>
      <t>경기도</t>
    </r>
    <r>
      <rPr>
        <sz val="9"/>
        <color rgb="FF000000"/>
        <rFont val="Calibri"/>
        <family val="2"/>
      </rPr>
      <t xml:space="preserve"> </t>
    </r>
    <r>
      <rPr>
        <sz val="9"/>
        <color rgb="FF000000"/>
        <rFont val="맑은 고딕"/>
        <family val="2"/>
      </rPr>
      <t>이천시</t>
    </r>
    <r>
      <rPr>
        <sz val="9"/>
        <color rgb="FF000000"/>
        <rFont val="Calibri"/>
        <family val="2"/>
      </rPr>
      <t xml:space="preserve"> </t>
    </r>
    <r>
      <rPr>
        <sz val="9"/>
        <color rgb="FF000000"/>
        <rFont val="맑은 고딕"/>
        <family val="2"/>
      </rPr>
      <t>대월면</t>
    </r>
    <r>
      <rPr>
        <sz val="9"/>
        <color rgb="FF000000"/>
        <rFont val="Calibri"/>
        <family val="2"/>
      </rPr>
      <t xml:space="preserve"> </t>
    </r>
    <r>
      <rPr>
        <sz val="9"/>
        <color rgb="FF000000"/>
        <rFont val="맑은 고딕"/>
        <family val="2"/>
        <charset val="129"/>
      </rPr>
      <t>대평로</t>
    </r>
    <r>
      <rPr>
        <sz val="9"/>
        <color rgb="FF000000"/>
        <rFont val="Calibri"/>
        <family val="2"/>
      </rPr>
      <t xml:space="preserve"> 124-33</t>
    </r>
    <phoneticPr fontId="0" type="noConversion"/>
  </si>
  <si>
    <t xml:space="preserve"> 37.227833 / 127.487317</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</si>
  <si>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도일유통길</t>
    </r>
    <r>
      <rPr>
        <sz val="9"/>
        <color rgb="FF000000"/>
        <rFont val="Calibri"/>
        <family val="2"/>
      </rPr>
      <t xml:space="preserve"> 87</t>
    </r>
    <phoneticPr fontId="0" type="noConversion"/>
  </si>
  <si>
    <t xml:space="preserve"> 37.039748 / 127.103925</t>
    <phoneticPr fontId="9"/>
  </si>
  <si>
    <r>
      <rPr>
        <sz val="9"/>
        <color rgb="FF000000"/>
        <rFont val="맑은 고딕"/>
        <family val="2"/>
      </rPr>
      <t>대구광역시</t>
    </r>
    <r>
      <rPr>
        <sz val="9"/>
        <color rgb="FF000000"/>
        <rFont val="Calibri"/>
        <family val="2"/>
      </rPr>
      <t xml:space="preserve"> </t>
    </r>
    <r>
      <rPr>
        <sz val="9"/>
        <color rgb="FF000000"/>
        <rFont val="맑은 고딕"/>
        <family val="2"/>
      </rPr>
      <t>동구</t>
    </r>
    <r>
      <rPr>
        <sz val="9"/>
        <color rgb="FF000000"/>
        <rFont val="Calibri"/>
        <family val="2"/>
      </rPr>
      <t xml:space="preserve"> </t>
    </r>
    <r>
      <rPr>
        <sz val="9"/>
        <color rgb="FF000000"/>
        <rFont val="맑은 고딕"/>
        <family val="2"/>
      </rPr>
      <t>안심로</t>
    </r>
    <r>
      <rPr>
        <sz val="9"/>
        <color rgb="FF000000"/>
        <rFont val="Calibri"/>
        <family val="2"/>
      </rPr>
      <t>102</t>
    </r>
    <r>
      <rPr>
        <sz val="9"/>
        <color rgb="FF000000"/>
        <rFont val="맑은 고딕"/>
        <family val="2"/>
      </rPr>
      <t>길</t>
    </r>
    <r>
      <rPr>
        <sz val="9"/>
        <color rgb="FF000000"/>
        <rFont val="Calibri"/>
        <family val="2"/>
      </rPr>
      <t xml:space="preserve"> 11</t>
    </r>
    <phoneticPr fontId="0" type="noConversion"/>
  </si>
  <si>
    <t xml:space="preserve"> 35.870991 / 128.739964</t>
    <phoneticPr fontId="9"/>
  </si>
  <si>
    <t>37, Garisae 3-ro, Gangseo-gu, Busan</t>
    <phoneticPr fontId="9"/>
  </si>
  <si>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강서구</t>
    </r>
    <r>
      <rPr>
        <sz val="9"/>
        <color rgb="FF000000"/>
        <rFont val="Calibri"/>
        <family val="2"/>
      </rPr>
      <t xml:space="preserve"> </t>
    </r>
    <r>
      <rPr>
        <sz val="9"/>
        <color rgb="FF000000"/>
        <rFont val="맑은 고딕"/>
        <family val="3"/>
        <charset val="129"/>
      </rPr>
      <t>가리새</t>
    </r>
    <r>
      <rPr>
        <sz val="9"/>
        <color rgb="FF000000"/>
        <rFont val="Calibri"/>
        <family val="2"/>
      </rPr>
      <t>3</t>
    </r>
    <r>
      <rPr>
        <sz val="9"/>
        <color rgb="FF000000"/>
        <rFont val="맑은 고딕"/>
        <family val="3"/>
        <charset val="129"/>
      </rPr>
      <t>로</t>
    </r>
    <r>
      <rPr>
        <sz val="9"/>
        <color rgb="FF000000"/>
        <rFont val="Calibri"/>
        <family val="2"/>
      </rPr>
      <t xml:space="preserve"> 37</t>
    </r>
    <phoneticPr fontId="0" type="noConversion"/>
  </si>
  <si>
    <t xml:space="preserve"> 35.139336 / 128.888810</t>
    <phoneticPr fontId="9"/>
  </si>
  <si>
    <t>116, Daedong-ro, Sasang-gu, Busan</t>
    <phoneticPr fontId="9"/>
  </si>
  <si>
    <r>
      <rPr>
        <sz val="9"/>
        <color rgb="FF000000"/>
        <rFont val="맑은 고딕"/>
        <family val="3"/>
        <charset val="129"/>
      </rPr>
      <t>부산광역시</t>
    </r>
    <r>
      <rPr>
        <sz val="9"/>
        <color rgb="FF000000"/>
        <rFont val="Calibri"/>
        <family val="2"/>
      </rPr>
      <t xml:space="preserve"> </t>
    </r>
    <r>
      <rPr>
        <sz val="9"/>
        <color rgb="FF000000"/>
        <rFont val="맑은 고딕"/>
        <family val="3"/>
        <charset val="129"/>
      </rPr>
      <t>사상구</t>
    </r>
    <r>
      <rPr>
        <sz val="9"/>
        <color rgb="FF000000"/>
        <rFont val="Calibri"/>
        <family val="2"/>
      </rPr>
      <t xml:space="preserve"> </t>
    </r>
    <r>
      <rPr>
        <sz val="9"/>
        <color rgb="FF000000"/>
        <rFont val="맑은 고딕"/>
        <family val="3"/>
        <charset val="129"/>
      </rPr>
      <t>학장동</t>
    </r>
    <r>
      <rPr>
        <sz val="9"/>
        <color rgb="FF000000"/>
        <rFont val="Calibri"/>
        <family val="2"/>
      </rPr>
      <t xml:space="preserve"> 574-72</t>
    </r>
    <phoneticPr fontId="0" type="noConversion"/>
  </si>
  <si>
    <t xml:space="preserve"> 35.139125 / 128.980940</t>
    <phoneticPr fontId="9"/>
  </si>
  <si>
    <t>42, Seohae-daero 140beon-gil, Jung-gu, Incheon</t>
    <phoneticPr fontId="9"/>
  </si>
  <si>
    <r>
      <rPr>
        <sz val="9"/>
        <color rgb="FF000000"/>
        <rFont val="맑은 고딕"/>
        <family val="3"/>
        <charset val="129"/>
      </rPr>
      <t>인천광역시</t>
    </r>
    <r>
      <rPr>
        <sz val="9"/>
        <color rgb="FF000000"/>
        <rFont val="Calibri"/>
        <family val="2"/>
      </rPr>
      <t xml:space="preserve"> </t>
    </r>
    <r>
      <rPr>
        <sz val="9"/>
        <color rgb="FF000000"/>
        <rFont val="맑은 고딕"/>
        <family val="3"/>
        <charset val="129"/>
      </rPr>
      <t>중구</t>
    </r>
    <r>
      <rPr>
        <sz val="9"/>
        <color rgb="FF000000"/>
        <rFont val="Calibri"/>
        <family val="2"/>
      </rPr>
      <t xml:space="preserve"> </t>
    </r>
    <r>
      <rPr>
        <sz val="9"/>
        <color rgb="FF000000"/>
        <rFont val="맑은 고딕"/>
        <family val="3"/>
        <charset val="129"/>
      </rPr>
      <t>신흥동</t>
    </r>
    <r>
      <rPr>
        <sz val="9"/>
        <color rgb="FF000000"/>
        <rFont val="Calibri"/>
        <family val="2"/>
      </rPr>
      <t xml:space="preserve"> 3</t>
    </r>
    <r>
      <rPr>
        <sz val="9"/>
        <color rgb="FF000000"/>
        <rFont val="맑은 고딕"/>
        <family val="3"/>
        <charset val="129"/>
      </rPr>
      <t>가</t>
    </r>
    <r>
      <rPr>
        <sz val="9"/>
        <color rgb="FF000000"/>
        <rFont val="Calibri"/>
        <family val="2"/>
      </rPr>
      <t xml:space="preserve"> 62-1</t>
    </r>
    <phoneticPr fontId="0" type="noConversion"/>
  </si>
  <si>
    <t xml:space="preserve"> 37.438408 / 126.623474</t>
    <phoneticPr fontId="9"/>
  </si>
  <si>
    <t>142, Danpung-ro, Jangseong-eup, Jangseong-gun, Jeollanam-do</t>
    <phoneticPr fontId="9"/>
  </si>
  <si>
    <r>
      <rPr>
        <sz val="9"/>
        <color rgb="FF000000"/>
        <rFont val="맑은 고딕"/>
        <family val="3"/>
        <charset val="129"/>
      </rPr>
      <t>전라남도</t>
    </r>
    <r>
      <rPr>
        <sz val="9"/>
        <color rgb="FF000000"/>
        <rFont val="Calibri"/>
        <family val="2"/>
      </rPr>
      <t xml:space="preserve"> </t>
    </r>
    <r>
      <rPr>
        <sz val="9"/>
        <color rgb="FF000000"/>
        <rFont val="맑은 고딕"/>
        <family val="3"/>
        <charset val="129"/>
      </rPr>
      <t>장성군</t>
    </r>
    <r>
      <rPr>
        <sz val="9"/>
        <color rgb="FF000000"/>
        <rFont val="Calibri"/>
        <family val="2"/>
      </rPr>
      <t xml:space="preserve"> </t>
    </r>
    <r>
      <rPr>
        <sz val="9"/>
        <color rgb="FF000000"/>
        <rFont val="맑은 고딕"/>
        <family val="3"/>
        <charset val="129"/>
      </rPr>
      <t>장성읍</t>
    </r>
    <r>
      <rPr>
        <sz val="9"/>
        <color rgb="FF000000"/>
        <rFont val="Calibri"/>
        <family val="2"/>
      </rPr>
      <t xml:space="preserve"> </t>
    </r>
    <r>
      <rPr>
        <sz val="9"/>
        <color rgb="FF000000"/>
        <rFont val="맑은 고딕"/>
        <family val="3"/>
        <charset val="129"/>
      </rPr>
      <t>유탕리</t>
    </r>
    <r>
      <rPr>
        <sz val="9"/>
        <color rgb="FF000000"/>
        <rFont val="Calibri"/>
        <family val="2"/>
      </rPr>
      <t xml:space="preserve"> 1831</t>
    </r>
    <phoneticPr fontId="0" type="noConversion"/>
  </si>
  <si>
    <t xml:space="preserve"> 35.315957 / 126.797718</t>
    <phoneticPr fontId="9"/>
  </si>
  <si>
    <t>167, Sinbok-ro, Deokjin-gu, Jeonju-si, Jeonbuk-do</t>
    <phoneticPr fontId="9"/>
  </si>
  <si>
    <r>
      <rPr>
        <sz val="9"/>
        <color rgb="FF000000"/>
        <rFont val="맑은 고딕"/>
        <family val="3"/>
        <charset val="129"/>
      </rPr>
      <t>전북특별자치도</t>
    </r>
    <r>
      <rPr>
        <sz val="9"/>
        <color rgb="FF000000"/>
        <rFont val="Calibri"/>
        <family val="2"/>
      </rPr>
      <t xml:space="preserve"> </t>
    </r>
    <r>
      <rPr>
        <sz val="9"/>
        <color rgb="FF000000"/>
        <rFont val="맑은 고딕"/>
        <family val="3"/>
        <charset val="129"/>
      </rPr>
      <t>전주시</t>
    </r>
    <r>
      <rPr>
        <sz val="9"/>
        <color rgb="FF000000"/>
        <rFont val="Calibri"/>
        <family val="2"/>
      </rPr>
      <t xml:space="preserve"> </t>
    </r>
    <r>
      <rPr>
        <sz val="9"/>
        <color rgb="FF000000"/>
        <rFont val="맑은 고딕"/>
        <family val="3"/>
        <charset val="129"/>
      </rPr>
      <t>덕진구</t>
    </r>
    <r>
      <rPr>
        <sz val="9"/>
        <color rgb="FF000000"/>
        <rFont val="Calibri"/>
        <family val="2"/>
      </rPr>
      <t xml:space="preserve"> </t>
    </r>
    <r>
      <rPr>
        <sz val="9"/>
        <color rgb="FF000000"/>
        <rFont val="맑은 고딕"/>
        <family val="3"/>
        <charset val="129"/>
      </rPr>
      <t>팔복동</t>
    </r>
    <r>
      <rPr>
        <sz val="9"/>
        <color rgb="FF000000"/>
        <rFont val="Calibri"/>
        <family val="2"/>
      </rPr>
      <t>4</t>
    </r>
    <r>
      <rPr>
        <sz val="9"/>
        <color rgb="FF000000"/>
        <rFont val="맑은 고딕"/>
        <family val="3"/>
        <charset val="129"/>
      </rPr>
      <t>가</t>
    </r>
    <r>
      <rPr>
        <sz val="9"/>
        <color rgb="FF000000"/>
        <rFont val="Calibri"/>
        <family val="2"/>
      </rPr>
      <t xml:space="preserve"> 249-10</t>
    </r>
    <phoneticPr fontId="0" type="noConversion"/>
  </si>
  <si>
    <t xml:space="preserve"> 35.863619 / 127.099393</t>
    <phoneticPr fontId="9"/>
  </si>
  <si>
    <t>440, Chojeongyaksu-ro, Naesu-eup, Cheongwon-gu, Cheongju-si, Chungcheongbuk-do</t>
    <phoneticPr fontId="9"/>
  </si>
  <si>
    <r>
      <rPr>
        <sz val="9"/>
        <color rgb="FF000000"/>
        <rFont val="맑은 고딕"/>
        <family val="3"/>
        <charset val="129"/>
      </rPr>
      <t>충청북도</t>
    </r>
    <r>
      <rPr>
        <sz val="9"/>
        <color rgb="FF000000"/>
        <rFont val="Calibri"/>
        <family val="2"/>
      </rPr>
      <t xml:space="preserve"> </t>
    </r>
    <r>
      <rPr>
        <sz val="9"/>
        <color rgb="FF000000"/>
        <rFont val="맑은 고딕"/>
        <family val="3"/>
        <charset val="129"/>
      </rPr>
      <t>청주시</t>
    </r>
    <r>
      <rPr>
        <sz val="9"/>
        <color rgb="FF000000"/>
        <rFont val="Calibri"/>
        <family val="2"/>
      </rPr>
      <t xml:space="preserve"> </t>
    </r>
    <r>
      <rPr>
        <sz val="9"/>
        <color rgb="FF000000"/>
        <rFont val="맑은 고딕"/>
        <family val="3"/>
        <charset val="129"/>
      </rPr>
      <t>청원구</t>
    </r>
    <r>
      <rPr>
        <sz val="9"/>
        <color rgb="FF000000"/>
        <rFont val="Calibri"/>
        <family val="2"/>
      </rPr>
      <t xml:space="preserve"> </t>
    </r>
    <r>
      <rPr>
        <sz val="9"/>
        <color rgb="FF000000"/>
        <rFont val="맑은 고딕"/>
        <family val="3"/>
        <charset val="129"/>
      </rPr>
      <t>내수읍</t>
    </r>
    <r>
      <rPr>
        <sz val="9"/>
        <color rgb="FF000000"/>
        <rFont val="Calibri"/>
        <family val="2"/>
      </rPr>
      <t xml:space="preserve"> </t>
    </r>
    <r>
      <rPr>
        <sz val="9"/>
        <color rgb="FF000000"/>
        <rFont val="맑은 고딕"/>
        <family val="3"/>
        <charset val="129"/>
      </rPr>
      <t>풍정리</t>
    </r>
    <r>
      <rPr>
        <sz val="9"/>
        <color rgb="FF000000"/>
        <rFont val="Calibri"/>
        <family val="2"/>
      </rPr>
      <t xml:space="preserve"> 16</t>
    </r>
    <phoneticPr fontId="0" type="noConversion"/>
  </si>
  <si>
    <t xml:space="preserve"> 36.711524 / 127.557304</t>
    <phoneticPr fontId="9"/>
  </si>
  <si>
    <t>23, Jeokseogongdan-ro, Yeongju-si, Gyeongsangbuk-do</t>
    <phoneticPr fontId="9"/>
  </si>
  <si>
    <r>
      <rPr>
        <sz val="9"/>
        <color rgb="FF000000"/>
        <rFont val="맑은 고딕"/>
        <family val="3"/>
        <charset val="129"/>
      </rPr>
      <t>경상북도</t>
    </r>
    <r>
      <rPr>
        <sz val="9"/>
        <color rgb="FF000000"/>
        <rFont val="Calibri"/>
        <family val="2"/>
      </rPr>
      <t xml:space="preserve"> </t>
    </r>
    <r>
      <rPr>
        <sz val="9"/>
        <color rgb="FF000000"/>
        <rFont val="맑은 고딕"/>
        <family val="3"/>
        <charset val="129"/>
      </rPr>
      <t>영주시</t>
    </r>
    <r>
      <rPr>
        <sz val="9"/>
        <color rgb="FF000000"/>
        <rFont val="Calibri"/>
        <family val="2"/>
      </rPr>
      <t xml:space="preserve"> </t>
    </r>
    <r>
      <rPr>
        <sz val="9"/>
        <color rgb="FF000000"/>
        <rFont val="맑은 고딕"/>
        <family val="3"/>
        <charset val="129"/>
      </rPr>
      <t>적서동</t>
    </r>
    <r>
      <rPr>
        <sz val="9"/>
        <color rgb="FF000000"/>
        <rFont val="Calibri"/>
        <family val="2"/>
      </rPr>
      <t xml:space="preserve"> 250</t>
    </r>
    <phoneticPr fontId="0" type="noConversion"/>
  </si>
  <si>
    <t xml:space="preserve"> 36.791685 / 128.626380</t>
    <phoneticPr fontId="9"/>
  </si>
  <si>
    <t>15, Hyundaikia-ro 830beon-gil, Bibong-myeon, Hwaseong-si, Gyeonggi-do</t>
    <phoneticPr fontId="9"/>
  </si>
  <si>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화성시</t>
    </r>
    <r>
      <rPr>
        <sz val="9"/>
        <color rgb="FF000000"/>
        <rFont val="Calibri"/>
        <family val="2"/>
      </rPr>
      <t xml:space="preserve"> </t>
    </r>
    <r>
      <rPr>
        <sz val="9"/>
        <color rgb="FF000000"/>
        <rFont val="맑은 고딕"/>
        <family val="3"/>
        <charset val="129"/>
      </rPr>
      <t>비봉면</t>
    </r>
    <r>
      <rPr>
        <sz val="9"/>
        <color rgb="FF000000"/>
        <rFont val="Calibri"/>
        <family val="2"/>
      </rPr>
      <t xml:space="preserve"> </t>
    </r>
    <r>
      <rPr>
        <sz val="9"/>
        <color rgb="FF000000"/>
        <rFont val="맑은 고딕"/>
        <family val="3"/>
        <charset val="129"/>
      </rPr>
      <t>양노리</t>
    </r>
    <r>
      <rPr>
        <sz val="9"/>
        <color rgb="FF000000"/>
        <rFont val="Calibri"/>
        <family val="2"/>
      </rPr>
      <t xml:space="preserve"> 722-8</t>
    </r>
    <phoneticPr fontId="0" type="noConversion"/>
  </si>
  <si>
    <t xml:space="preserve"> 37.221639 / 126.860580</t>
    <phoneticPr fontId="9"/>
  </si>
  <si>
    <t>70-21, Soran-gil, Yanggam-myeon, Hwaseong-si, Gyeonggi-do</t>
    <phoneticPr fontId="9"/>
  </si>
  <si>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화성시</t>
    </r>
    <r>
      <rPr>
        <sz val="9"/>
        <color rgb="FF000000"/>
        <rFont val="Calibri"/>
        <family val="2"/>
      </rPr>
      <t xml:space="preserve"> </t>
    </r>
    <r>
      <rPr>
        <sz val="9"/>
        <color rgb="FF000000"/>
        <rFont val="맑은 고딕"/>
        <family val="3"/>
        <charset val="129"/>
      </rPr>
      <t>양감면</t>
    </r>
    <r>
      <rPr>
        <sz val="9"/>
        <color rgb="FF000000"/>
        <rFont val="Calibri"/>
        <family val="2"/>
      </rPr>
      <t xml:space="preserve"> </t>
    </r>
    <r>
      <rPr>
        <sz val="9"/>
        <color rgb="FF000000"/>
        <rFont val="맑은 고딕"/>
        <family val="3"/>
        <charset val="129"/>
      </rPr>
      <t>사창리</t>
    </r>
    <r>
      <rPr>
        <sz val="9"/>
        <color rgb="FF000000"/>
        <rFont val="Calibri"/>
        <family val="2"/>
      </rPr>
      <t xml:space="preserve"> 1101-15</t>
    </r>
    <phoneticPr fontId="0" type="noConversion"/>
  </si>
  <si>
    <t xml:space="preserve"> 37.081635 / 126.966262</t>
    <phoneticPr fontId="9"/>
  </si>
  <si>
    <r>
      <rPr>
        <sz val="9"/>
        <color rgb="FF000000"/>
        <rFont val="맑은 고딕"/>
        <family val="3"/>
        <charset val="129"/>
      </rPr>
      <t>경기도</t>
    </r>
    <r>
      <rPr>
        <sz val="9"/>
        <color rgb="FF000000"/>
        <rFont val="Calibri"/>
        <family val="2"/>
      </rPr>
      <t xml:space="preserve"> </t>
    </r>
    <r>
      <rPr>
        <sz val="9"/>
        <color rgb="FF000000"/>
        <rFont val="맑은 고딕"/>
        <family val="3"/>
        <charset val="129"/>
      </rPr>
      <t>화성시</t>
    </r>
    <r>
      <rPr>
        <sz val="9"/>
        <color rgb="FF000000"/>
        <rFont val="Calibri"/>
        <family val="2"/>
      </rPr>
      <t xml:space="preserve"> </t>
    </r>
    <r>
      <rPr>
        <sz val="9"/>
        <color rgb="FF000000"/>
        <rFont val="맑은 고딕"/>
        <family val="3"/>
        <charset val="129"/>
      </rPr>
      <t>향남읍</t>
    </r>
    <r>
      <rPr>
        <sz val="9"/>
        <color rgb="FF000000"/>
        <rFont val="Calibri"/>
        <family val="2"/>
      </rPr>
      <t xml:space="preserve"> </t>
    </r>
    <r>
      <rPr>
        <sz val="9"/>
        <color rgb="FF000000"/>
        <rFont val="맑은 고딕"/>
        <family val="3"/>
        <charset val="129"/>
      </rPr>
      <t>백토리</t>
    </r>
    <r>
      <rPr>
        <sz val="9"/>
        <color rgb="FF000000"/>
        <rFont val="Calibri"/>
        <family val="2"/>
      </rPr>
      <t xml:space="preserve"> 429-10</t>
    </r>
    <phoneticPr fontId="0" type="noConversion"/>
  </si>
  <si>
    <t xml:space="preserve"> 37.122956 / 126.944645</t>
    <phoneticPr fontId="9"/>
  </si>
  <si>
    <r>
      <rPr>
        <sz val="9"/>
        <color rgb="FF000000"/>
        <rFont val="맑은 고딕"/>
        <family val="2"/>
      </rPr>
      <t>경기도</t>
    </r>
    <r>
      <rPr>
        <sz val="9"/>
        <color rgb="FF000000"/>
        <rFont val="Calibri"/>
        <family val="2"/>
      </rPr>
      <t xml:space="preserve"> </t>
    </r>
    <r>
      <rPr>
        <sz val="9"/>
        <color rgb="FF000000"/>
        <rFont val="맑은 고딕"/>
        <family val="2"/>
      </rPr>
      <t>화성시</t>
    </r>
    <r>
      <rPr>
        <sz val="9"/>
        <color rgb="FF000000"/>
        <rFont val="Calibri"/>
        <family val="2"/>
      </rPr>
      <t xml:space="preserve"> </t>
    </r>
    <r>
      <rPr>
        <sz val="9"/>
        <color rgb="FF000000"/>
        <rFont val="맑은 고딕"/>
        <family val="2"/>
      </rPr>
      <t>향남읍</t>
    </r>
    <r>
      <rPr>
        <sz val="9"/>
        <color rgb="FF000000"/>
        <rFont val="Calibri"/>
        <family val="2"/>
      </rPr>
      <t xml:space="preserve"> </t>
    </r>
    <r>
      <rPr>
        <sz val="9"/>
        <color rgb="FF000000"/>
        <rFont val="맑은 고딕"/>
        <family val="2"/>
      </rPr>
      <t>백토리</t>
    </r>
    <r>
      <rPr>
        <sz val="9"/>
        <color rgb="FF000000"/>
        <rFont val="Calibri"/>
        <family val="2"/>
      </rPr>
      <t xml:space="preserve"> 85-1,85-2</t>
    </r>
    <phoneticPr fontId="0" type="noConversion"/>
  </si>
  <si>
    <t xml:space="preserve"> 37.123441 / 126.945943</t>
    <phoneticPr fontId="9"/>
  </si>
  <si>
    <t xml:space="preserve"> 37.036088 / 126.979952</t>
    <phoneticPr fontId="9"/>
  </si>
  <si>
    <t xml:space="preserve"> 37.038433 / 126.974824</t>
    <phoneticPr fontId="9"/>
  </si>
  <si>
    <r>
      <rPr>
        <sz val="9"/>
        <color rgb="FF000000"/>
        <rFont val="맑은 고딕"/>
        <family val="2"/>
      </rPr>
      <t>경상남도</t>
    </r>
    <r>
      <rPr>
        <sz val="9"/>
        <color rgb="FF000000"/>
        <rFont val="Calibri"/>
        <family val="2"/>
      </rPr>
      <t xml:space="preserve"> </t>
    </r>
    <r>
      <rPr>
        <sz val="9"/>
        <color rgb="FF000000"/>
        <rFont val="맑은 고딕"/>
        <family val="2"/>
      </rPr>
      <t>김해시</t>
    </r>
    <r>
      <rPr>
        <sz val="9"/>
        <color rgb="FF000000"/>
        <rFont val="Calibri"/>
        <family val="2"/>
      </rPr>
      <t xml:space="preserve"> </t>
    </r>
    <r>
      <rPr>
        <sz val="9"/>
        <color rgb="FF000000"/>
        <rFont val="맑은 고딕"/>
        <family val="2"/>
      </rPr>
      <t>한림면</t>
    </r>
    <r>
      <rPr>
        <sz val="9"/>
        <color rgb="FF000000"/>
        <rFont val="Calibri"/>
        <family val="2"/>
      </rPr>
      <t xml:space="preserve"> </t>
    </r>
    <r>
      <rPr>
        <sz val="9"/>
        <color rgb="FF000000"/>
        <rFont val="맑은 고딕"/>
        <family val="2"/>
      </rPr>
      <t>안하리</t>
    </r>
    <r>
      <rPr>
        <sz val="9"/>
        <color rgb="FF000000"/>
        <rFont val="Calibri"/>
        <family val="2"/>
      </rPr>
      <t xml:space="preserve"> 2002-9</t>
    </r>
    <phoneticPr fontId="0" type="noConversion"/>
  </si>
  <si>
    <t xml:space="preserve"> 35.300778 / 128.831988</t>
    <phoneticPr fontId="9"/>
  </si>
  <si>
    <t xml:space="preserve"> 37.873020 / 127.156552</t>
    <phoneticPr fontId="9"/>
  </si>
  <si>
    <r>
      <rPr>
        <sz val="9"/>
        <color rgb="FF000000"/>
        <rFont val="맑은 고딕"/>
        <family val="2"/>
      </rPr>
      <t>부산광역시</t>
    </r>
    <r>
      <rPr>
        <sz val="9"/>
        <color rgb="FF000000"/>
        <rFont val="Calibri"/>
        <family val="2"/>
      </rPr>
      <t xml:space="preserve"> </t>
    </r>
    <r>
      <rPr>
        <sz val="9"/>
        <color rgb="FF000000"/>
        <rFont val="맑은 고딕"/>
        <family val="2"/>
      </rPr>
      <t>기장군</t>
    </r>
    <r>
      <rPr>
        <sz val="9"/>
        <color rgb="FF000000"/>
        <rFont val="Calibri"/>
        <family val="2"/>
      </rPr>
      <t xml:space="preserve"> </t>
    </r>
    <r>
      <rPr>
        <sz val="9"/>
        <color rgb="FF000000"/>
        <rFont val="맑은 고딕"/>
        <family val="2"/>
      </rPr>
      <t>장안읍</t>
    </r>
    <r>
      <rPr>
        <sz val="9"/>
        <color rgb="FF000000"/>
        <rFont val="Calibri"/>
        <family val="2"/>
      </rPr>
      <t xml:space="preserve"> </t>
    </r>
    <r>
      <rPr>
        <sz val="9"/>
        <color rgb="FF000000"/>
        <rFont val="맑은 고딕"/>
        <family val="2"/>
      </rPr>
      <t>장안산단</t>
    </r>
    <r>
      <rPr>
        <sz val="9"/>
        <color rgb="FF000000"/>
        <rFont val="Calibri"/>
        <family val="2"/>
      </rPr>
      <t>9</t>
    </r>
    <r>
      <rPr>
        <sz val="9"/>
        <color rgb="FF000000"/>
        <rFont val="맑은 고딕"/>
        <family val="2"/>
      </rPr>
      <t>로</t>
    </r>
    <r>
      <rPr>
        <sz val="9"/>
        <color rgb="FF000000"/>
        <rFont val="Calibri"/>
        <family val="2"/>
      </rPr>
      <t xml:space="preserve"> 87</t>
    </r>
    <phoneticPr fontId="0" type="noConversion"/>
  </si>
  <si>
    <t xml:space="preserve"> 35.328139/ 129.266508</t>
    <phoneticPr fontId="9"/>
  </si>
  <si>
    <t>35.095200 / 129.046419</t>
    <phoneticPr fontId="9"/>
  </si>
  <si>
    <t>35.051661 / 128.991991</t>
    <phoneticPr fontId="9"/>
  </si>
  <si>
    <t>35.564485 / 128.500461</t>
    <phoneticPr fontId="9"/>
  </si>
  <si>
    <t>255, Bongnaenaru-ro, Yeongdo-gu, Busan</t>
  </si>
  <si>
    <r>
      <rPr>
        <sz val="9"/>
        <color rgb="FF000000"/>
        <rFont val="맑은 고딕"/>
        <family val="2"/>
      </rPr>
      <t>부산광역시</t>
    </r>
    <r>
      <rPr>
        <sz val="9"/>
        <color rgb="FF000000"/>
        <rFont val="Calibri"/>
        <family val="2"/>
      </rPr>
      <t xml:space="preserve"> </t>
    </r>
    <r>
      <rPr>
        <sz val="9"/>
        <color rgb="FF000000"/>
        <rFont val="맑은 고딕"/>
        <family val="2"/>
      </rPr>
      <t>영도구</t>
    </r>
    <r>
      <rPr>
        <sz val="9"/>
        <color rgb="FF000000"/>
        <rFont val="Calibri"/>
        <family val="2"/>
      </rPr>
      <t xml:space="preserve"> </t>
    </r>
    <r>
      <rPr>
        <sz val="9"/>
        <color rgb="FF000000"/>
        <rFont val="맑은 고딕"/>
        <family val="2"/>
      </rPr>
      <t>봉래나루로</t>
    </r>
    <r>
      <rPr>
        <sz val="9"/>
        <color rgb="FF000000"/>
        <rFont val="Calibri"/>
        <family val="2"/>
      </rPr>
      <t xml:space="preserve"> 255</t>
    </r>
    <r>
      <rPr>
        <sz val="11"/>
        <color theme="1"/>
        <rFont val="맑은 고딕"/>
        <family val="2"/>
        <charset val="129"/>
        <scheme val="minor"/>
      </rPr>
      <t/>
    </r>
  </si>
  <si>
    <t>35.095200 / 129.046420</t>
  </si>
  <si>
    <t>455, Gamcheonhang-ro, Saha-gu, Busan</t>
  </si>
  <si>
    <r>
      <rPr>
        <sz val="9"/>
        <color rgb="FF000000"/>
        <rFont val="맑은 고딕"/>
        <family val="2"/>
      </rPr>
      <t>부산광역시</t>
    </r>
    <r>
      <rPr>
        <sz val="9"/>
        <color rgb="FF000000"/>
        <rFont val="Calibri"/>
        <family val="2"/>
      </rPr>
      <t xml:space="preserve"> </t>
    </r>
    <r>
      <rPr>
        <sz val="9"/>
        <color rgb="FF000000"/>
        <rFont val="맑은 고딕"/>
        <family val="2"/>
      </rPr>
      <t>사하구</t>
    </r>
    <r>
      <rPr>
        <sz val="9"/>
        <color rgb="FF000000"/>
        <rFont val="Calibri"/>
        <family val="2"/>
      </rPr>
      <t xml:space="preserve"> </t>
    </r>
    <r>
      <rPr>
        <sz val="9"/>
        <color rgb="FF000000"/>
        <rFont val="맑은 고딕"/>
        <family val="2"/>
      </rPr>
      <t>감천항로</t>
    </r>
    <r>
      <rPr>
        <sz val="9"/>
        <color rgb="FF000000"/>
        <rFont val="Calibri"/>
        <family val="2"/>
      </rPr>
      <t xml:space="preserve"> 455</t>
    </r>
    <r>
      <rPr>
        <sz val="11"/>
        <color theme="1"/>
        <rFont val="맑은 고딕"/>
        <family val="2"/>
        <charset val="129"/>
        <scheme val="minor"/>
      </rPr>
      <t/>
    </r>
  </si>
  <si>
    <t>35.051661 / 128.991992</t>
  </si>
  <si>
    <t>259-34 Changmil-ro, Changnyeong-eup, Changnyeong-gun, Gyeongsangnam-do</t>
  </si>
  <si>
    <r>
      <rPr>
        <sz val="9"/>
        <color rgb="FF000000"/>
        <rFont val="맑은 고딕"/>
        <family val="2"/>
      </rPr>
      <t>경상남도</t>
    </r>
    <r>
      <rPr>
        <sz val="9"/>
        <color rgb="FF000000"/>
        <rFont val="Calibri"/>
        <family val="2"/>
      </rPr>
      <t xml:space="preserve"> </t>
    </r>
    <r>
      <rPr>
        <sz val="9"/>
        <color rgb="FF000000"/>
        <rFont val="맑은 고딕"/>
        <family val="2"/>
      </rPr>
      <t>창녕군</t>
    </r>
    <r>
      <rPr>
        <sz val="9"/>
        <color rgb="FF000000"/>
        <rFont val="Calibri"/>
        <family val="2"/>
      </rPr>
      <t xml:space="preserve"> </t>
    </r>
    <r>
      <rPr>
        <sz val="9"/>
        <color rgb="FF000000"/>
        <rFont val="맑은 고딕"/>
        <family val="2"/>
      </rPr>
      <t>창녕읍</t>
    </r>
    <r>
      <rPr>
        <sz val="9"/>
        <color rgb="FF000000"/>
        <rFont val="Calibri"/>
        <family val="2"/>
      </rPr>
      <t xml:space="preserve"> </t>
    </r>
    <r>
      <rPr>
        <sz val="9"/>
        <color rgb="FF000000"/>
        <rFont val="맑은 고딕"/>
        <family val="2"/>
      </rPr>
      <t>창밀로</t>
    </r>
    <r>
      <rPr>
        <sz val="9"/>
        <color rgb="FF000000"/>
        <rFont val="Calibri"/>
        <family val="2"/>
      </rPr>
      <t xml:space="preserve"> 259-34</t>
    </r>
    <r>
      <rPr>
        <sz val="11"/>
        <color theme="1"/>
        <rFont val="맑은 고딕"/>
        <family val="2"/>
        <charset val="129"/>
        <scheme val="minor"/>
      </rPr>
      <t/>
    </r>
  </si>
  <si>
    <t>35.564485 / 128.500462</t>
  </si>
  <si>
    <t>256, Bongnaenaru-ro, Yeongdo-gu, Busan</t>
  </si>
  <si>
    <r>
      <rPr>
        <sz val="9"/>
        <color rgb="FF000000"/>
        <rFont val="맑은 고딕"/>
        <family val="2"/>
      </rPr>
      <t>부산광역시</t>
    </r>
    <r>
      <rPr>
        <sz val="9"/>
        <color rgb="FF000000"/>
        <rFont val="Calibri"/>
        <family val="2"/>
      </rPr>
      <t xml:space="preserve"> </t>
    </r>
    <r>
      <rPr>
        <sz val="9"/>
        <color rgb="FF000000"/>
        <rFont val="맑은 고딕"/>
        <family val="2"/>
      </rPr>
      <t>영도구</t>
    </r>
    <r>
      <rPr>
        <sz val="9"/>
        <color rgb="FF000000"/>
        <rFont val="Calibri"/>
        <family val="2"/>
      </rPr>
      <t xml:space="preserve"> </t>
    </r>
    <r>
      <rPr>
        <sz val="9"/>
        <color rgb="FF000000"/>
        <rFont val="맑은 고딕"/>
        <family val="2"/>
      </rPr>
      <t>봉래나루로</t>
    </r>
    <r>
      <rPr>
        <sz val="9"/>
        <color rgb="FF000000"/>
        <rFont val="Calibri"/>
        <family val="2"/>
      </rPr>
      <t xml:space="preserve"> 256</t>
    </r>
    <r>
      <rPr>
        <sz val="11"/>
        <color theme="1"/>
        <rFont val="맑은 고딕"/>
        <family val="2"/>
        <charset val="129"/>
        <scheme val="minor"/>
      </rPr>
      <t/>
    </r>
  </si>
  <si>
    <t>35.095200 / 129.046421</t>
  </si>
  <si>
    <t>456, Gamcheonhang-ro, Saha-gu, Busan</t>
  </si>
  <si>
    <r>
      <rPr>
        <sz val="9"/>
        <color rgb="FF000000"/>
        <rFont val="맑은 고딕"/>
        <family val="2"/>
      </rPr>
      <t>부산광역시</t>
    </r>
    <r>
      <rPr>
        <sz val="9"/>
        <color rgb="FF000000"/>
        <rFont val="Calibri"/>
        <family val="2"/>
      </rPr>
      <t xml:space="preserve"> </t>
    </r>
    <r>
      <rPr>
        <sz val="9"/>
        <color rgb="FF000000"/>
        <rFont val="맑은 고딕"/>
        <family val="2"/>
      </rPr>
      <t>사하구</t>
    </r>
    <r>
      <rPr>
        <sz val="9"/>
        <color rgb="FF000000"/>
        <rFont val="Calibri"/>
        <family val="2"/>
      </rPr>
      <t xml:space="preserve"> </t>
    </r>
    <r>
      <rPr>
        <sz val="9"/>
        <color rgb="FF000000"/>
        <rFont val="맑은 고딕"/>
        <family val="2"/>
      </rPr>
      <t>감천항로</t>
    </r>
    <r>
      <rPr>
        <sz val="9"/>
        <color rgb="FF000000"/>
        <rFont val="Calibri"/>
        <family val="2"/>
      </rPr>
      <t xml:space="preserve"> 456</t>
    </r>
    <r>
      <rPr>
        <sz val="11"/>
        <color theme="1"/>
        <rFont val="맑은 고딕"/>
        <family val="2"/>
        <charset val="129"/>
        <scheme val="minor"/>
      </rPr>
      <t/>
    </r>
  </si>
  <si>
    <t>35.051661 / 128.991993</t>
  </si>
  <si>
    <t>259-35 Changmil-ro, Changnyeong-eup, Changnyeong-gun, Gyeongsangnam-do</t>
  </si>
  <si>
    <r>
      <rPr>
        <sz val="9"/>
        <color rgb="FF000000"/>
        <rFont val="맑은 고딕"/>
        <family val="2"/>
      </rPr>
      <t>경상남도</t>
    </r>
    <r>
      <rPr>
        <sz val="9"/>
        <color rgb="FF000000"/>
        <rFont val="Calibri"/>
        <family val="2"/>
      </rPr>
      <t xml:space="preserve"> </t>
    </r>
    <r>
      <rPr>
        <sz val="9"/>
        <color rgb="FF000000"/>
        <rFont val="맑은 고딕"/>
        <family val="2"/>
      </rPr>
      <t>창녕군</t>
    </r>
    <r>
      <rPr>
        <sz val="9"/>
        <color rgb="FF000000"/>
        <rFont val="Calibri"/>
        <family val="2"/>
      </rPr>
      <t xml:space="preserve"> </t>
    </r>
    <r>
      <rPr>
        <sz val="9"/>
        <color rgb="FF000000"/>
        <rFont val="맑은 고딕"/>
        <family val="2"/>
      </rPr>
      <t>창녕읍</t>
    </r>
    <r>
      <rPr>
        <sz val="9"/>
        <color rgb="FF000000"/>
        <rFont val="Calibri"/>
        <family val="2"/>
      </rPr>
      <t xml:space="preserve"> </t>
    </r>
    <r>
      <rPr>
        <sz val="9"/>
        <color rgb="FF000000"/>
        <rFont val="맑은 고딕"/>
        <family val="2"/>
      </rPr>
      <t>창밀로</t>
    </r>
    <r>
      <rPr>
        <sz val="9"/>
        <color rgb="FF000000"/>
        <rFont val="Calibri"/>
        <family val="2"/>
      </rPr>
      <t xml:space="preserve"> 259-35</t>
    </r>
    <r>
      <rPr>
        <sz val="11"/>
        <color theme="1"/>
        <rFont val="맑은 고딕"/>
        <family val="2"/>
        <charset val="129"/>
        <scheme val="minor"/>
      </rPr>
      <t/>
    </r>
  </si>
  <si>
    <t>35.564485 / 128.500463</t>
  </si>
  <si>
    <t>257, Bongnaenaru-ro, Yeongdo-gu, Busan</t>
  </si>
  <si>
    <r>
      <rPr>
        <sz val="9"/>
        <color rgb="FF000000"/>
        <rFont val="맑은 고딕"/>
        <family val="2"/>
      </rPr>
      <t>부산광역시</t>
    </r>
    <r>
      <rPr>
        <sz val="9"/>
        <color rgb="FF000000"/>
        <rFont val="Calibri"/>
        <family val="2"/>
      </rPr>
      <t xml:space="preserve"> </t>
    </r>
    <r>
      <rPr>
        <sz val="9"/>
        <color rgb="FF000000"/>
        <rFont val="맑은 고딕"/>
        <family val="2"/>
      </rPr>
      <t>영도구</t>
    </r>
    <r>
      <rPr>
        <sz val="9"/>
        <color rgb="FF000000"/>
        <rFont val="Calibri"/>
        <family val="2"/>
      </rPr>
      <t xml:space="preserve"> </t>
    </r>
    <r>
      <rPr>
        <sz val="9"/>
        <color rgb="FF000000"/>
        <rFont val="맑은 고딕"/>
        <family val="2"/>
      </rPr>
      <t>봉래나루로</t>
    </r>
    <r>
      <rPr>
        <sz val="9"/>
        <color rgb="FF000000"/>
        <rFont val="Calibri"/>
        <family val="2"/>
      </rPr>
      <t xml:space="preserve"> 257</t>
    </r>
    <r>
      <rPr>
        <sz val="11"/>
        <color theme="1"/>
        <rFont val="맑은 고딕"/>
        <family val="2"/>
        <charset val="129"/>
        <scheme val="minor"/>
      </rPr>
      <t/>
    </r>
  </si>
  <si>
    <t>35.095200 / 129.046422</t>
  </si>
  <si>
    <r>
      <rPr>
        <sz val="9"/>
        <color rgb="FF000000"/>
        <rFont val="맑은 고딕"/>
        <family val="2"/>
      </rPr>
      <t>부산광역시</t>
    </r>
    <r>
      <rPr>
        <sz val="9"/>
        <color rgb="FF000000"/>
        <rFont val="Calibri"/>
        <family val="2"/>
      </rPr>
      <t xml:space="preserve"> </t>
    </r>
    <r>
      <rPr>
        <sz val="9"/>
        <color rgb="FF000000"/>
        <rFont val="맑은 고딕"/>
        <family val="2"/>
      </rPr>
      <t>강서구</t>
    </r>
    <r>
      <rPr>
        <sz val="9"/>
        <color rgb="FF000000"/>
        <rFont val="Calibri"/>
        <family val="2"/>
      </rPr>
      <t xml:space="preserve"> </t>
    </r>
    <r>
      <rPr>
        <sz val="9"/>
        <color rgb="FF000000"/>
        <rFont val="맑은 고딕"/>
        <family val="2"/>
      </rPr>
      <t>미음국제</t>
    </r>
    <r>
      <rPr>
        <sz val="9"/>
        <color rgb="FF000000"/>
        <rFont val="Calibri"/>
        <family val="2"/>
      </rPr>
      <t>8</t>
    </r>
    <r>
      <rPr>
        <sz val="9"/>
        <color rgb="FF000000"/>
        <rFont val="맑은 고딕"/>
        <family val="2"/>
      </rPr>
      <t>로</t>
    </r>
    <r>
      <rPr>
        <sz val="9"/>
        <color rgb="FF000000"/>
        <rFont val="Calibri"/>
        <family val="2"/>
      </rPr>
      <t xml:space="preserve"> 121</t>
    </r>
    <phoneticPr fontId="9"/>
  </si>
  <si>
    <t xml:space="preserve"> 35.137311 / 128.864834</t>
    <phoneticPr fontId="9"/>
  </si>
  <si>
    <r>
      <rPr>
        <sz val="9"/>
        <color rgb="FF000000"/>
        <rFont val="맑은 고딕"/>
        <family val="2"/>
      </rPr>
      <t>경기도</t>
    </r>
    <r>
      <rPr>
        <sz val="9"/>
        <color rgb="FF000000"/>
        <rFont val="Calibri"/>
        <family val="2"/>
      </rPr>
      <t xml:space="preserve"> </t>
    </r>
    <r>
      <rPr>
        <sz val="9"/>
        <color rgb="FF000000"/>
        <rFont val="맑은 고딕"/>
        <family val="2"/>
      </rPr>
      <t>평택시</t>
    </r>
    <r>
      <rPr>
        <sz val="9"/>
        <color rgb="FF000000"/>
        <rFont val="Calibri"/>
        <family val="2"/>
      </rPr>
      <t xml:space="preserve"> </t>
    </r>
    <r>
      <rPr>
        <sz val="9"/>
        <color rgb="FF000000"/>
        <rFont val="맑은 고딕"/>
        <family val="2"/>
      </rPr>
      <t>장안동</t>
    </r>
    <r>
      <rPr>
        <sz val="9"/>
        <color rgb="FF000000"/>
        <rFont val="Calibri"/>
        <family val="2"/>
      </rPr>
      <t xml:space="preserve"> 353</t>
    </r>
    <phoneticPr fontId="0" type="noConversion"/>
  </si>
  <si>
    <t>Gyeongnam</t>
  </si>
  <si>
    <t>Gyeong</t>
    <phoneticPr fontId="9"/>
  </si>
  <si>
    <t>Gyeongbuk</t>
    <phoneticPr fontId="9"/>
  </si>
  <si>
    <t>254, Bongnaenaru-ro, Yeongdo-gu, Busan</t>
  </si>
  <si>
    <t>부산광역시 영도구 봉래나루로 254</t>
  </si>
  <si>
    <t>454, Gamcheonhang-ro, Saha-gu, Busan</t>
  </si>
  <si>
    <t>부산광역시 사하구 감천항로 454</t>
  </si>
  <si>
    <t>259-33 Changmil-ro, Changnyeong-eup, Changnyeong-gun, Gyeongsangnam-do</t>
  </si>
  <si>
    <t>경상남도 창녕군 창녕읍 창밀로 259-33</t>
  </si>
  <si>
    <t>46, Gaya-daero, Sasang-gu, Busan</t>
  </si>
  <si>
    <t>부산광역시 사상구 가야대로 46</t>
  </si>
  <si>
    <t>35, Gadeok-gil 2beon-gil, Sinchang-myeon, Asan-si, Chungcheongnam-do</t>
  </si>
  <si>
    <t>충청남도 아산시 신창면 가덕길2번길 35</t>
  </si>
  <si>
    <t>143, Jangansandan 9-ro, Jangan-eup, Gijang-gun, Busan</t>
  </si>
  <si>
    <t>부산광역시 기장군 장안산단9로 143</t>
  </si>
  <si>
    <t>24, Bancheonsaneop-ro, Eonyang-eup, Ulju-gun, Ulsan</t>
  </si>
  <si>
    <t>울산광역시 울주군 언양읍 반천산업로 24</t>
    <phoneticPr fontId="0" type="noConversion"/>
  </si>
  <si>
    <t>Wind</t>
  </si>
  <si>
    <t>Project &amp; 
Total Capacity(kWp)</t>
    <phoneticPr fontId="9"/>
  </si>
  <si>
    <t>Lidar name</t>
    <phoneticPr fontId="9"/>
  </si>
  <si>
    <t>Lidar Location (Korean)</t>
    <phoneticPr fontId="10"/>
  </si>
  <si>
    <t>DAP</t>
    <phoneticPr fontId="9"/>
  </si>
  <si>
    <t>Monday
No.</t>
    <phoneticPr fontId="9"/>
  </si>
  <si>
    <t>Devex
No.</t>
    <phoneticPr fontId="9"/>
  </si>
  <si>
    <t>Boseong Wind 80MW</t>
  </si>
  <si>
    <t>JP</t>
  </si>
  <si>
    <t>Mountain 161, Bongsan-ri, Boseong-eup, Boseong-gun, Jeollanam-do</t>
    <phoneticPr fontId="9"/>
  </si>
  <si>
    <t>- Received Raw Data on Oct 10.
- Require to review transporation way and re-check location of turbines.
- Require to create an input sheet for Capex, DeVex and Opex
- Conduct NDA sign with KAI energy</t>
  </si>
  <si>
    <t xml:space="preserve"> Proyect Name</t>
    <phoneticPr fontId="10"/>
  </si>
  <si>
    <t>DSR 1.8MW</t>
  </si>
  <si>
    <t>Mountain 39-1, Deoksang-ri, Jeungpyeong-eup, Jeungpyeong-gun, Chungcheongbuk-do</t>
    <phoneticPr fontId="9"/>
  </si>
  <si>
    <t>충청북도 증평군 증평읍 덕상리 산 39-1</t>
  </si>
  <si>
    <t>36.759087 / 127.616790</t>
  </si>
  <si>
    <t>no</t>
  </si>
  <si>
    <t>Mountain, Farmland</t>
  </si>
  <si>
    <t>Ground PV</t>
    <phoneticPr fontId="19" type="noConversion"/>
  </si>
  <si>
    <t>Drop</t>
  </si>
  <si>
    <t>Batch 2 - Hanil Taepyeong</t>
    <phoneticPr fontId="9"/>
  </si>
  <si>
    <t>318-7 Taepyeong-ri, Sandong-myeon, Namwon-si, Jeollabuk-do</t>
    <phoneticPr fontId="9"/>
  </si>
  <si>
    <t>전라북도 남원시 산동면 태평리 318-7</t>
    <phoneticPr fontId="9"/>
  </si>
  <si>
    <t>35.498415 / 127.478277</t>
    <phoneticPr fontId="9"/>
  </si>
  <si>
    <t>Taepyeong</t>
    <phoneticPr fontId="9"/>
  </si>
  <si>
    <t>Batch 2 - Hanil Seomae 1, 2</t>
    <phoneticPr fontId="9"/>
  </si>
  <si>
    <t>1078-3 Seomae-ri, Geumji-myeon, Namwon-si, Jeollabuk-do</t>
    <phoneticPr fontId="9"/>
  </si>
  <si>
    <t>전라북도 남원시 금지면 서매리 1078-3</t>
    <phoneticPr fontId="9"/>
  </si>
  <si>
    <t>35.359098 / 127.270429</t>
    <phoneticPr fontId="9"/>
  </si>
  <si>
    <t>Seomae, Sim Cheolwoo</t>
    <phoneticPr fontId="9"/>
  </si>
  <si>
    <t>Batch 2 - Taepyeong 6,7,8,9,10,11,14</t>
    <phoneticPr fontId="9"/>
  </si>
  <si>
    <t>318 Taepyeong-ri, Sandong-myeon, Namwon-si, Jeollabuk-do</t>
  </si>
  <si>
    <t>전라북도 남원시 산동면 태평리 318</t>
    <phoneticPr fontId="9"/>
  </si>
  <si>
    <t>35.498924 / 127.478533</t>
    <phoneticPr fontId="9"/>
  </si>
  <si>
    <t>Sim Cheolwoo + 2</t>
    <phoneticPr fontId="9"/>
  </si>
  <si>
    <t>Batch 2 - Hanil Wari 1 ~ 5</t>
    <phoneticPr fontId="9"/>
  </si>
  <si>
    <t>136, Wa-ri, Yulgok-myeon, Hapcheon-gun, Gyeongsangnam-do</t>
    <phoneticPr fontId="9"/>
  </si>
  <si>
    <t>경상남도 합천군 율곡면 와리 136</t>
    <phoneticPr fontId="9"/>
  </si>
  <si>
    <t>35.626028 / 128.208020</t>
    <phoneticPr fontId="9"/>
  </si>
  <si>
    <t>Batch 2 - Hi</t>
    <phoneticPr fontId="9"/>
  </si>
  <si>
    <t>830, Mokchon-ri, Nagan-myeon, Suncheon-si, Jeollanam-do</t>
    <phoneticPr fontId="9"/>
  </si>
  <si>
    <t>전라남도 순천시 낙안면 목촌리 830</t>
    <phoneticPr fontId="9"/>
  </si>
  <si>
    <t>34.942417 / 127.316117</t>
    <phoneticPr fontId="9"/>
  </si>
  <si>
    <t>Hi</t>
    <phoneticPr fontId="9"/>
  </si>
  <si>
    <t>Batch 2 - Seonghyeon Solar</t>
  </si>
  <si>
    <t>1088, Bongjeon-ri, Seoha-myeon, Hamyang-gun, Gyeongsangnam-do</t>
    <phoneticPr fontId="9"/>
  </si>
  <si>
    <t>경상남도 함양군 서하면 봉정리 1088</t>
  </si>
  <si>
    <t>35.636304 / 127.729371</t>
    <phoneticPr fontId="9"/>
  </si>
  <si>
    <t>SeongHyeon</t>
  </si>
  <si>
    <t>Batch 2 - Sinuie Solar</t>
  </si>
  <si>
    <t>365-2, Yeondeok-ri, Byeonggok-myeon, Hamyang-gun, Gyeongsangnam-do</t>
  </si>
  <si>
    <t>경남 함양군 병곡면 연덕리 365-2,365-5,369-1,369-2,369-3,374,376,380</t>
  </si>
  <si>
    <t>35.513975 / 127.675755</t>
  </si>
  <si>
    <t>Sinuie</t>
  </si>
  <si>
    <t>Batch 2 - Seunghui1 Solar</t>
  </si>
  <si>
    <t>Mountain 97-1, BeomA-ri, Gojeon-myeon, Hadong-gun, Gyeongsangnam-do</t>
  </si>
  <si>
    <t>경남 하동군 고전면 범아리 산97-1 토지위</t>
  </si>
  <si>
    <t>35.023563 / 127.801960</t>
  </si>
  <si>
    <t xml:space="preserve"> Jung Seung-hui</t>
  </si>
  <si>
    <t>REC: 0.5 -  Mountain</t>
  </si>
  <si>
    <t>Drop</t>
    <phoneticPr fontId="19" type="noConversion"/>
  </si>
  <si>
    <t>Batch 2 -Bongyang 1</t>
  </si>
  <si>
    <t>경북 봉화군 봉성면 봉양리 1126,1127,1129</t>
  </si>
  <si>
    <t>Batch 2 -Bongyang 3</t>
  </si>
  <si>
    <t>경북 봉화군 봉성면 봉양리 1131,1137,1138</t>
  </si>
  <si>
    <t>Batch 2 -Bongyang 4</t>
  </si>
  <si>
    <t>경상북도 봉화군 봉양리 1513</t>
    <phoneticPr fontId="9"/>
  </si>
  <si>
    <t>Batch 2 -Bongyang 6</t>
  </si>
  <si>
    <t>경상북도 봉화군 봉양리 1139</t>
    <phoneticPr fontId="9"/>
  </si>
  <si>
    <t>Batch 2 -Bongyang 10</t>
  </si>
  <si>
    <t>경상북도 봉화군 봉양리 801</t>
    <phoneticPr fontId="9"/>
  </si>
  <si>
    <t>Batch 2 -Moonchon Taeyang</t>
  </si>
  <si>
    <t>경상북도 봉화군 상운면 문촌리 401</t>
  </si>
  <si>
    <t>Batch 2 -Woltan Taeyang</t>
  </si>
  <si>
    <t>전라북도 남원시 대강면 월탄리 73</t>
  </si>
  <si>
    <t>Chungcheongbuk-do 18MW</t>
    <phoneticPr fontId="19" type="noConversion"/>
  </si>
  <si>
    <t>Gyeongsangnam-do 16MW</t>
    <phoneticPr fontId="19" type="noConversion"/>
  </si>
  <si>
    <t>Under development introduction 5.3MW</t>
    <phoneticPr fontId="19" type="noConversion"/>
  </si>
  <si>
    <t>Batch 1 - SooAm 1</t>
    <phoneticPr fontId="19" type="noConversion"/>
  </si>
  <si>
    <t>Batch 1 - Boner 1</t>
    <phoneticPr fontId="19" type="noConversion"/>
  </si>
  <si>
    <t>Batch 1 - Drne 1</t>
    <phoneticPr fontId="19" type="noConversion"/>
  </si>
  <si>
    <t>Drop
DG
Organic</t>
    <phoneticPr fontId="19" type="noConversion"/>
  </si>
  <si>
    <t>Medicox Gimhae</t>
    <phoneticPr fontId="19" type="noConversion"/>
  </si>
  <si>
    <t>154-47, Gimhae-daero 916beon-gil, Hallim-myeon, Gimhae-si, Gyeongsangnam-do</t>
  </si>
  <si>
    <t>Medicox Goseong</t>
    <phoneticPr fontId="19" type="noConversion"/>
  </si>
  <si>
    <t>739, Donghae-ro, Georyu-myeon, Goseong-gun, Gyeongsangnam-do</t>
  </si>
  <si>
    <t>Myeongju</t>
    <phoneticPr fontId="19" type="noConversion"/>
  </si>
  <si>
    <t>28, Gangbyeon-ro 670beon-gil, Gangneung-si, Gangwon-do</t>
  </si>
  <si>
    <t>Seohae Industry</t>
    <phoneticPr fontId="19" type="noConversion"/>
  </si>
  <si>
    <t>81-1, Songnae-gil, Poseung-eup, Pyeongtaek-si, Gyeonggi-do</t>
  </si>
  <si>
    <t>Daegyung Industry 1-1</t>
    <phoneticPr fontId="19" type="noConversion"/>
  </si>
  <si>
    <t>71, Eunma-gil, Ilsandong-gu, Goyang-si, Gyeonggi-do</t>
  </si>
  <si>
    <t>Daegyung Industry 1-2</t>
    <phoneticPr fontId="19" type="noConversion"/>
  </si>
  <si>
    <t>217, Eunma-gil, Ilsandong-gu, Goyang-si, Gyeonggi-do</t>
  </si>
  <si>
    <t>Gyeonggi Curtain Wall 1-1</t>
    <phoneticPr fontId="19" type="noConversion"/>
  </si>
  <si>
    <t>374-33, Manjangsan-ro, Gwangtan-myeon, Paju-si, Gyeonggi-do</t>
  </si>
  <si>
    <t>Gyeonggi Curtain Wall 1-2</t>
    <phoneticPr fontId="19" type="noConversion"/>
  </si>
  <si>
    <t>199-38, Eungol-gil, Jori-eup, Paju-si, Gyeonggi-do</t>
  </si>
  <si>
    <t>Forex-Changwon</t>
    <phoneticPr fontId="19" type="noConversion"/>
  </si>
  <si>
    <t>46, Banwol-ro, Seongsan-gu, Changwon-si, Gyeongsangnam-do</t>
  </si>
  <si>
    <t>Forex-Jinju</t>
    <phoneticPr fontId="19" type="noConversion"/>
  </si>
  <si>
    <t>74, Saneop-ro, Jeongchon-myeon, Jinju-si, Gyeongsangnam-do</t>
  </si>
  <si>
    <t xml:space="preserve">Gyeonggi Changho </t>
    <phoneticPr fontId="19" type="noConversion"/>
  </si>
  <si>
    <t>GTI Co.</t>
    <phoneticPr fontId="19" type="noConversion"/>
  </si>
  <si>
    <t>15, Hyundaikia-ro 830beon-gil, Bibong-myeon, Hwaseong-si, Gyeonggi-do</t>
  </si>
  <si>
    <t>Sunkyung Industry (building owned by the representative)</t>
    <phoneticPr fontId="19" type="noConversion"/>
  </si>
  <si>
    <t>70-21, Soran-gil, Yanggam-myeon, Hwaseong-si, Gyeonggi-do</t>
  </si>
  <si>
    <t>Shin Mi-ok (building owned by an individual)</t>
    <phoneticPr fontId="19" type="noConversion"/>
  </si>
  <si>
    <t>Fine clean Co.</t>
    <phoneticPr fontId="19" type="noConversion"/>
  </si>
  <si>
    <t>Nurungji</t>
    <phoneticPr fontId="19" type="noConversion"/>
  </si>
  <si>
    <t>Seunsteel Changwon</t>
    <phoneticPr fontId="19" type="noConversion"/>
  </si>
  <si>
    <t>142, Danpung-ro, Jangseong-eup, Jangseong-gun, Jeollanam-do</t>
  </si>
  <si>
    <t>Boseong Wind 37.2MW (Phase1)</t>
  </si>
  <si>
    <t>Met mast</t>
    <phoneticPr fontId="9"/>
  </si>
  <si>
    <r>
      <rPr>
        <sz val="9"/>
        <color theme="1"/>
        <rFont val="맑은 고딕"/>
        <family val="2"/>
      </rPr>
      <t>전라남도</t>
    </r>
    <r>
      <rPr>
        <sz val="9"/>
        <color theme="1"/>
        <rFont val="Calibri"/>
        <family val="2"/>
      </rPr>
      <t xml:space="preserve"> </t>
    </r>
    <r>
      <rPr>
        <sz val="9"/>
        <color theme="1"/>
        <rFont val="맑은 고딕"/>
        <family val="2"/>
      </rPr>
      <t>보성군</t>
    </r>
    <r>
      <rPr>
        <sz val="9"/>
        <color theme="1"/>
        <rFont val="Calibri"/>
        <family val="2"/>
      </rPr>
      <t xml:space="preserve"> </t>
    </r>
    <r>
      <rPr>
        <sz val="9"/>
        <color theme="1"/>
        <rFont val="맑은 고딕"/>
        <family val="2"/>
      </rPr>
      <t>보성읍</t>
    </r>
    <r>
      <rPr>
        <sz val="9"/>
        <color theme="1"/>
        <rFont val="Calibri"/>
        <family val="2"/>
      </rPr>
      <t xml:space="preserve"> </t>
    </r>
    <r>
      <rPr>
        <sz val="9"/>
        <color theme="1"/>
        <rFont val="맑은 고딕"/>
        <family val="2"/>
      </rPr>
      <t>봉산리</t>
    </r>
    <r>
      <rPr>
        <sz val="9"/>
        <color theme="1"/>
        <rFont val="Calibri"/>
        <family val="2"/>
      </rPr>
      <t xml:space="preserve"> </t>
    </r>
    <r>
      <rPr>
        <sz val="9"/>
        <color theme="1"/>
        <rFont val="맑은 고딕"/>
        <family val="2"/>
      </rPr>
      <t>산</t>
    </r>
    <r>
      <rPr>
        <sz val="9"/>
        <color theme="1"/>
        <rFont val="Calibri"/>
        <family val="2"/>
      </rPr>
      <t xml:space="preserve"> 161(Met mast installation)</t>
    </r>
  </si>
  <si>
    <t>34.43737 / 127.41782</t>
  </si>
  <si>
    <t>KAI Energy</t>
  </si>
  <si>
    <t>Onshore Wind</t>
    <phoneticPr fontId="9"/>
  </si>
  <si>
    <t>- Prepare LDD and TDD table with conclusions in English
- ldd remains to be received / tdd for translation
- discuss projects acquisition sum: need to add a premium equivalent to what we think really went through haedcounts and stakeholders fee (Rex to organise fees table for JP to negotiate)
By 06 Feb 2025</t>
    <phoneticPr fontId="9"/>
  </si>
  <si>
    <t>p-1-1</t>
  </si>
  <si>
    <t>34.725195 / 127.057292</t>
  </si>
  <si>
    <t>p-1-2</t>
  </si>
  <si>
    <t>34.725389 /127.061820</t>
  </si>
  <si>
    <t>p-1-3</t>
  </si>
  <si>
    <t>34.724207 / 127.066994</t>
  </si>
  <si>
    <t>p-1-4</t>
  </si>
  <si>
    <t>34.724612 / 127.071497</t>
  </si>
  <si>
    <t>p-1-5</t>
  </si>
  <si>
    <t>34.724514 / 127.078911</t>
  </si>
  <si>
    <t>p-1-6</t>
  </si>
  <si>
    <t>34.727320 / 127.082602</t>
  </si>
  <si>
    <t>Boseong Wind 31.0MW (Phase2)</t>
  </si>
  <si>
    <r>
      <rPr>
        <sz val="9"/>
        <color theme="1"/>
        <rFont val="맑은 고딕"/>
        <family val="2"/>
        <charset val="128"/>
      </rPr>
      <t>보성군</t>
    </r>
    <r>
      <rPr>
        <sz val="9"/>
        <color theme="1"/>
        <rFont val="Calibri"/>
        <family val="2"/>
      </rPr>
      <t xml:space="preserve"> </t>
    </r>
    <r>
      <rPr>
        <sz val="9"/>
        <color theme="1"/>
        <rFont val="맑은 고딕"/>
        <family val="2"/>
        <charset val="128"/>
      </rPr>
      <t>득량면</t>
    </r>
    <r>
      <rPr>
        <sz val="9"/>
        <color theme="1"/>
        <rFont val="Calibri"/>
        <family val="2"/>
      </rPr>
      <t xml:space="preserve"> </t>
    </r>
    <r>
      <rPr>
        <sz val="9"/>
        <color theme="1"/>
        <rFont val="맑은 고딕"/>
        <family val="2"/>
        <charset val="128"/>
      </rPr>
      <t>해평리</t>
    </r>
    <r>
      <rPr>
        <sz val="9"/>
        <color theme="1"/>
        <rFont val="Calibri"/>
        <family val="2"/>
      </rPr>
      <t xml:space="preserve"> </t>
    </r>
    <r>
      <rPr>
        <sz val="9"/>
        <color theme="1"/>
        <rFont val="맑은 고딕"/>
        <family val="2"/>
        <charset val="128"/>
      </rPr>
      <t>산</t>
    </r>
    <r>
      <rPr>
        <sz val="9"/>
        <color theme="1"/>
        <rFont val="Calibri"/>
        <family val="2"/>
      </rPr>
      <t>81 (Met mast installation)</t>
    </r>
    <phoneticPr fontId="9"/>
  </si>
  <si>
    <t xml:space="preserve"> 34.724371 / 127.167627</t>
  </si>
  <si>
    <t>p-2-1</t>
  </si>
  <si>
    <t xml:space="preserve"> 34.731218 / 127.171230</t>
  </si>
  <si>
    <t>p-2-2</t>
  </si>
  <si>
    <t xml:space="preserve"> 34.728091 / 127.169266</t>
  </si>
  <si>
    <t>p-2-3</t>
  </si>
  <si>
    <t xml:space="preserve"> 34.725211 / 127.167906</t>
  </si>
  <si>
    <t>p-2-4</t>
  </si>
  <si>
    <t xml:space="preserve"> 34.721917 / 127.166118</t>
  </si>
  <si>
    <t>p-2-5</t>
  </si>
  <si>
    <t xml:space="preserve"> 34.718840 / 127.163877</t>
  </si>
  <si>
    <t>p-2-6</t>
  </si>
  <si>
    <t xml:space="preserve"> 34.715624 / 127.162070</t>
  </si>
  <si>
    <t>1.Submitted documents for Preliminary</t>
  </si>
  <si>
    <t>2.Preliminary Answer Received</t>
  </si>
  <si>
    <t>3.Submitted documents for Secondary</t>
  </si>
  <si>
    <t>4.Secondary answer Received</t>
  </si>
  <si>
    <t>5.Submitted documents for IC contract</t>
  </si>
  <si>
    <t>6.IC contract received</t>
  </si>
  <si>
    <t>(Multiple Items)</t>
  </si>
  <si>
    <t>Sum of DC</t>
  </si>
  <si>
    <t>추가 비용(감리 및 안전용역)</t>
    <phoneticPr fontId="19" type="noConversion"/>
  </si>
  <si>
    <r>
      <rPr>
        <sz val="10"/>
        <color theme="1"/>
        <rFont val="맑은 고딕"/>
        <family val="2"/>
        <charset val="129"/>
      </rPr>
      <t xml:space="preserve">선납임대료는 </t>
    </r>
    <r>
      <rPr>
        <sz val="10"/>
        <color theme="1"/>
        <rFont val="Calibri"/>
        <family val="2"/>
      </rPr>
      <t xml:space="preserve">NEXS S </t>
    </r>
    <r>
      <rPr>
        <sz val="10"/>
        <color theme="1"/>
        <rFont val="맑은 고딕"/>
        <family val="2"/>
        <charset val="129"/>
      </rPr>
      <t>가 이미 지급한 것이나 2025-09-12 쯤에 그린볼트에서 받아서 지급할 예정임.</t>
    </r>
    <phoneticPr fontId="19" type="noConversion"/>
  </si>
  <si>
    <r>
      <t xml:space="preserve"> - POS3(</t>
    </r>
    <r>
      <rPr>
        <sz val="10"/>
        <color theme="1"/>
        <rFont val="돋움"/>
        <family val="3"/>
        <charset val="129"/>
      </rPr>
      <t>세진플러스</t>
    </r>
    <r>
      <rPr>
        <sz val="10"/>
        <color theme="1"/>
        <rFont val="Calibri"/>
        <family val="2"/>
      </rPr>
      <t xml:space="preserve">): 12,573,792 </t>
    </r>
    <r>
      <rPr>
        <sz val="10"/>
        <color theme="1"/>
        <rFont val="돋움"/>
        <family val="3"/>
        <charset val="129"/>
      </rPr>
      <t>원</t>
    </r>
  </si>
  <si>
    <r>
      <t xml:space="preserve"> - POS4(</t>
    </r>
    <r>
      <rPr>
        <sz val="10"/>
        <color theme="1"/>
        <rFont val="돋움"/>
        <family val="3"/>
        <charset val="129"/>
      </rPr>
      <t>세안</t>
    </r>
    <r>
      <rPr>
        <sz val="10"/>
        <color theme="1"/>
        <rFont val="Calibri"/>
        <family val="2"/>
      </rPr>
      <t xml:space="preserve"> </t>
    </r>
    <r>
      <rPr>
        <sz val="10"/>
        <color theme="1"/>
        <rFont val="돋움"/>
        <family val="3"/>
        <charset val="129"/>
      </rPr>
      <t>충주지점</t>
    </r>
    <r>
      <rPr>
        <sz val="10"/>
        <color theme="1"/>
        <rFont val="Calibri"/>
        <family val="2"/>
      </rPr>
      <t xml:space="preserve">): 23,482,305 </t>
    </r>
    <r>
      <rPr>
        <sz val="10"/>
        <color theme="1"/>
        <rFont val="돋움"/>
        <family val="3"/>
        <charset val="129"/>
      </rPr>
      <t>원</t>
    </r>
  </si>
  <si>
    <r>
      <rPr>
        <sz val="10"/>
        <color theme="1"/>
        <rFont val="돋움"/>
        <family val="3"/>
        <charset val="129"/>
      </rPr>
      <t xml:space="preserve"> </t>
    </r>
    <r>
      <rPr>
        <sz val="10"/>
        <color theme="1"/>
        <rFont val="Calibri"/>
        <family val="2"/>
      </rPr>
      <t>- POS1(</t>
    </r>
    <r>
      <rPr>
        <sz val="10"/>
        <color theme="1"/>
        <rFont val="돋움"/>
        <family val="3"/>
        <charset val="129"/>
      </rPr>
      <t>직지산업개발</t>
    </r>
    <r>
      <rPr>
        <sz val="10"/>
        <color theme="1"/>
        <rFont val="Calibri"/>
        <family val="2"/>
      </rPr>
      <t xml:space="preserve">): 20,528,640 </t>
    </r>
    <r>
      <rPr>
        <sz val="10"/>
        <color theme="1"/>
        <rFont val="돋움"/>
        <family val="3"/>
        <charset val="129"/>
      </rPr>
      <t>원</t>
    </r>
    <phoneticPr fontId="19" type="noConversion"/>
  </si>
  <si>
    <t>POSN-1</t>
    <phoneticPr fontId="19" type="noConversion"/>
  </si>
  <si>
    <t>POSN-3</t>
    <phoneticPr fontId="19" type="noConversion"/>
  </si>
  <si>
    <t>POSN-4</t>
    <phoneticPr fontId="19" type="noConversion"/>
  </si>
  <si>
    <t>POSN-8</t>
    <phoneticPr fontId="19" type="noConversion"/>
  </si>
  <si>
    <t>구분</t>
    <phoneticPr fontId="19" type="noConversion"/>
  </si>
  <si>
    <t>추가 지급액</t>
    <phoneticPr fontId="19" type="noConversion"/>
  </si>
  <si>
    <t>EPC</t>
    <phoneticPr fontId="19" type="noConversion"/>
  </si>
  <si>
    <r>
      <t xml:space="preserve">MWp/ </t>
    </r>
    <r>
      <rPr>
        <sz val="10"/>
        <color theme="1"/>
        <rFont val="맑은 고딕"/>
        <family val="2"/>
        <charset val="129"/>
      </rPr>
      <t>금액</t>
    </r>
    <phoneticPr fontId="19" type="noConversion"/>
  </si>
  <si>
    <t>발전용량</t>
    <phoneticPr fontId="19" type="noConversion"/>
  </si>
  <si>
    <r>
      <t xml:space="preserve">VAT </t>
    </r>
    <r>
      <rPr>
        <sz val="10"/>
        <color theme="1"/>
        <rFont val="맑은 고딕"/>
        <family val="2"/>
        <charset val="129"/>
      </rPr>
      <t>포함</t>
    </r>
    <phoneticPr fontId="19" type="noConversion"/>
  </si>
  <si>
    <r>
      <t xml:space="preserve">DK </t>
    </r>
    <r>
      <rPr>
        <sz val="10"/>
        <color theme="1"/>
        <rFont val="맑은 고딕"/>
        <family val="2"/>
        <charset val="129"/>
      </rPr>
      <t>요청 선지급</t>
    </r>
    <phoneticPr fontId="19" type="noConversion"/>
  </si>
  <si>
    <t>합계</t>
    <phoneticPr fontId="19" type="noConversion"/>
  </si>
  <si>
    <t>선급금20%</t>
    <phoneticPr fontId="19" type="noConversion"/>
  </si>
  <si>
    <t>추가 금액</t>
    <phoneticPr fontId="19" type="noConversion"/>
  </si>
  <si>
    <t>CAPEX 추가 금액</t>
    <phoneticPr fontId="19" type="noConversion"/>
  </si>
  <si>
    <t>미반영</t>
    <phoneticPr fontId="19" type="noConversion"/>
  </si>
  <si>
    <t>넥스트에스</t>
    <phoneticPr fontId="19" type="noConversion"/>
  </si>
  <si>
    <t>그린볼트</t>
    <phoneticPr fontId="19" type="noConversion"/>
  </si>
  <si>
    <t>미리준금액</t>
    <phoneticPr fontId="19" type="noConversion"/>
  </si>
  <si>
    <t>현재 미집행액</t>
    <phoneticPr fontId="19" type="noConversion"/>
  </si>
  <si>
    <t>609-87-03315</t>
    <phoneticPr fontId="19" type="noConversion"/>
  </si>
  <si>
    <t>110111-8843256</t>
    <phoneticPr fontId="19" type="noConversion"/>
  </si>
  <si>
    <t>#228, 42, Eonju-ro 147-gil, Gangnam-gu, Seoul, Korea</t>
    <phoneticPr fontId="19" type="noConversion"/>
  </si>
  <si>
    <t>DG_M&amp;A</t>
    <phoneticPr fontId="19" type="noConversion"/>
  </si>
  <si>
    <t>POSN2HO</t>
    <phoneticPr fontId="19" type="noConversion"/>
  </si>
  <si>
    <t>KB Bank : 096301-04-106357</t>
    <phoneticPr fontId="19" type="noConversion"/>
  </si>
  <si>
    <t>POS-1</t>
  </si>
  <si>
    <t>Dec.</t>
    <phoneticPr fontId="74" type="noConversion"/>
  </si>
  <si>
    <t>Amount</t>
    <phoneticPr fontId="19" type="noConversion"/>
  </si>
  <si>
    <t>CAPEX</t>
    <phoneticPr fontId="19" type="noConversion"/>
  </si>
  <si>
    <t>추가비용</t>
    <phoneticPr fontId="19" type="noConversion"/>
  </si>
  <si>
    <t>Remark</t>
    <phoneticPr fontId="19" type="noConversion"/>
  </si>
  <si>
    <t>Category</t>
    <phoneticPr fontId="19" type="noConversion"/>
  </si>
  <si>
    <r>
      <t>5</t>
    </r>
    <r>
      <rPr>
        <sz val="10"/>
        <color theme="1"/>
        <rFont val="맑은 고딕"/>
        <family val="2"/>
        <charset val="129"/>
      </rPr>
      <t>개월 전</t>
    </r>
    <phoneticPr fontId="19" type="noConversion"/>
  </si>
  <si>
    <t>전월</t>
    <phoneticPr fontId="19" type="noConversion"/>
  </si>
  <si>
    <t>cod</t>
    <phoneticPr fontId="19" type="noConversion"/>
  </si>
  <si>
    <t>KB Bank : 096368-11-010020</t>
    <phoneticPr fontId="19" type="noConversion"/>
  </si>
  <si>
    <t>Balance on Sep. 30, 2025</t>
    <phoneticPr fontId="74" type="noConversion"/>
  </si>
  <si>
    <t>CAPEX Total</t>
    <phoneticPr fontId="19" type="noConversion"/>
  </si>
  <si>
    <t>DEVEX Total</t>
    <phoneticPr fontId="74" type="noConversion"/>
  </si>
  <si>
    <t>Amount scheduled to be paid in Jul. to Sep.</t>
    <phoneticPr fontId="74" type="noConversion"/>
  </si>
  <si>
    <t>Jan. 2026</t>
    <phoneticPr fontId="74" type="noConversion"/>
  </si>
  <si>
    <t>After Jan.2026</t>
    <phoneticPr fontId="74" type="noConversion"/>
  </si>
  <si>
    <t>[Dated : 2025.10.04]</t>
    <phoneticPr fontId="74" type="noConversion"/>
  </si>
  <si>
    <t>Paid  (By Sep. 30, 2025)</t>
    <phoneticPr fontId="74" type="noConversion"/>
  </si>
  <si>
    <t xml:space="preserve"> - The supervision fee of 27,500,000 KRW per MWp must be paid in Oct.</t>
    <phoneticPr fontId="19" type="noConversion"/>
  </si>
  <si>
    <t>Paid
(By Sep. 30, 2025)</t>
    <phoneticPr fontId="74" type="noConversion"/>
  </si>
  <si>
    <r>
      <rPr>
        <sz val="10"/>
        <rFont val="맑은 고딕"/>
        <family val="2"/>
        <charset val="129"/>
      </rPr>
      <t>전체</t>
    </r>
    <r>
      <rPr>
        <sz val="10"/>
        <rFont val="Calibri"/>
        <family val="2"/>
      </rPr>
      <t xml:space="preserve"> </t>
    </r>
    <r>
      <rPr>
        <sz val="10"/>
        <rFont val="맑은 고딕"/>
        <family val="2"/>
        <charset val="129"/>
      </rPr>
      <t>지급예정</t>
    </r>
    <phoneticPr fontId="74" type="noConversion"/>
  </si>
  <si>
    <r>
      <rPr>
        <sz val="10"/>
        <rFont val="맑은 고딕"/>
        <family val="2"/>
        <charset val="129"/>
      </rPr>
      <t>※</t>
    </r>
    <r>
      <rPr>
        <sz val="10"/>
        <rFont val="Calibri"/>
        <family val="2"/>
      </rPr>
      <t>CAPEX payment schedule for Oct.</t>
    </r>
    <phoneticPr fontId="19" type="noConversion"/>
  </si>
  <si>
    <r>
      <t xml:space="preserve">CAPEX </t>
    </r>
    <r>
      <rPr>
        <sz val="10"/>
        <color theme="0"/>
        <rFont val="맑은 고딕"/>
        <family val="2"/>
        <charset val="129"/>
      </rPr>
      <t>추가</t>
    </r>
    <r>
      <rPr>
        <sz val="10"/>
        <color theme="0"/>
        <rFont val="Calibri"/>
        <family val="2"/>
      </rPr>
      <t xml:space="preserve"> </t>
    </r>
    <r>
      <rPr>
        <sz val="10"/>
        <color theme="0"/>
        <rFont val="맑은 고딕"/>
        <family val="2"/>
        <charset val="129"/>
      </rPr>
      <t>금액</t>
    </r>
    <r>
      <rPr>
        <sz val="10"/>
        <color theme="0"/>
        <rFont val="Calibri"/>
        <family val="2"/>
      </rPr>
      <t xml:space="preserve"> -</t>
    </r>
    <r>
      <rPr>
        <sz val="10"/>
        <color theme="0"/>
        <rFont val="맑은 고딕"/>
        <family val="2"/>
        <charset val="129"/>
      </rPr>
      <t>감리</t>
    </r>
    <phoneticPr fontId="19" type="noConversion"/>
  </si>
  <si>
    <t>선납임차료</t>
    <phoneticPr fontId="19" type="noConversion"/>
  </si>
  <si>
    <t>OE Fee</t>
    <phoneticPr fontId="19" type="noConversion"/>
  </si>
  <si>
    <r>
      <rPr>
        <sz val="10"/>
        <rFont val="맑은 고딕"/>
        <family val="2"/>
        <charset val="129"/>
      </rPr>
      <t>지급</t>
    </r>
    <r>
      <rPr>
        <sz val="10"/>
        <rFont val="Calibri"/>
        <family val="2"/>
      </rPr>
      <t xml:space="preserve"> </t>
    </r>
    <r>
      <rPr>
        <sz val="10"/>
        <rFont val="맑은 고딕"/>
        <family val="2"/>
        <charset val="129"/>
      </rPr>
      <t>내역</t>
    </r>
    <phoneticPr fontId="19" type="noConversion"/>
  </si>
  <si>
    <t>효성에너지팜 지급금액</t>
    <phoneticPr fontId="19" type="noConversion"/>
  </si>
  <si>
    <t>CAPEX 50%</t>
    <phoneticPr fontId="19" type="noConversion"/>
  </si>
  <si>
    <t>계통연계비1</t>
    <phoneticPr fontId="19" type="noConversion"/>
  </si>
  <si>
    <t>계통연계비2</t>
    <phoneticPr fontId="19" type="noConversion"/>
  </si>
  <si>
    <t>실 지급액</t>
    <phoneticPr fontId="19" type="noConversion"/>
  </si>
  <si>
    <r>
      <t xml:space="preserve">OR </t>
    </r>
    <r>
      <rPr>
        <sz val="10"/>
        <rFont val="맑은 고딕"/>
        <family val="2"/>
        <charset val="129"/>
      </rPr>
      <t>반환 금액</t>
    </r>
    <phoneticPr fontId="19" type="noConversion"/>
  </si>
  <si>
    <r>
      <t xml:space="preserve">NEXT_S </t>
    </r>
    <r>
      <rPr>
        <sz val="10"/>
        <rFont val="맑은 고딕"/>
        <family val="2"/>
        <charset val="129"/>
      </rPr>
      <t>반환 금액</t>
    </r>
    <phoneticPr fontId="19" type="noConversion"/>
  </si>
  <si>
    <t>인수비용</t>
    <phoneticPr fontId="19" type="noConversion"/>
  </si>
  <si>
    <r>
      <t>1</t>
    </r>
    <r>
      <rPr>
        <sz val="10"/>
        <color theme="0"/>
        <rFont val="맑은 고딕"/>
        <family val="2"/>
        <charset val="129"/>
      </rPr>
      <t>차청구시 금액</t>
    </r>
    <phoneticPr fontId="19" type="noConversion"/>
  </si>
  <si>
    <r>
      <t>2</t>
    </r>
    <r>
      <rPr>
        <sz val="10"/>
        <color theme="0"/>
        <rFont val="맑은 고딕"/>
        <family val="2"/>
        <charset val="129"/>
      </rPr>
      <t>차 청구</t>
    </r>
    <phoneticPr fontId="19" type="noConversion"/>
  </si>
  <si>
    <r>
      <rPr>
        <sz val="10"/>
        <rFont val="맑은 고딕"/>
        <family val="2"/>
        <charset val="129"/>
      </rPr>
      <t>※</t>
    </r>
    <r>
      <rPr>
        <sz val="10"/>
        <rFont val="Calibri"/>
        <family val="2"/>
      </rPr>
      <t xml:space="preserve"> CAPEX amount to be paid on 15 Oct.</t>
    </r>
    <phoneticPr fontId="19" type="noConversion"/>
  </si>
  <si>
    <t>Grid Connection Fee</t>
    <phoneticPr fontId="19" type="noConversion"/>
  </si>
  <si>
    <t>Paid in advance on 12 Sep.</t>
    <phoneticPr fontId="19" type="noConversion"/>
  </si>
  <si>
    <t>Reflected in the Oct. billing amount</t>
    <phoneticPr fontId="19" type="noConversion"/>
  </si>
  <si>
    <t>Additional CAPEX Cost</t>
    <phoneticPr fontId="19" type="noConversion"/>
  </si>
  <si>
    <t>Remaining lease fees for 5 years prepaid for POS_1, 3, 4, and 8</t>
    <phoneticPr fontId="19" type="noConversion"/>
  </si>
  <si>
    <t>Prepaid Lease Fee</t>
    <phoneticPr fontId="19" type="noConversion"/>
  </si>
  <si>
    <t>to be Paid in Oct.</t>
    <phoneticPr fontId="74" type="noConversion"/>
  </si>
  <si>
    <t>Requested Amount (KRW)</t>
    <phoneticPr fontId="74" type="noConversion"/>
  </si>
  <si>
    <t>Requested Amount (EUR)</t>
    <phoneticPr fontId="74" type="noConversion"/>
  </si>
  <si>
    <t>DEVEX</t>
    <phoneticPr fontId="19" type="noConversion"/>
  </si>
  <si>
    <t>POSN2HO</t>
  </si>
  <si>
    <t>OPEX</t>
    <phoneticPr fontId="19" type="noConversion"/>
  </si>
  <si>
    <t>Please check the following.</t>
    <phoneticPr fontId="19" type="noConversion"/>
  </si>
  <si>
    <t>Category</t>
    <phoneticPr fontId="74" type="noConversion"/>
  </si>
  <si>
    <t>Details</t>
    <phoneticPr fontId="74" type="noConversion"/>
  </si>
  <si>
    <t>50% of GM_Batch1 4MWp payment is required. Scheduled payment date: 13 Oct.</t>
    <phoneticPr fontId="19" type="noConversion"/>
  </si>
  <si>
    <t>Payment of the outstanding amount for GM_Batch1 4MWp is scheduled.</t>
    <phoneticPr fontId="19" type="noConversion"/>
  </si>
  <si>
    <t>Excluding the previously paid Grid Connection Fee and considering the additional requested amount, \931,349,470 (EUR 633,571.07) is requested.</t>
    <phoneticPr fontId="19" type="noConversion"/>
  </si>
  <si>
    <t>Funds are requested for the payment of 20% of the acquisition amount.</t>
    <phoneticPr fontId="19" type="noConversion"/>
  </si>
  <si>
    <t>Payment of \187,305,773 (EUR 127,418.89) is requested for the Prepaid Lease Fee and OE Fee.</t>
    <phoneticPr fontId="19" type="noConversion"/>
  </si>
  <si>
    <t>Required funds for Oct.</t>
    <phoneticPr fontId="74" type="noConversion"/>
  </si>
  <si>
    <t>Amount scheduled to be paid in Oct.</t>
    <phoneticPr fontId="74" type="noConversion"/>
  </si>
  <si>
    <t>Amount scheduled to be paid in Nov.</t>
    <phoneticPr fontId="74" type="noConversion"/>
  </si>
  <si>
    <t>Amount scheduled to be paid in Oct. to After Oct.</t>
    <phoneticPr fontId="74" type="noConversion"/>
  </si>
  <si>
    <t>SPV</t>
    <phoneticPr fontId="19" type="noConversion"/>
  </si>
  <si>
    <t>DEVEX/MWp</t>
    <phoneticPr fontId="85" type="noConversion"/>
  </si>
  <si>
    <t>DEVEX Total Amount</t>
    <phoneticPr fontId="85" type="noConversion"/>
  </si>
  <si>
    <t>2024 Total</t>
    <phoneticPr fontId="19" type="noConversion"/>
  </si>
  <si>
    <t>2025 Total</t>
    <phoneticPr fontId="19" type="noConversion"/>
  </si>
  <si>
    <t>2026 Total</t>
    <phoneticPr fontId="19" type="noConversion"/>
  </si>
  <si>
    <t>Payment ratio</t>
    <phoneticPr fontId="85" type="noConversion"/>
  </si>
  <si>
    <t>Seagol(SPA)</t>
    <phoneticPr fontId="19" type="noConversion"/>
  </si>
  <si>
    <t>Bolt T 1HO Total</t>
    <phoneticPr fontId="19" type="noConversion"/>
  </si>
  <si>
    <t>POSN2HO Total</t>
    <phoneticPr fontId="19" type="noConversion"/>
  </si>
  <si>
    <t>DEVEX Payment Status</t>
    <phoneticPr fontId="19" type="noConversion"/>
  </si>
  <si>
    <t>Galsan Solar</t>
    <phoneticPr fontId="19" type="noConversion"/>
  </si>
  <si>
    <t>Mineuri Solar</t>
    <phoneticPr fontId="19" type="noConversion"/>
  </si>
  <si>
    <t>SeagolSolar</t>
    <phoneticPr fontId="19" type="noConversion"/>
  </si>
  <si>
    <t>Jaesan Solar</t>
    <phoneticPr fontId="19" type="noConversion"/>
  </si>
  <si>
    <t>Galsan Solar Total</t>
    <phoneticPr fontId="19" type="noConversion"/>
  </si>
  <si>
    <t>Mineuri Solar Total</t>
    <phoneticPr fontId="19" type="noConversion"/>
  </si>
  <si>
    <t>SeagolSolar Total</t>
    <phoneticPr fontId="19" type="noConversion"/>
  </si>
  <si>
    <t>Jaesan Solar Total</t>
    <phoneticPr fontId="19" type="noConversion"/>
  </si>
  <si>
    <t xml:space="preserve">내일 </t>
    <phoneticPr fontId="19" type="noConversion"/>
  </si>
  <si>
    <t>포스엔 하고 2호 돈이 얼마가 들어왔고</t>
    <phoneticPr fontId="19" type="noConversion"/>
  </si>
  <si>
    <t>나가야 되는 돈</t>
    <phoneticPr fontId="19" type="noConversion"/>
  </si>
  <si>
    <t>임대료</t>
    <phoneticPr fontId="19" type="noConversion"/>
  </si>
  <si>
    <t xml:space="preserve"> CAPEX</t>
    <phoneticPr fontId="19" type="noConversion"/>
  </si>
  <si>
    <r>
      <t>2</t>
    </r>
    <r>
      <rPr>
        <sz val="10"/>
        <rFont val="맑은 고딕"/>
        <family val="2"/>
        <charset val="129"/>
      </rPr>
      <t>에서 나가야 되는 돈</t>
    </r>
    <phoneticPr fontId="19" type="noConversion"/>
  </si>
  <si>
    <t>이렇게 이렇게 나갈거다…. 도영이사가 마테오 한테 메일 보내라…. 익일.</t>
    <phoneticPr fontId="19" type="noConversion"/>
  </si>
  <si>
    <t>지급현황</t>
    <phoneticPr fontId="19" type="noConversion"/>
  </si>
  <si>
    <t>공사비 50%</t>
    <phoneticPr fontId="19" type="noConversion"/>
  </si>
  <si>
    <t>잔여 선납임차료</t>
    <phoneticPr fontId="19" type="noConversion"/>
  </si>
  <si>
    <r>
      <t xml:space="preserve">NEXT S </t>
    </r>
    <r>
      <rPr>
        <sz val="10"/>
        <color rgb="FFFF0000"/>
        <rFont val="맑은 고딕"/>
        <family val="2"/>
        <charset val="129"/>
      </rPr>
      <t>추가선납임차료</t>
    </r>
    <phoneticPr fontId="19" type="noConversion"/>
  </si>
  <si>
    <t>POS1</t>
    <phoneticPr fontId="19" type="noConversion"/>
  </si>
  <si>
    <t>POS4</t>
    <phoneticPr fontId="19" type="noConversion"/>
  </si>
  <si>
    <t>POS3</t>
    <phoneticPr fontId="19" type="noConversion"/>
  </si>
  <si>
    <t>POS8</t>
    <phoneticPr fontId="19" type="noConversion"/>
  </si>
  <si>
    <t>Project</t>
    <phoneticPr fontId="74" type="noConversion"/>
  </si>
  <si>
    <r>
      <t xml:space="preserve">CAPEX/MW EPC </t>
    </r>
    <r>
      <rPr>
        <sz val="10"/>
        <rFont val="맑은 고딕"/>
        <family val="2"/>
        <charset val="129"/>
      </rPr>
      <t>계약</t>
    </r>
    <phoneticPr fontId="74" type="noConversion"/>
  </si>
  <si>
    <r>
      <t xml:space="preserve">CAPEX/MW COD </t>
    </r>
    <r>
      <rPr>
        <sz val="10"/>
        <rFont val="맑은 고딕"/>
        <family val="2"/>
        <charset val="129"/>
      </rPr>
      <t>적용</t>
    </r>
    <phoneticPr fontId="74" type="noConversion"/>
  </si>
  <si>
    <t>지급완료</t>
    <phoneticPr fontId="74" type="noConversion"/>
  </si>
  <si>
    <t>Drop 지급액</t>
    <phoneticPr fontId="74" type="noConversion"/>
  </si>
  <si>
    <t>계통연계비</t>
    <phoneticPr fontId="74" type="noConversion"/>
  </si>
  <si>
    <t>선로비 Total</t>
    <phoneticPr fontId="74" type="noConversion"/>
  </si>
  <si>
    <t>기타시설부담금1</t>
    <phoneticPr fontId="74" type="noConversion"/>
  </si>
  <si>
    <t>기타시설부담금2</t>
    <phoneticPr fontId="74" type="noConversion"/>
  </si>
  <si>
    <t>기술검토비</t>
    <phoneticPr fontId="74" type="noConversion"/>
  </si>
  <si>
    <t>표준시설부담금</t>
    <phoneticPr fontId="74" type="noConversion"/>
  </si>
  <si>
    <t>Payment Date</t>
    <phoneticPr fontId="74" type="noConversion"/>
  </si>
  <si>
    <t>Paid Amount</t>
    <phoneticPr fontId="74" type="noConversion"/>
  </si>
  <si>
    <t>미지급액</t>
    <phoneticPr fontId="74" type="noConversion"/>
  </si>
  <si>
    <t>지급금액</t>
    <phoneticPr fontId="74" type="noConversion"/>
  </si>
  <si>
    <t>차액</t>
    <phoneticPr fontId="74" type="noConversion"/>
  </si>
  <si>
    <t>Milestone 1</t>
    <phoneticPr fontId="74" type="noConversion"/>
  </si>
  <si>
    <t>Bolt #3</t>
    <phoneticPr fontId="74" type="noConversion"/>
  </si>
  <si>
    <t>Oneel</t>
  </si>
  <si>
    <t>LSG</t>
  </si>
  <si>
    <t>Hanseo Motors</t>
  </si>
  <si>
    <t>Daechon Headquarters</t>
  </si>
  <si>
    <t>Changseong High Tech</t>
  </si>
  <si>
    <t>Daechon Busan</t>
  </si>
  <si>
    <t>E-Tech</t>
  </si>
  <si>
    <t>Bolt #4</t>
    <phoneticPr fontId="74" type="noConversion"/>
  </si>
  <si>
    <t>RMK</t>
  </si>
  <si>
    <t>Daesung Fruit Industry</t>
  </si>
  <si>
    <t>Ilsan Metal</t>
  </si>
  <si>
    <t>Ilshin Industry(HQ)</t>
  </si>
  <si>
    <t>Ilshin Industry(Branch)(Drop)</t>
    <phoneticPr fontId="74" type="noConversion"/>
  </si>
  <si>
    <t>LC-Tech</t>
  </si>
  <si>
    <t>Taeseong Mold Industry 1(Drop)</t>
    <phoneticPr fontId="74" type="noConversion"/>
  </si>
  <si>
    <t>Taeseong Mold Industry 2(Drop)</t>
    <phoneticPr fontId="74" type="noConversion"/>
  </si>
  <si>
    <t>Lijin Factory 1</t>
    <phoneticPr fontId="74" type="noConversion"/>
  </si>
  <si>
    <t>Lijin Factory 2</t>
    <phoneticPr fontId="74" type="noConversion"/>
  </si>
  <si>
    <t>Bolt #6</t>
    <phoneticPr fontId="74" type="noConversion"/>
  </si>
  <si>
    <t>Sejin SMC(Drop)</t>
    <phoneticPr fontId="74" type="noConversion"/>
  </si>
  <si>
    <t>Seoyong(Drop)</t>
    <phoneticPr fontId="74" type="noConversion"/>
  </si>
  <si>
    <t>Bolt #7</t>
    <phoneticPr fontId="74" type="noConversion"/>
  </si>
  <si>
    <t>Eco Inshutech(Drop)</t>
    <phoneticPr fontId="74" type="noConversion"/>
  </si>
  <si>
    <t>BNB Composite(Drop)</t>
  </si>
  <si>
    <t>MPM Trade</t>
  </si>
  <si>
    <r>
      <t>Ajin P&amp;S(</t>
    </r>
    <r>
      <rPr>
        <sz val="10"/>
        <rFont val="맑은 고딕"/>
        <family val="2"/>
        <charset val="129"/>
      </rPr>
      <t>개인사업자)</t>
    </r>
    <phoneticPr fontId="74" type="noConversion"/>
  </si>
  <si>
    <r>
      <t>Myunghyun Tech 1(</t>
    </r>
    <r>
      <rPr>
        <sz val="10"/>
        <rFont val="맑은 고딕"/>
        <family val="2"/>
        <charset val="129"/>
      </rPr>
      <t>개인사업자</t>
    </r>
    <r>
      <rPr>
        <sz val="10"/>
        <rFont val="Calibri"/>
        <family val="2"/>
      </rPr>
      <t>)</t>
    </r>
    <phoneticPr fontId="74" type="noConversion"/>
  </si>
  <si>
    <r>
      <t>Myunghyun Tech 2(</t>
    </r>
    <r>
      <rPr>
        <sz val="10"/>
        <rFont val="맑은 고딕"/>
        <family val="2"/>
        <charset val="129"/>
      </rPr>
      <t>개인사업자</t>
    </r>
    <r>
      <rPr>
        <sz val="10"/>
        <rFont val="Calibri"/>
        <family val="2"/>
      </rPr>
      <t>)</t>
    </r>
    <phoneticPr fontId="74" type="noConversion"/>
  </si>
  <si>
    <r>
      <t>Sehyun Chemical(</t>
    </r>
    <r>
      <rPr>
        <sz val="10"/>
        <rFont val="맑은 고딕"/>
        <family val="2"/>
        <charset val="129"/>
      </rPr>
      <t>개인사업자</t>
    </r>
    <r>
      <rPr>
        <sz val="10"/>
        <rFont val="Calibri"/>
        <family val="2"/>
      </rPr>
      <t>)</t>
    </r>
    <phoneticPr fontId="74" type="noConversion"/>
  </si>
  <si>
    <t>Bolt #1</t>
    <phoneticPr fontId="74" type="noConversion"/>
  </si>
  <si>
    <r>
      <t xml:space="preserve">Capacity </t>
    </r>
    <r>
      <rPr>
        <sz val="10"/>
        <rFont val="맑은 고딕"/>
        <family val="2"/>
        <charset val="129"/>
      </rPr>
      <t>계약</t>
    </r>
    <r>
      <rPr>
        <sz val="10"/>
        <rFont val="Calibri"/>
        <family val="2"/>
      </rPr>
      <t>(kWp)</t>
    </r>
    <phoneticPr fontId="74" type="noConversion"/>
  </si>
  <si>
    <t>Milestone 1(DP)</t>
    <phoneticPr fontId="74" type="noConversion"/>
  </si>
  <si>
    <t>Milestone 2(NTP)</t>
    <phoneticPr fontId="74" type="noConversion"/>
  </si>
  <si>
    <r>
      <t>Milestone 3(</t>
    </r>
    <r>
      <rPr>
        <sz val="10"/>
        <rFont val="맑은 고딕"/>
        <family val="2"/>
        <charset val="129"/>
      </rPr>
      <t>토목</t>
    </r>
    <r>
      <rPr>
        <sz val="10"/>
        <rFont val="Calibri"/>
        <family val="2"/>
      </rPr>
      <t>,</t>
    </r>
    <r>
      <rPr>
        <sz val="10"/>
        <rFont val="맑은 고딕"/>
        <family val="2"/>
        <charset val="129"/>
      </rPr>
      <t>전기</t>
    </r>
    <r>
      <rPr>
        <sz val="10"/>
        <rFont val="Calibri"/>
        <family val="2"/>
      </rPr>
      <t>)</t>
    </r>
    <phoneticPr fontId="74" type="noConversion"/>
  </si>
  <si>
    <r>
      <t>Milestone 4(</t>
    </r>
    <r>
      <rPr>
        <sz val="10"/>
        <rFont val="맑은 고딕"/>
        <family val="2"/>
        <charset val="129"/>
      </rPr>
      <t>구조물 현장입고</t>
    </r>
    <r>
      <rPr>
        <sz val="10"/>
        <rFont val="Calibri"/>
        <family val="2"/>
      </rPr>
      <t>)</t>
    </r>
    <phoneticPr fontId="74" type="noConversion"/>
  </si>
  <si>
    <r>
      <t>Milestone 5(</t>
    </r>
    <r>
      <rPr>
        <sz val="10"/>
        <rFont val="맑은 고딕"/>
        <family val="2"/>
        <charset val="129"/>
      </rPr>
      <t>모듈 현장입고</t>
    </r>
    <r>
      <rPr>
        <sz val="10"/>
        <rFont val="Calibri"/>
        <family val="2"/>
      </rPr>
      <t>)</t>
    </r>
    <phoneticPr fontId="74" type="noConversion"/>
  </si>
  <si>
    <r>
      <t>Milestone 6(</t>
    </r>
    <r>
      <rPr>
        <sz val="10"/>
        <rFont val="맑은 고딕"/>
        <family val="2"/>
        <charset val="129"/>
      </rPr>
      <t>사용전검사</t>
    </r>
    <r>
      <rPr>
        <sz val="10"/>
        <rFont val="Calibri"/>
        <family val="2"/>
      </rPr>
      <t>)</t>
    </r>
    <phoneticPr fontId="74" type="noConversion"/>
  </si>
  <si>
    <t>Milestone 7(COD)</t>
    <phoneticPr fontId="19" type="noConversion"/>
  </si>
  <si>
    <r>
      <t xml:space="preserve">DEVEX/MW COD </t>
    </r>
    <r>
      <rPr>
        <sz val="10"/>
        <rFont val="맑은 고딕"/>
        <family val="2"/>
        <charset val="129"/>
      </rPr>
      <t>적용</t>
    </r>
    <phoneticPr fontId="74" type="noConversion"/>
  </si>
  <si>
    <t>Milestone 2</t>
    <phoneticPr fontId="74" type="noConversion"/>
  </si>
  <si>
    <t>Milestone 3</t>
    <phoneticPr fontId="74" type="noConversion"/>
  </si>
  <si>
    <t>Milestone 4</t>
    <phoneticPr fontId="74" type="noConversion"/>
  </si>
  <si>
    <t>미지급금</t>
    <phoneticPr fontId="74" type="noConversion"/>
  </si>
  <si>
    <t>용량 소폭 변경에 따른 차액 Milestones 4에 반영</t>
    <phoneticPr fontId="19" type="noConversion"/>
  </si>
  <si>
    <t>차액</t>
    <phoneticPr fontId="19" type="noConversion"/>
  </si>
  <si>
    <t>[단위 : 원]</t>
    <phoneticPr fontId="19" type="noConversion"/>
  </si>
  <si>
    <t>예정금액</t>
    <phoneticPr fontId="74" type="noConversion"/>
  </si>
  <si>
    <t>용량 변경(999.24-&gt;551.04) 지급 금액 Milestones 3에 반영</t>
    <phoneticPr fontId="19" type="noConversion"/>
  </si>
  <si>
    <t>Project(Batch2)</t>
    <phoneticPr fontId="74" type="noConversion"/>
  </si>
  <si>
    <t>※ Batch2의 DEVEX 금액은 8.5억/MW으로 기본적 DEVEX 금액은 3.5억/MW, 토지매입비 3억/MW,  Broker Fee 2억/MW입니다. 현재 Milestone 1은 전체 금액 중 40%를 지급하였습니다.</t>
    <phoneticPr fontId="19" type="noConversion"/>
  </si>
  <si>
    <t xml:space="preserve"> - GV 직접 매입으로 VAT는 감안하지 않은 상황입니다. </t>
    <phoneticPr fontId="19" type="noConversion"/>
  </si>
  <si>
    <t>지급 비율은 40%, 20%, 30%, 10% 지급 계획이며 1차 지급분만 지급 되어 있는 것으로 판단 됩니다. GV 쪽 자료도 40% 지급된 것으로 확인하였습니다.</t>
    <phoneticPr fontId="19" type="noConversion"/>
  </si>
  <si>
    <t>※ SPA 관련하여 Astronergy에 전액 지급하여 당사 관리하에 있습니다. 미지급 된 사항은 Broker Fee 2억/MW 에 해당하는 금액을 아직 지급하지 않은 상황입니다.</t>
    <phoneticPr fontId="19" type="noConversion"/>
  </si>
  <si>
    <t>Broker Fee(2억/MW)는 Milestone 4에 반영하였습니다. 반영된 금액은 현재 용량으로 수정하여 기입하였습니다.</t>
    <phoneticPr fontId="19" type="noConversion"/>
  </si>
  <si>
    <t>Broker Fee는 최초 100% 지급으로 되어 있으나 1차 지급분 40% 지급된것으로 표시하였으나 GV 쪽 자료는 Broker Fee는 지급한 내역이 없습니다. 이부분은 확인 부탁드립니다. 수정해 놓겠습니다. _ 확인하였으며 미지급 되었고 Milestone 4에 전부 반영 예정</t>
    <phoneticPr fontId="19" type="noConversion"/>
  </si>
  <si>
    <t>Input sheet for financial modelling purpose</t>
  </si>
  <si>
    <t>Project 1</t>
  </si>
  <si>
    <t>Project 2</t>
  </si>
  <si>
    <t>Project 3</t>
  </si>
  <si>
    <t>Project 4</t>
  </si>
  <si>
    <t>Project 5</t>
  </si>
  <si>
    <t>Project 6</t>
  </si>
  <si>
    <t>Project 7</t>
  </si>
  <si>
    <t>Project 8</t>
  </si>
  <si>
    <t>Project 9</t>
  </si>
  <si>
    <t>Project 10</t>
  </si>
  <si>
    <t>General inputs</t>
  </si>
  <si>
    <t>[Unit: KRW]</t>
  </si>
  <si>
    <t>Seller/developer name</t>
  </si>
  <si>
    <t>name</t>
  </si>
  <si>
    <t>Country</t>
  </si>
  <si>
    <t>Please select --</t>
    <phoneticPr fontId="183" type="noConversion"/>
  </si>
  <si>
    <t>Korea</t>
    <phoneticPr fontId="183" type="noConversion"/>
  </si>
  <si>
    <t>Region</t>
    <phoneticPr fontId="183" type="noConversion"/>
  </si>
  <si>
    <t>Please specify the location of the plant</t>
  </si>
  <si>
    <t>Gyeonggi-do</t>
    <phoneticPr fontId="74" type="noConversion"/>
  </si>
  <si>
    <t>Busan</t>
    <phoneticPr fontId="74" type="noConversion"/>
  </si>
  <si>
    <t>Chungcheongbuk-do</t>
    <phoneticPr fontId="74" type="noConversion"/>
  </si>
  <si>
    <t>Technology</t>
  </si>
  <si>
    <t>Please select --</t>
  </si>
  <si>
    <t>PV</t>
  </si>
  <si>
    <t>Project Status</t>
  </si>
  <si>
    <t>RtB</t>
    <phoneticPr fontId="74" type="noConversion"/>
  </si>
  <si>
    <t>Transaction structure</t>
  </si>
  <si>
    <t>Please provide background on the deal</t>
  </si>
  <si>
    <t xml:space="preserve">ROOFTOP   </t>
    <phoneticPr fontId="74" type="noConversion"/>
  </si>
  <si>
    <t>Input source</t>
  </si>
  <si>
    <t xml:space="preserve">Please specify if this input list is based on internal assumptions or seller assumptions. </t>
  </si>
  <si>
    <t>Internal assumptions</t>
    <phoneticPr fontId="183" type="noConversion"/>
  </si>
  <si>
    <t>Currency</t>
  </si>
  <si>
    <t>Please select currency for financial modelling purposes --</t>
  </si>
  <si>
    <t>KRW</t>
    <phoneticPr fontId="183" type="noConversion"/>
  </si>
  <si>
    <t>RTB date</t>
    <phoneticPr fontId="74" type="noConversion"/>
  </si>
  <si>
    <t>date (day/month/year)</t>
  </si>
  <si>
    <t>Construction phase</t>
    <phoneticPr fontId="183" type="noConversion"/>
  </si>
  <si>
    <t>Months</t>
  </si>
  <si>
    <t>SOC date</t>
    <phoneticPr fontId="74" type="noConversion"/>
  </si>
  <si>
    <t>COD date</t>
  </si>
  <si>
    <t>date  (day/month/year)</t>
  </si>
  <si>
    <t>Asset Useful Life</t>
  </si>
  <si>
    <t>years</t>
  </si>
  <si>
    <t>Default will be 20 years</t>
    <phoneticPr fontId="183" type="noConversion"/>
  </si>
  <si>
    <t>WTG / Panels number</t>
  </si>
  <si>
    <t>If PV in E9 please put N/A</t>
  </si>
  <si>
    <t>N/A</t>
    <phoneticPr fontId="183" type="noConversion"/>
  </si>
  <si>
    <t>WTG / Panels name</t>
  </si>
  <si>
    <t>Total Capacity DC</t>
  </si>
  <si>
    <t>MWp</t>
  </si>
  <si>
    <t>Total Capacity AC</t>
  </si>
  <si>
    <t>Mwac . If Wind in E9 please put N/A</t>
  </si>
  <si>
    <t>DC/AC ratio</t>
    <phoneticPr fontId="183" type="noConversion"/>
  </si>
  <si>
    <t>If Wind in E9 please put N/A</t>
  </si>
  <si>
    <t>Production</t>
  </si>
  <si>
    <t>Load Factor (After Curtailment)</t>
  </si>
  <si>
    <t>P50</t>
  </si>
  <si>
    <t>%</t>
  </si>
  <si>
    <t>P75</t>
  </si>
  <si>
    <t>P90</t>
  </si>
  <si>
    <t>Number of Equivalent Hours (day)</t>
    <phoneticPr fontId="183" type="noConversion"/>
  </si>
  <si>
    <t>Hours</t>
  </si>
  <si>
    <t>MWh</t>
  </si>
  <si>
    <t>Specific Production</t>
  </si>
  <si>
    <t xml:space="preserve"> [kWh/kWp]</t>
  </si>
  <si>
    <t>Availability</t>
  </si>
  <si>
    <t>Months before degradation</t>
  </si>
  <si>
    <t>Start of degradation</t>
  </si>
  <si>
    <t>Degradation Factor</t>
    <phoneticPr fontId="183" type="noConversion"/>
  </si>
  <si>
    <t>Electricity losses</t>
  </si>
  <si>
    <t>Grid and BoS losses</t>
  </si>
  <si>
    <t>Other losses</t>
  </si>
  <si>
    <t>Opex - year 1</t>
  </si>
  <si>
    <t>Unit</t>
  </si>
  <si>
    <t>Cost</t>
  </si>
  <si>
    <t>O&amp;M</t>
    <phoneticPr fontId="183" type="noConversion"/>
  </si>
  <si>
    <t>Please select D60 --</t>
  </si>
  <si>
    <t>000/year</t>
  </si>
  <si>
    <t>Indexed?</t>
    <phoneticPr fontId="183" type="noConversion"/>
  </si>
  <si>
    <t>0 or 1</t>
  </si>
  <si>
    <t>Indexation reference date</t>
    <phoneticPr fontId="74" type="noConversion"/>
  </si>
  <si>
    <t>date</t>
  </si>
  <si>
    <t>Default will be 2026</t>
    <phoneticPr fontId="74" type="noConversion"/>
  </si>
  <si>
    <t>Indexation %</t>
  </si>
  <si>
    <t>Please specify if it's CPI or other</t>
  </si>
  <si>
    <t>CPI</t>
  </si>
  <si>
    <t>Cost starting date</t>
  </si>
  <si>
    <t>Comments</t>
  </si>
  <si>
    <t>The total amount of O&amp;M is KRW 12.5 million/MW.
OR intends to proceed O&amp;M through an outsourced O&amp;M company.</t>
    <phoneticPr fontId="74" type="noConversion"/>
  </si>
  <si>
    <t>Asset Management</t>
  </si>
  <si>
    <t>Indexed?</t>
  </si>
  <si>
    <t>Indexation reference date</t>
  </si>
  <si>
    <t>-</t>
    <phoneticPr fontId="74" type="noConversion"/>
  </si>
  <si>
    <t>Security Services</t>
  </si>
  <si>
    <t>EUR</t>
  </si>
  <si>
    <t>Default will be 2023</t>
  </si>
  <si>
    <t>Included in O&amp;M cost</t>
    <phoneticPr fontId="183" type="noConversion"/>
  </si>
  <si>
    <t>MAS (accounting and other administrative not included AM)</t>
    <phoneticPr fontId="183" type="noConversion"/>
  </si>
  <si>
    <t>Calculated as KRW 2.6 Million/MW</t>
    <phoneticPr fontId="183" type="noConversion"/>
  </si>
  <si>
    <t>Energy Consumption</t>
    <phoneticPr fontId="183" type="noConversion"/>
  </si>
  <si>
    <t>% Revenue</t>
  </si>
  <si>
    <t>-</t>
    <phoneticPr fontId="183" type="noConversion"/>
  </si>
  <si>
    <t>Indexation %</t>
    <phoneticPr fontId="183" type="noConversion"/>
  </si>
  <si>
    <t>Insurance</t>
    <phoneticPr fontId="183" type="noConversion"/>
  </si>
  <si>
    <t>Calculated as KRW 6 Million/MW</t>
    <phoneticPr fontId="183" type="noConversion"/>
  </si>
  <si>
    <t>Local tax payment</t>
  </si>
  <si>
    <t>Included in Contingency cost</t>
    <phoneticPr fontId="183" type="noConversion"/>
  </si>
  <si>
    <t>Land lease</t>
    <phoneticPr fontId="183" type="noConversion"/>
  </si>
  <si>
    <t>Hectares</t>
    <phoneticPr fontId="183" type="noConversion"/>
  </si>
  <si>
    <t>Other 1</t>
  </si>
  <si>
    <t>Other 2</t>
  </si>
  <si>
    <t>Contingency</t>
  </si>
  <si>
    <t>Calculated as KRW 3.9 Million/MW. Facility operation, On-site electricity charges, Maintenance and repair operating expenses(including inverters), Security Services are included.</t>
    <phoneticPr fontId="183" type="noConversion"/>
  </si>
  <si>
    <t>[excl. VAT 10%]</t>
    <phoneticPr fontId="74" type="noConversion"/>
  </si>
  <si>
    <t xml:space="preserve">Capex </t>
  </si>
  <si>
    <t>BOS</t>
  </si>
  <si>
    <t>000/MWp</t>
  </si>
  <si>
    <t>Monthly distribution</t>
  </si>
  <si>
    <t>Month</t>
  </si>
  <si>
    <t>-50% at Signing, 40% at Pre-use inspection, 10% at COD.</t>
    <phoneticPr fontId="74" type="noConversion"/>
  </si>
  <si>
    <t>Modules</t>
  </si>
  <si>
    <t>000</t>
  </si>
  <si>
    <t>\</t>
  </si>
  <si>
    <t>Grid Connection Cost</t>
    <phoneticPr fontId="183" type="noConversion"/>
  </si>
  <si>
    <t>no</t>
    <phoneticPr fontId="183" type="noConversion"/>
  </si>
  <si>
    <t>Development cost</t>
    <phoneticPr fontId="183" type="noConversion"/>
  </si>
  <si>
    <t>Other Capex</t>
  </si>
  <si>
    <t>O&amp;M</t>
  </si>
  <si>
    <t>MAS (accounting and other administrative not included AM)</t>
  </si>
  <si>
    <t>Insurance</t>
  </si>
  <si>
    <t>Grid Connection Cost</t>
  </si>
  <si>
    <t>Land lease</t>
  </si>
  <si>
    <t>OPEX</t>
    <phoneticPr fontId="74" type="noConversion"/>
  </si>
  <si>
    <t>CAPEX</t>
    <phoneticPr fontId="74" type="noConversion"/>
  </si>
  <si>
    <t>DEVEX</t>
    <phoneticPr fontId="74" type="noConversion"/>
  </si>
  <si>
    <t>Development cost</t>
  </si>
  <si>
    <t>BOLT 3</t>
    <phoneticPr fontId="74" type="noConversion"/>
  </si>
  <si>
    <r>
      <rPr>
        <sz val="10"/>
        <rFont val="맑은 고딕"/>
        <family val="2"/>
        <charset val="129"/>
      </rPr>
      <t>설정</t>
    </r>
    <phoneticPr fontId="74" type="noConversion"/>
  </si>
  <si>
    <r>
      <rPr>
        <sz val="10"/>
        <rFont val="맑은 고딕"/>
        <family val="3"/>
        <charset val="129"/>
      </rPr>
      <t>지급비율</t>
    </r>
    <phoneticPr fontId="74" type="noConversion"/>
  </si>
  <si>
    <r>
      <rPr>
        <sz val="10"/>
        <rFont val="맑은 고딕"/>
        <family val="3"/>
        <charset val="129"/>
      </rPr>
      <t>지급일시</t>
    </r>
    <phoneticPr fontId="74" type="noConversion"/>
  </si>
  <si>
    <r>
      <rPr>
        <sz val="10"/>
        <rFont val="맑은 고딕"/>
        <family val="3"/>
        <charset val="129"/>
      </rPr>
      <t>용량</t>
    </r>
    <phoneticPr fontId="74" type="noConversion"/>
  </si>
  <si>
    <r>
      <rPr>
        <sz val="10"/>
        <rFont val="맑은 고딕"/>
        <family val="3"/>
        <charset val="129"/>
      </rPr>
      <t>기준</t>
    </r>
    <phoneticPr fontId="74" type="noConversion"/>
  </si>
  <si>
    <r>
      <rPr>
        <sz val="10"/>
        <rFont val="맑은 고딕"/>
        <family val="3"/>
        <charset val="129"/>
      </rPr>
      <t>기타</t>
    </r>
    <phoneticPr fontId="74" type="noConversion"/>
  </si>
  <si>
    <r>
      <t>5</t>
    </r>
    <r>
      <rPr>
        <sz val="10"/>
        <rFont val="맑은 고딕"/>
        <family val="2"/>
        <charset val="129"/>
      </rPr>
      <t>년</t>
    </r>
    <r>
      <rPr>
        <sz val="10"/>
        <rFont val="Calibri"/>
        <family val="2"/>
      </rPr>
      <t xml:space="preserve"> </t>
    </r>
    <r>
      <rPr>
        <sz val="10"/>
        <rFont val="맑은 고딕"/>
        <family val="2"/>
        <charset val="129"/>
      </rPr>
      <t>선납비용</t>
    </r>
    <phoneticPr fontId="74" type="noConversion"/>
  </si>
  <si>
    <r>
      <rPr>
        <sz val="10"/>
        <rFont val="맑은 고딕"/>
        <family val="2"/>
        <charset val="129"/>
      </rPr>
      <t>기존</t>
    </r>
    <r>
      <rPr>
        <sz val="10"/>
        <rFont val="Calibri"/>
        <family val="2"/>
      </rPr>
      <t xml:space="preserve"> </t>
    </r>
    <r>
      <rPr>
        <sz val="10"/>
        <color theme="1"/>
        <rFont val="Calibri"/>
        <family val="2"/>
      </rPr>
      <t>OPEX</t>
    </r>
    <phoneticPr fontId="74" type="noConversion"/>
  </si>
  <si>
    <t>Jangchon 1</t>
    <phoneticPr fontId="19" type="noConversion"/>
  </si>
  <si>
    <t>Soltop Masan 1</t>
    <phoneticPr fontId="19" type="noConversion"/>
  </si>
  <si>
    <t>Hanil Mugok 15</t>
    <phoneticPr fontId="19" type="noConversion"/>
  </si>
  <si>
    <t>Hanil Jigyeong 1</t>
    <phoneticPr fontId="19" type="noConversion"/>
  </si>
  <si>
    <t>Hanil Jigyeong 2</t>
    <phoneticPr fontId="19" type="noConversion"/>
  </si>
  <si>
    <t>Ho Duck4</t>
    <phoneticPr fontId="19" type="noConversion"/>
  </si>
  <si>
    <t>Ground</t>
  </si>
  <si>
    <t>Land Purchase</t>
    <phoneticPr fontId="19" type="noConversion"/>
  </si>
  <si>
    <t>Land Purchase</t>
    <phoneticPr fontId="183" type="noConversion"/>
  </si>
  <si>
    <t>Land Purchase/MW</t>
    <phoneticPr fontId="19" type="noConversion"/>
  </si>
  <si>
    <t>Hoduck 4 Solar</t>
    <phoneticPr fontId="19" type="noConversion"/>
  </si>
  <si>
    <t>Jigyeong Inc.</t>
    <phoneticPr fontId="19" type="noConversion"/>
  </si>
  <si>
    <t>Mugok Inc.</t>
    <phoneticPr fontId="19" type="noConversion"/>
  </si>
  <si>
    <t>Ssoltop Miracle Inc.</t>
    <phoneticPr fontId="19" type="noConversion"/>
  </si>
  <si>
    <t>Ssoltop Masan 1 Solar</t>
    <phoneticPr fontId="19" type="noConversion"/>
  </si>
  <si>
    <t>Seongsi 3 Solar</t>
    <phoneticPr fontId="19" type="noConversion"/>
  </si>
  <si>
    <t>Youngdong-gun, Chungcheongbuk-do</t>
    <phoneticPr fontId="19" type="noConversion"/>
  </si>
  <si>
    <t>Haenam-gun, Jeollanam-do</t>
    <phoneticPr fontId="19" type="noConversion"/>
  </si>
  <si>
    <t>Hapcheon-gun, Gyeongsangnam-do</t>
    <phoneticPr fontId="19" type="noConversion"/>
  </si>
  <si>
    <t>Youngyang-gun, Gyeongsangbuk-do</t>
    <phoneticPr fontId="19" type="noConversion"/>
  </si>
  <si>
    <t>Goheung-gun, Jeollanam-do</t>
    <phoneticPr fontId="19" type="noConversion"/>
  </si>
  <si>
    <t>Bonghwa-gun, Gyeongsangbuk-do</t>
    <phoneticPr fontId="19" type="noConversion"/>
  </si>
  <si>
    <t>Broker Fee/MW</t>
    <phoneticPr fontId="19" type="noConversion"/>
  </si>
  <si>
    <t>Other DEVEX(Broker Fee)</t>
    <phoneticPr fontId="19" type="noConversion"/>
  </si>
  <si>
    <t>Milestone 1(SPA)</t>
    <phoneticPr fontId="74" type="noConversion"/>
  </si>
  <si>
    <t>Milestone 4(Broker Fee)</t>
    <phoneticPr fontId="7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</si>
</sst>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 #,##0.00_);_(* \(#,##0.00\);_(* &quot;-&quot;??_);_(@_)"/>
    <numFmt numFmtId="177" formatCode="_(* #,##0_);_(* \(#,##0\);_(* &quot;-&quot;??_);_(@_)"/>
    <numFmt numFmtId="178" formatCode="#,##0.0_ ;[Red]\-#,##0.0\ "/>
    <numFmt numFmtId="179" formatCode="#,##0;[Red]#,##0"/>
    <numFmt numFmtId="180" formatCode="[$-409]d\-mmm\-yyyy;@"/>
    <numFmt numFmtId="181" formatCode="_(* #,##0.0_);_(* \(#,##0.0\);_(* &quot;-&quot;??_);_(@_)"/>
    <numFmt numFmtId="182" formatCode="[$-409]mmm\-yy;@"/>
    <numFmt numFmtId="183" formatCode="#,##0.000;[Red]#,##0.000"/>
    <numFmt numFmtId="184" formatCode="#,##0.00;[Red]#,##0.00"/>
    <numFmt numFmtId="185" formatCode="_-* #,##0.00_-;\-* #,##0.00_-;_-* &quot;-&quot;_-;_-@_-"/>
    <numFmt numFmtId="186" formatCode="General\ &quot;years&quot;"/>
    <numFmt numFmtId="187" formatCode="yyyy/mm/dd;@"/>
    <numFmt numFmtId="188" formatCode="[$-409]mmm/yy;@"/>
    <numFmt numFmtId="189" formatCode="#,##0.0000_);[Red]\(#,##0.0000\)"/>
    <numFmt numFmtId="190" formatCode="#,##0.000;[Red]\-#,##0.000"/>
    <numFmt numFmtId="191" formatCode="0.0_);[Red]\(0.0\)"/>
    <numFmt numFmtId="192" formatCode="_(* #,##0.000_);_(* \(#,##0.000\);_(* &quot;-&quot;??_);_(@_)"/>
    <numFmt numFmtId="193" formatCode="#,##0.00\ &quot;kW&quot;"/>
    <numFmt numFmtId="194" formatCode="[$-409]mmmm\ d\,\ yyyy;@"/>
    <numFmt numFmtId="195" formatCode="#,##0.0000;[Red]\-#,##0.0000"/>
    <numFmt numFmtId="196" formatCode="#,##0.00\ &quot;kWp&quot;"/>
    <numFmt numFmtId="197" formatCode="0.0%"/>
    <numFmt numFmtId="198" formatCode="0.00_ "/>
    <numFmt numFmtId="199" formatCode="&quot;₩&quot;#,##0_);[Red]\(&quot;₩&quot;#,##0\)"/>
    <numFmt numFmtId="200" formatCode="_-[$€-2]\ * #,##0.00_-;\-[$€-2]\ * #,##0.00_-;_-[$€-2]\ * &quot;-&quot;??_-;_-@_-"/>
    <numFmt numFmtId="201" formatCode="&quot;EUR  &quot;#,##0.00;[Red]\-#,##0.00"/>
    <numFmt numFmtId="202" formatCode="&quot;EUR&quot;#,##0.00;[Red]&quot;EUR&quot;\-#,##0.00"/>
    <numFmt numFmtId="203" formatCode="#,##0.00_ ;[Red]\-#,##0.00\ "/>
    <numFmt numFmtId="204" formatCode="#,##0.0;[Red]\-#,##0.0"/>
    <numFmt numFmtId="205" formatCode="0.00000_ "/>
    <numFmt numFmtId="206" formatCode="0.000_ "/>
    <numFmt numFmtId="207" formatCode="0.000000"/>
    <numFmt numFmtId="208" formatCode="&quot;₩&quot;#,##0"/>
    <numFmt numFmtId="209" formatCode="#,##0_ "/>
    <numFmt numFmtId="210" formatCode="[=1]&quot;Yes&quot;;[=0]&quot;No&quot;;&quot;Invalid&quot;"/>
    <numFmt numFmtId="211" formatCode="_-* #,##0.0000_-;\-* #,##0.0000_-;_-* &quot;-&quot;_-;_-@_-"/>
    <numFmt numFmtId="212" formatCode="#,##0.0"/>
  </numFmts>
  <fonts count="196">
    <font>
      <sz val="11"/>
      <color theme="1"/>
      <name val="맑은 고딕"/>
      <family val="2"/>
      <charset val="128"/>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sz val="11"/>
      <color theme="1"/>
      <name val="맑은 고딕"/>
      <family val="2"/>
      <charset val="128"/>
      <scheme val="minor"/>
    </font>
    <font>
      <sz val="11"/>
      <color theme="1"/>
      <name val="Calibri"/>
      <family val="2"/>
    </font>
    <font>
      <sz val="6"/>
      <name val="맑은 고딕"/>
      <family val="2"/>
      <charset val="128"/>
      <scheme val="minor"/>
    </font>
    <font>
      <sz val="6"/>
      <name val="맑은 고딕"/>
      <family val="3"/>
      <charset val="128"/>
      <scheme val="minor"/>
    </font>
    <font>
      <b/>
      <sz val="12"/>
      <color theme="0"/>
      <name val="Calibri"/>
      <family val="2"/>
    </font>
    <font>
      <b/>
      <sz val="12"/>
      <color theme="0"/>
      <name val="游ゴシック"/>
      <family val="3"/>
      <charset val="128"/>
    </font>
    <font>
      <sz val="11"/>
      <name val="Calibri"/>
      <family val="2"/>
    </font>
    <font>
      <sz val="11"/>
      <color rgb="FF000000"/>
      <name val="Calibri"/>
      <family val="2"/>
    </font>
    <font>
      <sz val="11"/>
      <color theme="0"/>
      <name val="Calibri"/>
      <family val="2"/>
    </font>
    <font>
      <b/>
      <sz val="6"/>
      <color theme="0"/>
      <name val="Calibri"/>
      <family val="2"/>
    </font>
    <font>
      <b/>
      <sz val="12"/>
      <color rgb="FFFF0000"/>
      <name val="Calibri"/>
      <family val="2"/>
    </font>
    <font>
      <b/>
      <sz val="11"/>
      <color theme="1"/>
      <name val="Calibri"/>
      <family val="2"/>
    </font>
    <font>
      <sz val="8"/>
      <name val="맑은 고딕"/>
      <family val="3"/>
      <charset val="129"/>
      <scheme val="minor"/>
    </font>
    <font>
      <sz val="9"/>
      <color rgb="FF000000"/>
      <name val="맑은 고딕"/>
      <family val="3"/>
      <charset val="129"/>
      <scheme val="minor"/>
    </font>
    <font>
      <sz val="9"/>
      <color theme="1"/>
      <name val="맑은 고딕"/>
      <family val="3"/>
      <charset val="129"/>
      <scheme val="minor"/>
    </font>
    <font>
      <sz val="9"/>
      <color theme="1"/>
      <name val="Calibri"/>
      <family val="2"/>
    </font>
    <font>
      <sz val="9"/>
      <name val="Calibri"/>
      <family val="2"/>
    </font>
    <font>
      <sz val="9"/>
      <color rgb="FF000000"/>
      <name val="Calibri"/>
      <family val="2"/>
    </font>
    <font>
      <sz val="9"/>
      <color rgb="FF000000"/>
      <name val="맑은 고딕"/>
      <family val="3"/>
      <charset val="129"/>
      <scheme val="major"/>
    </font>
    <font>
      <sz val="9"/>
      <color theme="1"/>
      <name val="맑은 고딕"/>
      <family val="3"/>
      <charset val="129"/>
      <scheme val="major"/>
    </font>
    <font>
      <sz val="9"/>
      <color theme="1"/>
      <name val="Calibri"/>
      <family val="2"/>
      <charset val="129"/>
    </font>
    <font>
      <b/>
      <sz val="9"/>
      <color theme="1"/>
      <name val="Calibri"/>
      <family val="2"/>
    </font>
    <font>
      <sz val="11"/>
      <color theme="1"/>
      <name val="Calibri"/>
      <family val="2"/>
    </font>
    <font>
      <b/>
      <sz val="12"/>
      <color theme="0"/>
      <name val="Calibri"/>
      <family val="2"/>
    </font>
    <font>
      <sz val="9"/>
      <color theme="1"/>
      <name val="맑은 고딕"/>
      <family val="2"/>
      <scheme val="minor"/>
    </font>
    <font>
      <sz val="9"/>
      <color rgb="FF000000"/>
      <name val="맑은 고딕"/>
      <family val="2"/>
      <scheme val="minor"/>
    </font>
    <font>
      <sz val="11"/>
      <color theme="1"/>
      <name val="맑은 고딕"/>
      <family val="2"/>
      <scheme val="minor"/>
    </font>
    <font>
      <sz val="9"/>
      <color rgb="FFFF0000"/>
      <name val="Calibri"/>
      <family val="2"/>
    </font>
    <font>
      <sz val="11"/>
      <color rgb="FF323130"/>
      <name val="Var(--FontFamilyBase)"/>
      <family val="3"/>
      <charset val="129"/>
    </font>
    <font>
      <sz val="8"/>
      <color rgb="FF323130"/>
      <name val="Segoe UI"/>
      <family val="2"/>
    </font>
    <font>
      <sz val="11"/>
      <color rgb="FF605E5C"/>
      <name val="Inherit"/>
      <family val="3"/>
      <charset val="129"/>
    </font>
    <font>
      <sz val="13.5"/>
      <color rgb="FF000000"/>
      <name val="Malgun Gothic"/>
      <family val="2"/>
    </font>
    <font>
      <sz val="11"/>
      <color theme="1"/>
      <name val="맑은 고딕"/>
      <family val="3"/>
      <charset val="129"/>
      <scheme val="minor"/>
    </font>
    <font>
      <b/>
      <sz val="11"/>
      <color rgb="FF000000"/>
      <name val="Calibri"/>
      <family val="2"/>
    </font>
    <font>
      <b/>
      <sz val="22"/>
      <color rgb="FF000000"/>
      <name val="맑은 고딕"/>
      <family val="3"/>
      <charset val="129"/>
    </font>
    <font>
      <sz val="11"/>
      <color rgb="FF000000"/>
      <name val="맑은 고딕"/>
      <family val="3"/>
      <charset val="129"/>
    </font>
    <font>
      <b/>
      <sz val="16"/>
      <color rgb="FF000000"/>
      <name val="맑은 고딕"/>
      <family val="3"/>
      <charset val="129"/>
    </font>
    <font>
      <sz val="16"/>
      <color rgb="FF000000"/>
      <name val="맑은 고딕"/>
      <family val="3"/>
      <charset val="129"/>
    </font>
    <font>
      <b/>
      <sz val="14"/>
      <color rgb="FF000000"/>
      <name val="맑은 고딕"/>
      <family val="3"/>
      <charset val="129"/>
    </font>
    <font>
      <b/>
      <sz val="11"/>
      <color rgb="FF000000"/>
      <name val="맑은 고딕"/>
      <family val="3"/>
      <charset val="129"/>
    </font>
    <font>
      <b/>
      <sz val="11"/>
      <color rgb="FF808080"/>
      <name val="맑은 고딕"/>
      <family val="3"/>
      <charset val="129"/>
    </font>
    <font>
      <b/>
      <sz val="12"/>
      <color rgb="FF000000"/>
      <name val="Calibri"/>
      <family val="2"/>
    </font>
    <font>
      <b/>
      <sz val="11"/>
      <color rgb="FFFF0000"/>
      <name val="맑은 고딕"/>
      <family val="3"/>
      <charset val="129"/>
    </font>
    <font>
      <strike/>
      <sz val="9"/>
      <color rgb="FF000000"/>
      <name val="Calibri"/>
      <family val="2"/>
    </font>
    <font>
      <strike/>
      <sz val="9"/>
      <color theme="1"/>
      <name val="Calibri"/>
      <family val="2"/>
    </font>
    <font>
      <strike/>
      <sz val="9"/>
      <name val="Calibri"/>
      <family val="2"/>
    </font>
    <font>
      <strike/>
      <sz val="9"/>
      <color rgb="FFFF0000"/>
      <name val="Calibri"/>
      <family val="2"/>
    </font>
    <font>
      <strike/>
      <sz val="11"/>
      <color rgb="FF000000"/>
      <name val="Calibri"/>
      <family val="2"/>
    </font>
    <font>
      <strike/>
      <sz val="11"/>
      <color theme="1"/>
      <name val="Calibri"/>
      <family val="2"/>
    </font>
    <font>
      <strike/>
      <sz val="11"/>
      <name val="Calibri"/>
      <family val="2"/>
    </font>
    <font>
      <sz val="11"/>
      <color theme="1"/>
      <name val="맑은 고딕"/>
      <family val="2"/>
      <scheme val="minor"/>
    </font>
    <font>
      <sz val="11"/>
      <color theme="1"/>
      <name val="맑은 고딕"/>
      <family val="2"/>
      <charset val="129"/>
      <scheme val="minor"/>
    </font>
    <font>
      <sz val="12"/>
      <color theme="1"/>
      <name val="맑은 고딕"/>
      <family val="2"/>
      <charset val="128"/>
      <scheme val="minor"/>
    </font>
    <font>
      <b/>
      <sz val="18"/>
      <color theme="1"/>
      <name val="맑은 고딕"/>
      <family val="2"/>
      <charset val="128"/>
      <scheme val="minor"/>
    </font>
    <font>
      <b/>
      <sz val="12"/>
      <color theme="1"/>
      <name val="맑은 고딕"/>
      <family val="2"/>
      <charset val="128"/>
      <scheme val="minor"/>
    </font>
    <font>
      <b/>
      <sz val="10"/>
      <color theme="1"/>
      <name val="Calibri"/>
      <family val="2"/>
    </font>
    <font>
      <b/>
      <sz val="10"/>
      <color rgb="FF000000"/>
      <name val="Calibri"/>
      <family val="2"/>
    </font>
    <font>
      <b/>
      <sz val="14"/>
      <color theme="1"/>
      <name val="Calibri"/>
      <family val="2"/>
    </font>
    <font>
      <sz val="11"/>
      <color theme="1"/>
      <name val="맑은 고딕"/>
      <family val="2"/>
      <scheme val="minor"/>
    </font>
    <font>
      <sz val="11"/>
      <name val="맑은 고딕"/>
      <family val="2"/>
      <scheme val="minor"/>
    </font>
    <font>
      <b/>
      <sz val="11"/>
      <color theme="0"/>
      <name val="Calibri"/>
      <family val="2"/>
    </font>
    <font>
      <b/>
      <sz val="10"/>
      <color theme="0"/>
      <name val="Calibri"/>
      <family val="2"/>
    </font>
    <font>
      <b/>
      <sz val="11"/>
      <color rgb="FFFFFFFF"/>
      <name val="Calibri"/>
      <family val="2"/>
    </font>
    <font>
      <b/>
      <sz val="10"/>
      <color rgb="FFFF0000"/>
      <name val="Calibri"/>
      <family val="2"/>
    </font>
    <font>
      <b/>
      <sz val="11"/>
      <color rgb="FFFF0000"/>
      <name val="Calibri"/>
      <family val="2"/>
    </font>
    <font>
      <sz val="9"/>
      <color rgb="FF000000"/>
      <name val="맑은 고딕"/>
      <family val="2"/>
    </font>
    <font>
      <sz val="10"/>
      <color theme="1"/>
      <name val="Calibri"/>
      <family val="2"/>
    </font>
    <font>
      <sz val="8"/>
      <name val="돋움"/>
      <family val="3"/>
      <charset val="129"/>
    </font>
    <font>
      <sz val="9"/>
      <color theme="1"/>
      <name val="맑은 고딕"/>
      <family val="3"/>
      <charset val="129"/>
    </font>
    <font>
      <sz val="9"/>
      <color theme="1"/>
      <name val="Calibri"/>
      <family val="3"/>
      <charset val="129"/>
    </font>
    <font>
      <sz val="10"/>
      <color rgb="FF404040"/>
      <name val="Calibri"/>
      <family val="2"/>
    </font>
    <font>
      <sz val="10"/>
      <color theme="1" tint="0.249977111117893"/>
      <name val="Calibri"/>
      <family val="2"/>
    </font>
    <font>
      <b/>
      <sz val="10"/>
      <color rgb="FF156082"/>
      <name val="Calibri"/>
      <family val="2"/>
    </font>
    <font>
      <sz val="10"/>
      <color rgb="FF156082"/>
      <name val="Calibri"/>
      <family val="2"/>
    </font>
    <font>
      <sz val="10"/>
      <color rgb="FF000000"/>
      <name val="Calibri"/>
      <family val="2"/>
    </font>
    <font>
      <sz val="9"/>
      <color rgb="FF000000"/>
      <name val="맑은 고딕"/>
      <family val="3"/>
      <charset val="129"/>
    </font>
    <font>
      <b/>
      <sz val="11"/>
      <color theme="1"/>
      <name val="맑은 고딕"/>
      <family val="2"/>
      <charset val="128"/>
      <scheme val="minor"/>
    </font>
    <font>
      <i/>
      <sz val="11"/>
      <color rgb="FF000000"/>
      <name val="Calibri"/>
      <family val="2"/>
    </font>
    <font>
      <sz val="8"/>
      <name val="맑은 고딕"/>
      <family val="2"/>
      <charset val="129"/>
      <scheme val="minor"/>
    </font>
    <font>
      <sz val="10"/>
      <color theme="1"/>
      <name val="맑은 고딕"/>
      <family val="2"/>
      <charset val="129"/>
      <scheme val="minor"/>
    </font>
    <font>
      <sz val="10"/>
      <color rgb="FF404040"/>
      <name val="맑은 고딕"/>
      <family val="2"/>
      <charset val="129"/>
    </font>
    <font>
      <sz val="10"/>
      <color theme="1"/>
      <name val="맑은 고딕"/>
      <family val="3"/>
      <charset val="129"/>
      <scheme val="minor"/>
    </font>
    <font>
      <b/>
      <sz val="10"/>
      <color theme="1"/>
      <name val="맑은 고딕"/>
      <family val="3"/>
      <charset val="129"/>
      <scheme val="minor"/>
    </font>
    <font>
      <sz val="8"/>
      <color theme="1"/>
      <name val="맑은 고딕"/>
      <family val="2"/>
      <charset val="129"/>
      <scheme val="minor"/>
    </font>
    <font>
      <strike/>
      <sz val="9"/>
      <color theme="1"/>
      <name val="맑은 고딕"/>
      <family val="3"/>
      <charset val="129"/>
    </font>
    <font>
      <sz val="11"/>
      <color rgb="FF323130"/>
      <name val="Calibri"/>
      <family val="2"/>
    </font>
    <font>
      <b/>
      <sz val="9"/>
      <color rgb="FF000000"/>
      <name val="Calibri"/>
      <family val="2"/>
    </font>
    <font>
      <sz val="9"/>
      <color theme="1"/>
      <name val="맑은 고딕"/>
      <family val="2"/>
    </font>
    <font>
      <sz val="9"/>
      <color theme="1"/>
      <name val="맑은 고딕"/>
      <family val="2"/>
      <charset val="128"/>
    </font>
    <font>
      <sz val="9"/>
      <color rgb="FF404040"/>
      <name val="Calibri"/>
      <family val="2"/>
    </font>
    <font>
      <sz val="9"/>
      <color rgb="FF000000"/>
      <name val="맑은 고딕"/>
      <family val="2"/>
      <charset val="129"/>
    </font>
    <font>
      <sz val="9"/>
      <color rgb="FF000000"/>
      <name val="Calibri"/>
      <family val="2"/>
      <charset val="129"/>
    </font>
    <font>
      <sz val="9"/>
      <color rgb="FF000000"/>
      <name val="Calibri"/>
      <family val="3"/>
      <charset val="129"/>
    </font>
    <font>
      <sz val="10"/>
      <color rgb="FFFF0000"/>
      <name val="Calibri"/>
      <family val="2"/>
    </font>
    <font>
      <b/>
      <sz val="9"/>
      <color theme="0"/>
      <name val="Calibri"/>
      <family val="2"/>
    </font>
    <font>
      <b/>
      <sz val="11"/>
      <color theme="0"/>
      <name val="맑은 고딕"/>
      <family val="2"/>
      <scheme val="minor"/>
    </font>
    <font>
      <sz val="11"/>
      <color rgb="FFFF0000"/>
      <name val="Calibri"/>
      <family val="2"/>
    </font>
    <font>
      <sz val="11"/>
      <color rgb="FF0070C0"/>
      <name val="Calibri"/>
      <family val="2"/>
    </font>
    <font>
      <b/>
      <sz val="11"/>
      <color rgb="FF0070C0"/>
      <name val="맑은 고딕"/>
      <family val="2"/>
      <charset val="128"/>
      <scheme val="minor"/>
    </font>
    <font>
      <sz val="10"/>
      <color rgb="FF404040"/>
      <name val="맑은 고딕"/>
      <family val="3"/>
      <charset val="129"/>
    </font>
    <font>
      <sz val="11"/>
      <color rgb="FFFF0000"/>
      <name val="맑은 고딕"/>
      <family val="2"/>
      <charset val="129"/>
      <scheme val="minor"/>
    </font>
    <font>
      <b/>
      <sz val="16"/>
      <color theme="1"/>
      <name val="Calibri"/>
      <family val="2"/>
    </font>
    <font>
      <sz val="11"/>
      <color rgb="FFFF0000"/>
      <name val="맑은 고딕"/>
      <family val="2"/>
      <charset val="128"/>
      <scheme val="minor"/>
    </font>
    <font>
      <sz val="9"/>
      <color rgb="FF0000FF"/>
      <name val="Calibri"/>
      <family val="2"/>
    </font>
    <font>
      <b/>
      <sz val="8"/>
      <color theme="1"/>
      <name val="Calibri"/>
      <family val="2"/>
    </font>
    <font>
      <b/>
      <sz val="10"/>
      <color theme="0"/>
      <name val="맑은 고딕"/>
      <family val="2"/>
      <scheme val="minor"/>
    </font>
    <font>
      <b/>
      <sz val="10"/>
      <color rgb="FFFFFFFF"/>
      <name val="Calibri"/>
      <family val="2"/>
    </font>
    <font>
      <b/>
      <sz val="10"/>
      <color rgb="FFFFFFFF"/>
      <name val="맑은 고딕"/>
      <family val="3"/>
      <charset val="129"/>
    </font>
    <font>
      <b/>
      <sz val="10"/>
      <color theme="0"/>
      <name val="游ゴシック"/>
      <family val="3"/>
      <charset val="128"/>
    </font>
    <font>
      <b/>
      <sz val="8"/>
      <color rgb="FF0000FF"/>
      <name val="Calibri"/>
      <family val="2"/>
    </font>
    <font>
      <b/>
      <sz val="18"/>
      <color theme="1"/>
      <name val="Calibri"/>
      <family val="2"/>
    </font>
    <font>
      <b/>
      <sz val="8"/>
      <color theme="0"/>
      <name val="Calibri"/>
      <family val="2"/>
    </font>
    <font>
      <b/>
      <sz val="9"/>
      <color rgb="FFFF0000"/>
      <name val="Calibri"/>
      <family val="2"/>
    </font>
    <font>
      <sz val="8"/>
      <color rgb="FF000000"/>
      <name val="Calibri"/>
      <family val="2"/>
    </font>
    <font>
      <sz val="9"/>
      <color theme="1"/>
      <name val="Malgun Gothic"/>
      <family val="2"/>
      <charset val="129"/>
    </font>
    <font>
      <sz val="8"/>
      <color rgb="FFFFFFFF"/>
      <name val="Calibri"/>
      <family val="2"/>
    </font>
    <font>
      <b/>
      <sz val="10"/>
      <color rgb="FFC00000"/>
      <name val="Calibri"/>
      <family val="2"/>
    </font>
    <font>
      <b/>
      <sz val="10"/>
      <color rgb="FF0000FF"/>
      <name val="Calibri"/>
      <family val="2"/>
    </font>
    <font>
      <b/>
      <sz val="10"/>
      <color rgb="FF00B050"/>
      <name val="Calibri"/>
      <family val="2"/>
    </font>
    <font>
      <b/>
      <sz val="10"/>
      <color rgb="FF7030A0"/>
      <name val="Calibri"/>
      <family val="2"/>
    </font>
    <font>
      <b/>
      <sz val="10"/>
      <color rgb="FFFFC000"/>
      <name val="Calibri"/>
      <family val="2"/>
    </font>
    <font>
      <sz val="10"/>
      <color theme="1"/>
      <name val="맑은 고딕"/>
      <family val="2"/>
      <scheme val="minor"/>
    </font>
    <font>
      <strike/>
      <sz val="9"/>
      <color rgb="FFC00000"/>
      <name val="Calibri"/>
      <family val="2"/>
    </font>
    <font>
      <strike/>
      <sz val="9"/>
      <color rgb="FFC00000"/>
      <name val="Calibri"/>
      <family val="2"/>
      <charset val="129"/>
    </font>
    <font>
      <strike/>
      <sz val="11"/>
      <color rgb="FFC00000"/>
      <name val="맑은 고딕"/>
      <family val="2"/>
      <scheme val="minor"/>
    </font>
    <font>
      <strike/>
      <sz val="9"/>
      <color rgb="FFC00000"/>
      <name val="맑은 고딕"/>
      <family val="3"/>
      <charset val="129"/>
    </font>
    <font>
      <strike/>
      <sz val="9"/>
      <color rgb="FFC00000"/>
      <name val="맑은 고딕"/>
      <family val="2"/>
      <charset val="129"/>
    </font>
    <font>
      <b/>
      <sz val="9"/>
      <color rgb="FFC00000"/>
      <name val="Calibri"/>
      <family val="2"/>
    </font>
    <font>
      <b/>
      <strike/>
      <sz val="10"/>
      <color rgb="FFC00000"/>
      <name val="Calibri"/>
      <family val="2"/>
    </font>
    <font>
      <strike/>
      <sz val="10"/>
      <color rgb="FFC00000"/>
      <name val="Calibri"/>
      <family val="2"/>
    </font>
    <font>
      <strike/>
      <sz val="11"/>
      <color rgb="FFC00000"/>
      <name val="맑은 고딕"/>
      <family val="2"/>
      <charset val="128"/>
      <scheme val="minor"/>
    </font>
    <font>
      <strike/>
      <sz val="8"/>
      <color rgb="FFC00000"/>
      <name val="Calibri"/>
      <family val="2"/>
    </font>
    <font>
      <strike/>
      <sz val="9"/>
      <color rgb="FFC00000"/>
      <name val="맑은 고딕"/>
      <family val="2"/>
    </font>
    <font>
      <b/>
      <sz val="9"/>
      <color rgb="FF0000FF"/>
      <name val="Calibri"/>
      <family val="2"/>
    </font>
    <font>
      <sz val="9"/>
      <color theme="1"/>
      <name val="Calibri"/>
      <family val="3"/>
    </font>
    <font>
      <sz val="9"/>
      <color rgb="FFFF0000"/>
      <name val="맑은 고딕"/>
      <family val="2"/>
      <charset val="129"/>
    </font>
    <font>
      <b/>
      <sz val="9"/>
      <color rgb="FF0000FF"/>
      <name val="Calibri"/>
      <family val="3"/>
    </font>
    <font>
      <sz val="9"/>
      <color theme="1"/>
      <name val="돋움"/>
      <family val="3"/>
      <charset val="129"/>
    </font>
    <font>
      <sz val="9"/>
      <color theme="1"/>
      <name val="맑은 고딕"/>
      <family val="3"/>
      <charset val="128"/>
    </font>
    <font>
      <sz val="11"/>
      <color rgb="FF000000"/>
      <name val="돋움"/>
      <family val="2"/>
      <charset val="129"/>
    </font>
    <font>
      <b/>
      <sz val="10"/>
      <color rgb="FF156082"/>
      <name val="맑은 고딕"/>
      <family val="2"/>
      <charset val="129"/>
    </font>
    <font>
      <sz val="10"/>
      <color theme="1"/>
      <name val="맑은 고딕"/>
      <family val="2"/>
      <charset val="129"/>
    </font>
    <font>
      <sz val="10"/>
      <color theme="1"/>
      <name val="맑은 고딕"/>
      <family val="2"/>
      <charset val="128"/>
    </font>
    <font>
      <i/>
      <sz val="10"/>
      <color rgb="FF000000"/>
      <name val="Calibri"/>
      <family val="2"/>
    </font>
    <font>
      <sz val="10"/>
      <color theme="1"/>
      <name val="Calibri"/>
      <family val="2"/>
      <charset val="128"/>
    </font>
    <font>
      <sz val="10"/>
      <color theme="0"/>
      <name val="Calibri"/>
      <family val="2"/>
    </font>
    <font>
      <b/>
      <sz val="10"/>
      <color rgb="FF000000"/>
      <name val="맑은 고딕"/>
      <family val="3"/>
      <charset val="129"/>
    </font>
    <font>
      <sz val="10"/>
      <color rgb="FF000000"/>
      <name val="맑은 고딕"/>
      <family val="3"/>
      <charset val="129"/>
    </font>
    <font>
      <sz val="10"/>
      <color rgb="FFFF0000"/>
      <name val="맑은 고딕"/>
      <family val="3"/>
      <charset val="129"/>
    </font>
    <font>
      <strike/>
      <sz val="11"/>
      <color rgb="FF000000"/>
      <name val="맑은 고딕"/>
      <family val="3"/>
      <charset val="129"/>
    </font>
    <font>
      <b/>
      <sz val="11"/>
      <color theme="1"/>
      <name val="맑은 고딕"/>
      <family val="3"/>
      <charset val="129"/>
      <scheme val="minor"/>
    </font>
    <font>
      <sz val="10"/>
      <name val="Calibri"/>
      <family val="2"/>
    </font>
    <font>
      <sz val="10"/>
      <name val="맑은 고딕"/>
      <family val="2"/>
      <charset val="129"/>
    </font>
    <font>
      <b/>
      <sz val="10"/>
      <name val="Calibri"/>
      <family val="2"/>
    </font>
    <font>
      <sz val="10"/>
      <name val="Arial"/>
      <family val="2"/>
    </font>
    <font>
      <sz val="10"/>
      <color theme="1"/>
      <name val="돋움"/>
      <family val="3"/>
      <charset val="129"/>
    </font>
    <font>
      <sz val="10"/>
      <color theme="1"/>
      <name val="Calibri"/>
      <family val="2"/>
      <charset val="129"/>
    </font>
    <font>
      <sz val="10"/>
      <color theme="1"/>
      <name val="Calibri"/>
      <family val="3"/>
      <charset val="129"/>
    </font>
    <font>
      <sz val="10"/>
      <name val="Calibri"/>
      <family val="2"/>
      <charset val="129"/>
    </font>
    <font>
      <sz val="10"/>
      <color theme="0"/>
      <name val="맑은 고딕"/>
      <family val="2"/>
      <charset val="129"/>
    </font>
    <font>
      <sz val="11"/>
      <color theme="0"/>
      <name val="맑은 고딕"/>
      <family val="2"/>
      <charset val="128"/>
      <scheme val="minor"/>
    </font>
    <font>
      <sz val="10"/>
      <name val="Calibri"/>
      <family val="3"/>
    </font>
    <font>
      <sz val="10"/>
      <color rgb="FFFF0000"/>
      <name val="맑은 고딕"/>
      <family val="2"/>
      <charset val="129"/>
    </font>
    <font>
      <sz val="11"/>
      <name val="맑은 고딕"/>
      <family val="2"/>
      <charset val="128"/>
      <scheme val="minor"/>
    </font>
    <font>
      <sz val="10"/>
      <name val="맑은 고딕"/>
      <family val="3"/>
      <charset val="129"/>
    </font>
    <font>
      <b/>
      <sz val="10"/>
      <name val="맑은 고딕"/>
      <family val="3"/>
      <charset val="129"/>
    </font>
    <font>
      <b/>
      <sz val="10"/>
      <name val="맑은 고딕"/>
      <family val="2"/>
      <charset val="129"/>
    </font>
    <font>
      <b/>
      <sz val="10"/>
      <color theme="1"/>
      <name val="Gadugi"/>
      <family val="2"/>
    </font>
    <font>
      <sz val="11"/>
      <color theme="1"/>
      <name val="Gadugi"/>
      <family val="2"/>
    </font>
    <font>
      <sz val="8"/>
      <color theme="1"/>
      <name val="Gadugi"/>
      <family val="2"/>
    </font>
    <font>
      <b/>
      <sz val="10"/>
      <color theme="0"/>
      <name val="Gadugi"/>
      <family val="2"/>
    </font>
    <font>
      <sz val="8"/>
      <color theme="0" tint="-0.499984740745262"/>
      <name val="Gadugi"/>
      <family val="2"/>
    </font>
    <font>
      <b/>
      <sz val="8"/>
      <color theme="1"/>
      <name val="Gadugi"/>
      <family val="2"/>
    </font>
    <font>
      <sz val="10"/>
      <color theme="1"/>
      <name val="Gadugi"/>
      <family val="2"/>
    </font>
    <font>
      <i/>
      <sz val="10"/>
      <color theme="1"/>
      <name val="Gadugi"/>
      <family val="2"/>
    </font>
    <font>
      <sz val="10"/>
      <color rgb="FF0000FF"/>
      <name val="Gadugi"/>
      <family val="2"/>
    </font>
    <font>
      <sz val="8"/>
      <name val="맑은 고딕"/>
      <family val="2"/>
      <scheme val="minor"/>
    </font>
    <font>
      <sz val="10"/>
      <color theme="0" tint="-0.499984740745262"/>
      <name val="Gadugi"/>
      <family val="2"/>
    </font>
    <font>
      <sz val="10"/>
      <color rgb="FF0066FF"/>
      <name val="Gadugi"/>
      <family val="2"/>
    </font>
    <font>
      <sz val="10"/>
      <color rgb="FFFF0000"/>
      <name val="Gadugi"/>
      <family val="2"/>
    </font>
    <font>
      <sz val="10"/>
      <color theme="0"/>
      <name val="Gadugi"/>
      <family val="2"/>
    </font>
    <font>
      <sz val="10"/>
      <color theme="1"/>
      <name val="맑은 고딕"/>
      <family val="3"/>
      <charset val="129"/>
    </font>
    <font>
      <sz val="11"/>
      <color theme="0"/>
      <name val="맑은 고딕"/>
      <family val="2"/>
      <scheme val="minor"/>
    </font>
    <font>
      <sz val="11"/>
      <color theme="0"/>
      <name val="맑은 고딕"/>
      <family val="3"/>
      <charset val="129"/>
      <scheme val="minor"/>
    </font>
    <font>
      <b/>
      <sz val="10"/>
      <name val="Arial"/>
      <family val="2"/>
    </font>
    <font>
      <b/>
      <sz val="11"/>
      <color theme="1"/>
      <name val="맑은 고딕"/>
      <family val="2"/>
      <scheme val="minor"/>
    </font>
    <font>
      <sz val="10"/>
      <color rgb="FF0000FF"/>
      <name val="맑은 고딕"/>
      <family val="2"/>
      <charset val="129"/>
    </font>
    <font>
      <sz val="10"/>
      <color rgb="FF0000FF"/>
      <name val="맑은 고딕"/>
      <family val="3"/>
      <charset val="129"/>
    </font>
    <font>
      <b/>
      <sz val="9"/>
      <color indexed="81"/>
      <name val="Tahoma"/>
      <family val="2"/>
    </font>
  </fonts>
  <fills count="36">
    <fill>
      <patternFill patternType="none"/>
    </fill>
    <fill>
      <patternFill patternType="gray125"/>
    </fill>
    <fill>
      <patternFill patternType="solid">
        <fgColor theme="8" tint="-0.499984740745262"/>
        <bgColor indexed="64"/>
      </patternFill>
    </fill>
    <fill>
      <patternFill patternType="solid">
        <fgColor theme="9" tint="-0.499984740745262"/>
        <bgColor indexed="64"/>
      </patternFill>
    </fill>
    <fill>
      <patternFill patternType="solid">
        <fgColor theme="0"/>
        <bgColor indexed="64"/>
      </patternFill>
    </fill>
    <fill>
      <patternFill patternType="solid">
        <fgColor theme="5" tint="-0.499984740745262"/>
        <bgColor indexed="64"/>
      </patternFill>
    </fill>
    <fill>
      <patternFill patternType="solid">
        <fgColor rgb="FFFFFF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9" tint="0.79998168889431442"/>
        <bgColor indexed="64"/>
      </patternFill>
    </fill>
    <fill>
      <patternFill patternType="solid">
        <fgColor rgb="FFFFFFFF"/>
        <bgColor rgb="FF000000"/>
      </patternFill>
    </fill>
    <fill>
      <patternFill patternType="solid">
        <fgColor rgb="FFD9D9D9"/>
        <bgColor rgb="FF000000"/>
      </patternFill>
    </fill>
    <fill>
      <patternFill patternType="solid">
        <fgColor rgb="FFF2CEEF"/>
        <bgColor rgb="FF000000"/>
      </patternFill>
    </fill>
    <fill>
      <patternFill patternType="solid">
        <fgColor rgb="FFF2F2F2"/>
        <bgColor rgb="FF000000"/>
      </patternFill>
    </fill>
    <fill>
      <patternFill patternType="solid">
        <fgColor rgb="FFDAE9F8"/>
        <bgColor rgb="FF000000"/>
      </patternFill>
    </fill>
    <fill>
      <patternFill patternType="solid">
        <fgColor rgb="FFF7C7AC"/>
        <bgColor rgb="FF000000"/>
      </patternFill>
    </fill>
    <fill>
      <patternFill patternType="solid">
        <fgColor rgb="FFCAEDFB"/>
        <bgColor rgb="FF000000"/>
      </patternFill>
    </fill>
    <fill>
      <patternFill patternType="solid">
        <fgColor rgb="FFDAF2D0"/>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FBF5EF"/>
        <bgColor rgb="FF000000"/>
      </patternFill>
    </fill>
    <fill>
      <patternFill patternType="solid">
        <fgColor theme="0"/>
        <bgColor rgb="FF000000"/>
      </patternFill>
    </fill>
    <fill>
      <patternFill patternType="solid">
        <fgColor theme="0" tint="-0.499984740745262"/>
        <bgColor indexed="64"/>
      </patternFill>
    </fill>
    <fill>
      <patternFill patternType="solid">
        <fgColor rgb="FF002060"/>
        <bgColor rgb="FF000000"/>
      </patternFill>
    </fill>
    <fill>
      <patternFill patternType="solid">
        <fgColor theme="8" tint="0.79998168889431442"/>
        <bgColor indexed="64"/>
      </patternFill>
    </fill>
    <fill>
      <patternFill patternType="solid">
        <fgColor rgb="FF153D64"/>
        <bgColor indexed="64"/>
      </patternFill>
    </fill>
    <fill>
      <patternFill patternType="solid">
        <fgColor rgb="FFFFFFC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rgb="FF5F5F5F"/>
        <bgColor indexed="64"/>
      </patternFill>
    </fill>
    <fill>
      <patternFill patternType="solid">
        <fgColor rgb="FF37A2B1"/>
        <bgColor indexed="64"/>
      </patternFill>
    </fill>
    <fill>
      <patternFill patternType="solid">
        <fgColor theme="3" tint="0.89999084444715716"/>
        <bgColor indexed="64"/>
      </patternFill>
    </fill>
  </fills>
  <borders count="406">
    <border>
      <left/>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medium">
        <color indexed="64"/>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style="thin">
        <color theme="0"/>
      </right>
      <top style="medium">
        <color theme="0"/>
      </top>
      <bottom style="thin">
        <color theme="0"/>
      </bottom>
      <diagonal/>
    </border>
    <border>
      <left/>
      <right/>
      <top/>
      <bottom style="thin">
        <color theme="0"/>
      </bottom>
      <diagonal/>
    </border>
    <border>
      <left style="thin">
        <color auto="1"/>
      </left>
      <right style="thin">
        <color auto="1"/>
      </right>
      <top/>
      <bottom style="thin">
        <color theme="0"/>
      </bottom>
      <diagonal/>
    </border>
    <border>
      <left style="thin">
        <color auto="1"/>
      </left>
      <right/>
      <top/>
      <bottom style="thin">
        <color theme="0"/>
      </bottom>
      <diagonal/>
    </border>
    <border>
      <left/>
      <right/>
      <top style="thin">
        <color theme="0"/>
      </top>
      <bottom/>
      <diagonal/>
    </border>
    <border>
      <left/>
      <right/>
      <top/>
      <bottom style="thin">
        <color rgb="FF000000"/>
      </bottom>
      <diagonal/>
    </border>
    <border>
      <left/>
      <right/>
      <top style="thin">
        <color rgb="FF000000"/>
      </top>
      <bottom/>
      <diagonal/>
    </border>
    <border>
      <left/>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bottom style="thin">
        <color rgb="FF000000"/>
      </bottom>
      <diagonal/>
    </border>
    <border>
      <left style="medium">
        <color rgb="FFFF0000"/>
      </left>
      <right style="thin">
        <color indexed="64"/>
      </right>
      <top style="medium">
        <color rgb="FFFF0000"/>
      </top>
      <bottom/>
      <diagonal/>
    </border>
    <border>
      <left style="medium">
        <color rgb="FFFF0000"/>
      </left>
      <right style="thin">
        <color indexed="64"/>
      </right>
      <top/>
      <bottom/>
      <diagonal/>
    </border>
    <border>
      <left style="thin">
        <color indexed="64"/>
      </left>
      <right style="thin">
        <color indexed="64"/>
      </right>
      <top style="medium">
        <color rgb="FFFF0000"/>
      </top>
      <bottom/>
      <diagonal/>
    </border>
    <border>
      <left/>
      <right style="thin">
        <color rgb="FF000000"/>
      </right>
      <top style="medium">
        <color rgb="FFFF0000"/>
      </top>
      <bottom style="thin">
        <color rgb="FF000000"/>
      </bottom>
      <diagonal/>
    </border>
    <border>
      <left/>
      <right/>
      <top style="medium">
        <color rgb="FFFF0000"/>
      </top>
      <bottom style="thin">
        <color rgb="FF000000"/>
      </bottom>
      <diagonal/>
    </border>
    <border>
      <left style="thin">
        <color indexed="64"/>
      </left>
      <right style="medium">
        <color rgb="FFFF0000"/>
      </right>
      <top style="medium">
        <color rgb="FFFF0000"/>
      </top>
      <bottom/>
      <diagonal/>
    </border>
    <border>
      <left style="thin">
        <color indexed="64"/>
      </left>
      <right style="medium">
        <color rgb="FFFF0000"/>
      </right>
      <top/>
      <bottom/>
      <diagonal/>
    </border>
    <border>
      <left/>
      <right style="thin">
        <color indexed="64"/>
      </right>
      <top/>
      <bottom style="thin">
        <color indexed="64"/>
      </bottom>
      <diagonal/>
    </border>
    <border>
      <left/>
      <right style="thin">
        <color rgb="FF000000"/>
      </right>
      <top/>
      <bottom/>
      <diagonal/>
    </border>
    <border>
      <left style="thin">
        <color indexed="64"/>
      </left>
      <right style="thin">
        <color indexed="64"/>
      </right>
      <top/>
      <bottom style="thin">
        <color indexed="64"/>
      </bottom>
      <diagonal/>
    </border>
    <border>
      <left style="medium">
        <color rgb="FFFF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style="medium">
        <color rgb="FFFF0000"/>
      </right>
      <top style="thin">
        <color rgb="FF000000"/>
      </top>
      <bottom style="thin">
        <color rgb="FF000000"/>
      </bottom>
      <diagonal/>
    </border>
    <border>
      <left style="medium">
        <color rgb="FFFF0000"/>
      </left>
      <right style="thin">
        <color rgb="FF000000"/>
      </right>
      <top/>
      <bottom style="thin">
        <color rgb="FF000000"/>
      </bottom>
      <diagonal/>
    </border>
    <border>
      <left/>
      <right style="thin">
        <color rgb="FF000000"/>
      </right>
      <top/>
      <bottom style="thin">
        <color indexed="64"/>
      </bottom>
      <diagonal/>
    </border>
    <border>
      <left/>
      <right style="medium">
        <color rgb="FFFF0000"/>
      </right>
      <top/>
      <bottom style="thin">
        <color rgb="FF000000"/>
      </bottom>
      <diagonal/>
    </border>
    <border>
      <left style="medium">
        <color rgb="FFFF0000"/>
      </left>
      <right style="thin">
        <color rgb="FF000000"/>
      </right>
      <top/>
      <bottom style="medium">
        <color rgb="FFFF0000"/>
      </bottom>
      <diagonal/>
    </border>
    <border>
      <left/>
      <right style="thin">
        <color rgb="FF000000"/>
      </right>
      <top/>
      <bottom style="medium">
        <color rgb="FFFF0000"/>
      </bottom>
      <diagonal/>
    </border>
    <border>
      <left/>
      <right/>
      <top/>
      <bottom style="medium">
        <color rgb="FFFF0000"/>
      </bottom>
      <diagonal/>
    </border>
    <border>
      <left/>
      <right style="thin">
        <color indexed="64"/>
      </right>
      <top/>
      <bottom style="medium">
        <color rgb="FFFF0000"/>
      </bottom>
      <diagonal/>
    </border>
    <border>
      <left/>
      <right style="medium">
        <color rgb="FFFF0000"/>
      </right>
      <top/>
      <bottom style="medium">
        <color rgb="FFFF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theme="0"/>
      </top>
      <bottom style="thin">
        <color theme="0"/>
      </bottom>
      <diagonal/>
    </border>
    <border>
      <left/>
      <right style="thin">
        <color indexed="64"/>
      </right>
      <top/>
      <bottom style="thin">
        <color rgb="FF000000"/>
      </bottom>
      <diagonal/>
    </border>
    <border>
      <left/>
      <right style="thin">
        <color indexed="64"/>
      </right>
      <top/>
      <bottom/>
      <diagonal/>
    </border>
    <border>
      <left/>
      <right style="thin">
        <color theme="0"/>
      </right>
      <top style="thin">
        <color theme="0"/>
      </top>
      <bottom/>
      <diagonal/>
    </border>
    <border>
      <left style="thin">
        <color theme="0"/>
      </left>
      <right style="medium">
        <color theme="0"/>
      </right>
      <top style="thin">
        <color theme="0"/>
      </top>
      <bottom style="medium">
        <color theme="0"/>
      </bottom>
      <diagonal/>
    </border>
    <border>
      <left/>
      <right/>
      <top/>
      <bottom style="thin">
        <color theme="0" tint="-0.499984740745262"/>
      </bottom>
      <diagonal/>
    </border>
    <border>
      <left style="thin">
        <color theme="0" tint="-0.499984740745262"/>
      </left>
      <right style="thin">
        <color theme="0" tint="-0.499984740745262"/>
      </right>
      <top/>
      <bottom/>
      <diagonal/>
    </border>
    <border>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diagonal/>
    </border>
    <border>
      <left style="thin">
        <color indexed="64"/>
      </left>
      <right style="thin">
        <color indexed="64"/>
      </right>
      <top style="thin">
        <color indexed="64"/>
      </top>
      <bottom style="thin">
        <color indexed="64"/>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bottom/>
      <diagonal/>
    </border>
    <border>
      <left/>
      <right/>
      <top/>
      <bottom style="medium">
        <color theme="0" tint="-0.499984740745262"/>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theme="0"/>
      </bottom>
      <diagonal/>
    </border>
    <border>
      <left/>
      <right style="medium">
        <color theme="0"/>
      </right>
      <top/>
      <bottom style="thin">
        <color theme="0"/>
      </bottom>
      <diagonal/>
    </border>
    <border>
      <left/>
      <right/>
      <top style="thin">
        <color indexed="64"/>
      </top>
      <bottom/>
      <diagonal/>
    </border>
    <border>
      <left style="thin">
        <color indexed="64"/>
      </left>
      <right/>
      <top/>
      <bottom style="thin">
        <color indexed="64"/>
      </bottom>
      <diagonal/>
    </border>
    <border>
      <left/>
      <right/>
      <top style="thin">
        <color indexed="64"/>
      </top>
      <bottom style="thin">
        <color rgb="FF000000"/>
      </bottom>
      <diagonal/>
    </border>
    <border>
      <left/>
      <right style="thin">
        <color theme="1" tint="0.34998626667073579"/>
      </right>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right/>
      <top/>
      <bottom style="thin">
        <color theme="1" tint="0.34998626667073579"/>
      </bottom>
      <diagonal/>
    </border>
    <border>
      <left/>
      <right style="thin">
        <color theme="1" tint="0.34998626667073579"/>
      </right>
      <top style="thin">
        <color theme="1" tint="0.34998626667073579"/>
      </top>
      <bottom/>
      <diagonal/>
    </border>
    <border>
      <left/>
      <right style="thin">
        <color theme="1" tint="0.34998626667073579"/>
      </right>
      <top/>
      <bottom style="thin">
        <color theme="1" tint="0.34998626667073579"/>
      </bottom>
      <diagonal/>
    </border>
    <border>
      <left style="thin">
        <color theme="1" tint="0.34998626667073579"/>
      </left>
      <right/>
      <top/>
      <bottom/>
      <diagonal/>
    </border>
    <border>
      <left style="thin">
        <color theme="1" tint="0.34998626667073579"/>
      </left>
      <right/>
      <top/>
      <bottom style="thin">
        <color theme="1" tint="0.34998626667073579"/>
      </bottom>
      <diagonal/>
    </border>
    <border>
      <left style="thin">
        <color theme="0"/>
      </left>
      <right style="thin">
        <color theme="0"/>
      </right>
      <top/>
      <bottom/>
      <diagonal/>
    </border>
    <border>
      <left style="thin">
        <color theme="0"/>
      </left>
      <right style="thin">
        <color theme="0"/>
      </right>
      <top/>
      <bottom style="medium">
        <color theme="0"/>
      </bottom>
      <diagonal/>
    </border>
    <border>
      <left/>
      <right style="thin">
        <color theme="1" tint="0.34998626667073579"/>
      </right>
      <top style="thin">
        <color theme="0"/>
      </top>
      <bottom/>
      <diagonal/>
    </border>
    <border>
      <left style="thin">
        <color theme="1" tint="0.34998626667073579"/>
      </left>
      <right style="thin">
        <color theme="1" tint="0.34998626667073579"/>
      </right>
      <top style="medium">
        <color theme="0"/>
      </top>
      <bottom/>
      <diagonal/>
    </border>
    <border>
      <left style="thin">
        <color theme="0"/>
      </left>
      <right/>
      <top/>
      <bottom style="medium">
        <color theme="0"/>
      </bottom>
      <diagonal/>
    </border>
    <border>
      <left/>
      <right style="thin">
        <color theme="0"/>
      </right>
      <top/>
      <bottom style="medium">
        <color theme="0"/>
      </bottom>
      <diagonal/>
    </border>
    <border>
      <left style="thin">
        <color theme="1" tint="0.34998626667073579"/>
      </left>
      <right style="thin">
        <color theme="1" tint="0.34998626667073579"/>
      </right>
      <top/>
      <bottom style="thin">
        <color indexed="64"/>
      </bottom>
      <diagonal/>
    </border>
    <border>
      <left style="thin">
        <color theme="1" tint="0.24994659260841701"/>
      </left>
      <right style="thin">
        <color theme="1" tint="0.24994659260841701"/>
      </right>
      <top/>
      <bottom style="thin">
        <color theme="1" tint="0.24994659260841701"/>
      </bottom>
      <diagonal/>
    </border>
    <border>
      <left style="thin">
        <color theme="1" tint="0.24994659260841701"/>
      </left>
      <right style="thin">
        <color theme="1" tint="0.24994659260841701"/>
      </right>
      <top style="medium">
        <color theme="0"/>
      </top>
      <bottom/>
      <diagonal/>
    </border>
    <border>
      <left style="thin">
        <color theme="1" tint="0.24994659260841701"/>
      </left>
      <right style="thin">
        <color theme="1" tint="0.24994659260841701"/>
      </right>
      <top/>
      <bottom style="thin">
        <color rgb="FF000000"/>
      </bottom>
      <diagonal/>
    </border>
    <border>
      <left style="thin">
        <color theme="1" tint="0.24994659260841701"/>
      </left>
      <right style="thin">
        <color theme="1" tint="0.24994659260841701"/>
      </right>
      <top/>
      <bottom/>
      <diagonal/>
    </border>
    <border>
      <left style="thin">
        <color theme="1" tint="0.24994659260841701"/>
      </left>
      <right style="thin">
        <color theme="1" tint="0.24994659260841701"/>
      </right>
      <top style="thin">
        <color theme="0"/>
      </top>
      <bottom/>
      <diagonal/>
    </border>
    <border>
      <left style="thin">
        <color theme="1" tint="0.24994659260841701"/>
      </left>
      <right style="thin">
        <color theme="1" tint="0.24994659260841701"/>
      </right>
      <top/>
      <bottom style="thin">
        <color indexed="64"/>
      </bottom>
      <diagonal/>
    </border>
    <border>
      <left style="thin">
        <color theme="1" tint="0.24994659260841701"/>
      </left>
      <right style="thin">
        <color theme="1" tint="0.24994659260841701"/>
      </right>
      <top/>
      <bottom style="thin">
        <color theme="1" tint="0.34998626667073579"/>
      </bottom>
      <diagonal/>
    </border>
    <border>
      <left/>
      <right style="thin">
        <color theme="1" tint="0.24994659260841701"/>
      </right>
      <top style="medium">
        <color theme="0"/>
      </top>
      <bottom/>
      <diagonal/>
    </border>
    <border>
      <left style="thin">
        <color theme="1" tint="0.24994659260841701"/>
      </left>
      <right/>
      <top/>
      <bottom/>
      <diagonal/>
    </border>
    <border>
      <left/>
      <right style="thin">
        <color theme="1" tint="0.24994659260841701"/>
      </right>
      <top/>
      <bottom/>
      <diagonal/>
    </border>
    <border>
      <left style="thin">
        <color theme="1" tint="0.24994659260841701"/>
      </left>
      <right/>
      <top/>
      <bottom style="thin">
        <color indexed="64"/>
      </bottom>
      <diagonal/>
    </border>
    <border>
      <left/>
      <right style="thin">
        <color theme="1" tint="0.24994659260841701"/>
      </right>
      <top/>
      <bottom style="thin">
        <color indexed="64"/>
      </bottom>
      <diagonal/>
    </border>
    <border>
      <left style="thin">
        <color theme="1" tint="0.24994659260841701"/>
      </left>
      <right/>
      <top/>
      <bottom style="thin">
        <color theme="1" tint="0.24994659260841701"/>
      </bottom>
      <diagonal/>
    </border>
    <border>
      <left/>
      <right style="thin">
        <color theme="1" tint="0.24994659260841701"/>
      </right>
      <top/>
      <bottom style="thin">
        <color theme="1" tint="0.24994659260841701"/>
      </bottom>
      <diagonal/>
    </border>
    <border>
      <left style="medium">
        <color theme="0"/>
      </left>
      <right/>
      <top style="thin">
        <color theme="0"/>
      </top>
      <bottom style="medium">
        <color theme="0"/>
      </bottom>
      <diagonal/>
    </border>
    <border>
      <left/>
      <right style="medium">
        <color theme="0"/>
      </right>
      <top style="thin">
        <color theme="0"/>
      </top>
      <bottom style="medium">
        <color theme="0"/>
      </bottom>
      <diagonal/>
    </border>
    <border>
      <left/>
      <right/>
      <top style="thin">
        <color theme="0"/>
      </top>
      <bottom style="medium">
        <color theme="0"/>
      </bottom>
      <diagonal/>
    </border>
    <border>
      <left/>
      <right style="thin">
        <color rgb="FFFFFFFF"/>
      </right>
      <top style="thin">
        <color theme="0"/>
      </top>
      <bottom style="thin">
        <color theme="0"/>
      </bottom>
      <diagonal/>
    </border>
    <border>
      <left/>
      <right style="thin">
        <color theme="1" tint="0.24994659260841701"/>
      </right>
      <top style="thin">
        <color theme="0"/>
      </top>
      <bottom/>
      <diagonal/>
    </border>
    <border>
      <left/>
      <right/>
      <top/>
      <bottom style="thin">
        <color theme="1" tint="0.24994659260841701"/>
      </bottom>
      <diagonal/>
    </border>
    <border>
      <left/>
      <right style="thin">
        <color theme="1" tint="0.24994659260841701"/>
      </right>
      <top style="thin">
        <color theme="1" tint="0.24994659260841701"/>
      </top>
      <bottom/>
      <diagonal/>
    </border>
    <border>
      <left/>
      <right/>
      <top style="thin">
        <color theme="1" tint="0.24994659260841701"/>
      </top>
      <bottom/>
      <diagonal/>
    </border>
    <border>
      <left style="thin">
        <color theme="1" tint="0.24994659260841701"/>
      </left>
      <right style="thin">
        <color theme="1" tint="0.34998626667073579"/>
      </right>
      <top/>
      <bottom/>
      <diagonal/>
    </border>
    <border>
      <left/>
      <right/>
      <top style="thin">
        <color theme="0" tint="-0.24994659260841701"/>
      </top>
      <bottom style="thin">
        <color theme="0" tint="-0.24994659260841701"/>
      </bottom>
      <diagonal/>
    </border>
    <border>
      <left/>
      <right style="thin">
        <color theme="1" tint="0.34998626667073579"/>
      </right>
      <top style="thin">
        <color theme="0" tint="-0.24994659260841701"/>
      </top>
      <bottom style="thin">
        <color theme="0" tint="-0.24994659260841701"/>
      </bottom>
      <diagonal/>
    </border>
    <border>
      <left/>
      <right/>
      <top style="thin">
        <color theme="0" tint="-0.24994659260841701"/>
      </top>
      <bottom style="thin">
        <color theme="1" tint="0.34998626667073579"/>
      </bottom>
      <diagonal/>
    </border>
    <border>
      <left/>
      <right style="thin">
        <color theme="1" tint="0.34998626667073579"/>
      </right>
      <top style="thin">
        <color theme="0" tint="-0.24994659260841701"/>
      </top>
      <bottom style="thin">
        <color theme="1" tint="0.34998626667073579"/>
      </bottom>
      <diagonal/>
    </border>
    <border>
      <left/>
      <right/>
      <top/>
      <bottom style="thin">
        <color theme="0" tint="-0.24994659260841701"/>
      </bottom>
      <diagonal/>
    </border>
    <border>
      <left/>
      <right style="thin">
        <color theme="1" tint="0.34998626667073579"/>
      </right>
      <top/>
      <bottom style="thin">
        <color theme="0" tint="-0.24994659260841701"/>
      </bottom>
      <diagonal/>
    </border>
    <border>
      <left style="thin">
        <color theme="1" tint="0.34998626667073579"/>
      </left>
      <right/>
      <top style="double">
        <color theme="1" tint="0.34998626667073579"/>
      </top>
      <bottom style="double">
        <color theme="1" tint="0.34998626667073579"/>
      </bottom>
      <diagonal/>
    </border>
    <border>
      <left/>
      <right style="thin">
        <color theme="0"/>
      </right>
      <top style="double">
        <color theme="1" tint="0.34998626667073579"/>
      </top>
      <bottom style="double">
        <color theme="1" tint="0.34998626667073579"/>
      </bottom>
      <diagonal/>
    </border>
    <border>
      <left/>
      <right/>
      <top style="double">
        <color theme="1" tint="0.34998626667073579"/>
      </top>
      <bottom style="double">
        <color theme="1" tint="0.34998626667073579"/>
      </bottom>
      <diagonal/>
    </border>
    <border>
      <left/>
      <right style="thin">
        <color theme="1" tint="0.34998626667073579"/>
      </right>
      <top style="double">
        <color theme="1" tint="0.34998626667073579"/>
      </top>
      <bottom style="double">
        <color theme="1" tint="0.34998626667073579"/>
      </bottom>
      <diagonal/>
    </border>
    <border>
      <left style="thin">
        <color theme="1" tint="0.34998626667073579"/>
      </left>
      <right style="thin">
        <color theme="0" tint="-0.24994659260841701"/>
      </right>
      <top style="double">
        <color theme="1" tint="0.34998626667073579"/>
      </top>
      <bottom/>
      <diagonal/>
    </border>
    <border>
      <left style="thin">
        <color theme="1" tint="0.34998626667073579"/>
      </left>
      <right style="thin">
        <color theme="0" tint="-0.24994659260841701"/>
      </right>
      <top/>
      <bottom/>
      <diagonal/>
    </border>
    <border>
      <left style="thin">
        <color theme="1" tint="0.34998626667073579"/>
      </left>
      <right style="thin">
        <color theme="0" tint="-0.24994659260841701"/>
      </right>
      <top style="thin">
        <color theme="1" tint="0.34998626667073579"/>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34998626667073579"/>
      </bottom>
      <diagonal/>
    </border>
    <border>
      <left/>
      <right/>
      <top/>
      <bottom style="double">
        <color theme="1" tint="0.34998626667073579"/>
      </bottom>
      <diagonal/>
    </border>
    <border>
      <left style="thin">
        <color theme="0" tint="-0.24994659260841701"/>
      </left>
      <right style="thin">
        <color theme="0" tint="-0.24994659260841701"/>
      </right>
      <top style="thin">
        <color theme="0" tint="-0.24994659260841701"/>
      </top>
      <bottom/>
      <diagonal/>
    </border>
    <border>
      <left style="thin">
        <color theme="1" tint="0.34998626667073579"/>
      </left>
      <right/>
      <top style="thin">
        <color theme="1" tint="0.34998626667073579"/>
      </top>
      <bottom/>
      <diagonal/>
    </border>
    <border>
      <left style="thin">
        <color theme="1" tint="0.34998626667073579"/>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0" tint="-0.24994659260841701"/>
      </right>
      <top style="thin">
        <color theme="1" tint="0.34998626667073579"/>
      </top>
      <bottom style="thin">
        <color theme="0" tint="-0.24994659260841701"/>
      </bottom>
      <diagonal/>
    </border>
    <border>
      <left/>
      <right/>
      <top style="thin">
        <color theme="1" tint="0.34998626667073579"/>
      </top>
      <bottom style="thin">
        <color theme="0" tint="-0.24994659260841701"/>
      </bottom>
      <diagonal/>
    </border>
    <border>
      <left/>
      <right style="thin">
        <color theme="1" tint="0.34998626667073579"/>
      </right>
      <top style="thin">
        <color theme="1" tint="0.34998626667073579"/>
      </top>
      <bottom style="thin">
        <color theme="0" tint="-0.2499465926084170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theme="0" tint="-0.499984740745262"/>
      </right>
      <top style="medium">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style="medium">
        <color theme="0" tint="-0.499984740745262"/>
      </right>
      <top style="hair">
        <color theme="0" tint="-0.499984740745262"/>
      </top>
      <bottom style="hair">
        <color theme="0" tint="-0.499984740745262"/>
      </bottom>
      <diagonal/>
    </border>
    <border>
      <left style="thin">
        <color theme="0" tint="-0.499984740745262"/>
      </left>
      <right/>
      <top style="medium">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bottom style="thin">
        <color indexed="64"/>
      </bottom>
      <diagonal/>
    </border>
    <border>
      <left style="thin">
        <color theme="0" tint="-0.499984740745262"/>
      </left>
      <right style="thin">
        <color theme="0" tint="-0.499984740745262"/>
      </right>
      <top style="hair">
        <color theme="0" tint="-0.499984740745262"/>
      </top>
      <bottom style="thin">
        <color indexed="64"/>
      </bottom>
      <diagonal/>
    </border>
    <border>
      <left/>
      <right style="thin">
        <color theme="0" tint="-0.499984740745262"/>
      </right>
      <top style="hair">
        <color theme="0" tint="-0.499984740745262"/>
      </top>
      <bottom style="thin">
        <color indexed="64"/>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style="thin">
        <color theme="0" tint="-0.499984740745262"/>
      </right>
      <top/>
      <bottom style="thin">
        <color indexed="64"/>
      </bottom>
      <diagonal/>
    </border>
    <border>
      <left/>
      <right style="thin">
        <color theme="0" tint="-0.499984740745262"/>
      </right>
      <top style="thin">
        <color indexed="64"/>
      </top>
      <bottom/>
      <diagonal/>
    </border>
    <border>
      <left style="thin">
        <color theme="0" tint="-0.499984740745262"/>
      </left>
      <right style="thin">
        <color theme="0" tint="-0.499984740745262"/>
      </right>
      <top style="thin">
        <color indexed="64"/>
      </top>
      <bottom style="hair">
        <color theme="0" tint="-0.499984740745262"/>
      </bottom>
      <diagonal/>
    </border>
    <border>
      <left/>
      <right style="thin">
        <color theme="0" tint="-0.499984740745262"/>
      </right>
      <top style="thin">
        <color indexed="64"/>
      </top>
      <bottom style="hair">
        <color theme="0" tint="-0.499984740745262"/>
      </bottom>
      <diagonal/>
    </border>
    <border>
      <left style="thin">
        <color theme="0" tint="-0.499984740745262"/>
      </left>
      <right style="thin">
        <color theme="0" tint="-0.499984740745262"/>
      </right>
      <top style="thin">
        <color indexed="64"/>
      </top>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indexed="64"/>
      </right>
      <top style="thin">
        <color indexed="64"/>
      </top>
      <bottom/>
      <diagonal/>
    </border>
    <border>
      <left style="thin">
        <color theme="0" tint="-0.499984740745262"/>
      </left>
      <right style="thin">
        <color indexed="64"/>
      </right>
      <top/>
      <bottom/>
      <diagonal/>
    </border>
    <border>
      <left style="thin">
        <color theme="0" tint="-0.499984740745262"/>
      </left>
      <right/>
      <top style="hair">
        <color theme="0" tint="-0.499984740745262"/>
      </top>
      <bottom/>
      <diagonal/>
    </border>
    <border>
      <left style="thin">
        <color theme="0" tint="-0.499984740745262"/>
      </left>
      <right/>
      <top style="hair">
        <color theme="0" tint="-0.499984740745262"/>
      </top>
      <bottom style="thin">
        <color indexed="64"/>
      </bottom>
      <diagonal/>
    </border>
    <border>
      <left style="thin">
        <color theme="0" tint="-0.499984740745262"/>
      </left>
      <right/>
      <top/>
      <bottom style="hair">
        <color theme="0" tint="-0.499984740745262"/>
      </bottom>
      <diagonal/>
    </border>
    <border>
      <left style="thin">
        <color theme="0" tint="-0.499984740745262"/>
      </left>
      <right/>
      <top style="thin">
        <color indexed="64"/>
      </top>
      <bottom style="hair">
        <color theme="0" tint="-0.499984740745262"/>
      </bottom>
      <diagonal/>
    </border>
    <border>
      <left style="thin">
        <color indexed="64"/>
      </left>
      <right style="thin">
        <color theme="0" tint="-0.499984740745262"/>
      </right>
      <top style="thin">
        <color indexed="64"/>
      </top>
      <bottom style="hair">
        <color theme="0" tint="-0.499984740745262"/>
      </bottom>
      <diagonal/>
    </border>
    <border>
      <left style="thin">
        <color theme="0" tint="-0.499984740745262"/>
      </left>
      <right style="thin">
        <color indexed="64"/>
      </right>
      <top style="thin">
        <color indexed="64"/>
      </top>
      <bottom style="hair">
        <color theme="0" tint="-0.499984740745262"/>
      </bottom>
      <diagonal/>
    </border>
    <border>
      <left style="thin">
        <color indexed="64"/>
      </left>
      <right style="thin">
        <color theme="0" tint="-0.499984740745262"/>
      </right>
      <top style="hair">
        <color theme="0" tint="-0.499984740745262"/>
      </top>
      <bottom style="hair">
        <color theme="0" tint="-0.499984740745262"/>
      </bottom>
      <diagonal/>
    </border>
    <border>
      <left style="thin">
        <color theme="0" tint="-0.499984740745262"/>
      </left>
      <right style="thin">
        <color indexed="64"/>
      </right>
      <top style="hair">
        <color theme="0" tint="-0.499984740745262"/>
      </top>
      <bottom style="hair">
        <color theme="0" tint="-0.499984740745262"/>
      </bottom>
      <diagonal/>
    </border>
    <border>
      <left style="thin">
        <color indexed="64"/>
      </left>
      <right style="thin">
        <color theme="0" tint="-0.499984740745262"/>
      </right>
      <top style="hair">
        <color theme="0" tint="-0.499984740745262"/>
      </top>
      <bottom style="thin">
        <color indexed="64"/>
      </bottom>
      <diagonal/>
    </border>
    <border>
      <left style="thin">
        <color theme="0" tint="-0.499984740745262"/>
      </left>
      <right style="thin">
        <color indexed="64"/>
      </right>
      <top style="hair">
        <color theme="0" tint="-0.499984740745262"/>
      </top>
      <bottom style="thin">
        <color indexed="64"/>
      </bottom>
      <diagonal/>
    </border>
    <border>
      <left/>
      <right style="thin">
        <color indexed="64"/>
      </right>
      <top style="thin">
        <color indexed="64"/>
      </top>
      <bottom style="hair">
        <color theme="0" tint="-0.499984740745262"/>
      </bottom>
      <diagonal/>
    </border>
    <border>
      <left/>
      <right style="thin">
        <color indexed="64"/>
      </right>
      <top style="hair">
        <color theme="0" tint="-0.499984740745262"/>
      </top>
      <bottom style="hair">
        <color theme="0" tint="-0.499984740745262"/>
      </bottom>
      <diagonal/>
    </border>
    <border>
      <left/>
      <right style="thin">
        <color indexed="64"/>
      </right>
      <top style="hair">
        <color theme="0" tint="-0.499984740745262"/>
      </top>
      <bottom style="thin">
        <color indexed="64"/>
      </bottom>
      <diagonal/>
    </border>
    <border>
      <left/>
      <right style="medium">
        <color theme="0" tint="-0.499984740745262"/>
      </right>
      <top style="thin">
        <color theme="0" tint="-0.499984740745262"/>
      </top>
      <bottom/>
      <diagonal/>
    </border>
    <border>
      <left/>
      <right style="medium">
        <color theme="0" tint="-0.499984740745262"/>
      </right>
      <top/>
      <bottom style="hair">
        <color theme="0" tint="-0.499984740745262"/>
      </bottom>
      <diagonal/>
    </border>
    <border>
      <left/>
      <right style="medium">
        <color theme="0" tint="-0.499984740745262"/>
      </right>
      <top style="thin">
        <color indexed="64"/>
      </top>
      <bottom style="hair">
        <color theme="0" tint="-0.499984740745262"/>
      </bottom>
      <diagonal/>
    </border>
    <border>
      <left/>
      <right style="medium">
        <color theme="0" tint="-0.499984740745262"/>
      </right>
      <top style="hair">
        <color theme="0" tint="-0.499984740745262"/>
      </top>
      <bottom style="thin">
        <color indexed="64"/>
      </bottom>
      <diagonal/>
    </border>
    <border>
      <left style="thin">
        <color indexed="64"/>
      </left>
      <right style="thin">
        <color indexed="64"/>
      </right>
      <top style="thin">
        <color indexed="64"/>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style="thin">
        <color theme="0" tint="-0.499984740745262"/>
      </right>
      <top style="hair">
        <color theme="0" tint="-0.499984740745262"/>
      </top>
      <bottom style="medium">
        <color theme="0" tint="-0.499984740745262"/>
      </bottom>
      <diagonal/>
    </border>
    <border>
      <left style="thin">
        <color indexed="64"/>
      </left>
      <right style="thin">
        <color indexed="64"/>
      </right>
      <top/>
      <bottom style="medium">
        <color theme="0" tint="-0.499984740745262"/>
      </bottom>
      <diagonal/>
    </border>
    <border>
      <left/>
      <right style="thin">
        <color indexed="64"/>
      </right>
      <top style="hair">
        <color theme="0" tint="-0.499984740745262"/>
      </top>
      <bottom style="medium">
        <color theme="0" tint="-0.499984740745262"/>
      </bottom>
      <diagonal/>
    </border>
    <border>
      <left style="thin">
        <color indexed="64"/>
      </left>
      <right style="thin">
        <color theme="0" tint="-0.499984740745262"/>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diagonal/>
    </border>
    <border>
      <left style="medium">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hair">
        <color theme="0" tint="-0.499984740745262"/>
      </top>
      <bottom style="hair">
        <color theme="0" tint="-0.499984740745262"/>
      </bottom>
      <diagonal/>
    </border>
    <border>
      <left style="medium">
        <color theme="0" tint="-0.499984740745262"/>
      </left>
      <right style="thin">
        <color theme="0" tint="-0.499984740745262"/>
      </right>
      <top style="thin">
        <color indexed="64"/>
      </top>
      <bottom style="hair">
        <color theme="0" tint="-0.499984740745262"/>
      </bottom>
      <diagonal/>
    </border>
    <border>
      <left style="medium">
        <color theme="0" tint="-0.499984740745262"/>
      </left>
      <right style="thin">
        <color theme="0" tint="-0.499984740745262"/>
      </right>
      <top style="hair">
        <color theme="0" tint="-0.499984740745262"/>
      </top>
      <bottom style="thin">
        <color indexed="64"/>
      </bottom>
      <diagonal/>
    </border>
    <border>
      <left style="medium">
        <color theme="0" tint="-0.499984740745262"/>
      </left>
      <right style="thin">
        <color theme="0" tint="-0.499984740745262"/>
      </right>
      <top style="hair">
        <color theme="0" tint="-0.499984740745262"/>
      </top>
      <bottom style="medium">
        <color theme="0" tint="-0.499984740745262"/>
      </bottom>
      <diagonal/>
    </border>
    <border>
      <left style="thin">
        <color indexed="64"/>
      </left>
      <right style="thin">
        <color theme="0" tint="-0.499984740745262"/>
      </right>
      <top/>
      <bottom style="hair">
        <color theme="0" tint="-0.499984740745262"/>
      </bottom>
      <diagonal/>
    </border>
    <border>
      <left style="thin">
        <color theme="0" tint="-0.499984740745262"/>
      </left>
      <right style="thin">
        <color indexed="64"/>
      </right>
      <top/>
      <bottom style="hair">
        <color theme="0" tint="-0.499984740745262"/>
      </bottom>
      <diagonal/>
    </border>
    <border>
      <left/>
      <right style="thin">
        <color indexed="64"/>
      </right>
      <top/>
      <bottom style="hair">
        <color theme="0" tint="-0.499984740745262"/>
      </bottom>
      <diagonal/>
    </border>
    <border>
      <left style="thin">
        <color theme="0" tint="-0.24994659260841701"/>
      </left>
      <right style="thin">
        <color theme="0" tint="-0.24994659260841701"/>
      </right>
      <top style="thin">
        <color theme="1" tint="0.34998626667073579"/>
      </top>
      <bottom/>
      <diagonal/>
    </border>
    <border>
      <left style="thin">
        <color theme="0" tint="-0.499984740745262"/>
      </left>
      <right style="thin">
        <color indexed="64"/>
      </right>
      <top style="hair">
        <color theme="0" tint="-0.499984740745262"/>
      </top>
      <bottom style="medium">
        <color theme="0" tint="-0.499984740745262"/>
      </bottom>
      <diagonal/>
    </border>
    <border>
      <left style="thin">
        <color indexed="64"/>
      </left>
      <right/>
      <top style="thin">
        <color indexed="64"/>
      </top>
      <bottom style="medium">
        <color theme="0" tint="-0.499984740745262"/>
      </bottom>
      <diagonal/>
    </border>
    <border>
      <left/>
      <right style="thin">
        <color theme="0" tint="-0.499984740745262"/>
      </right>
      <top style="thin">
        <color indexed="64"/>
      </top>
      <bottom style="thin">
        <color indexed="64"/>
      </bottom>
      <diagonal/>
    </border>
    <border>
      <left style="thin">
        <color indexed="64"/>
      </left>
      <right style="thin">
        <color theme="0" tint="-0.499984740745262"/>
      </right>
      <top/>
      <bottom style="thin">
        <color indexed="64"/>
      </bottom>
      <diagonal/>
    </border>
    <border>
      <left style="thin">
        <color theme="0" tint="-0.499984740745262"/>
      </left>
      <right style="medium">
        <color theme="0" tint="-0.499984740745262"/>
      </right>
      <top style="medium">
        <color theme="0" tint="-0.499984740745262"/>
      </top>
      <bottom/>
      <diagonal/>
    </border>
    <border>
      <left style="thin">
        <color theme="0" tint="-0.499984740745262"/>
      </left>
      <right style="medium">
        <color theme="0" tint="-0.499984740745262"/>
      </right>
      <top/>
      <bottom style="thin">
        <color theme="0" tint="-0.499984740745262"/>
      </bottom>
      <diagonal/>
    </border>
    <border>
      <left style="thin">
        <color theme="0" tint="-0.499984740745262"/>
      </left>
      <right style="medium">
        <color theme="0" tint="-0.499984740745262"/>
      </right>
      <top style="thin">
        <color theme="0" tint="-0.499984740745262"/>
      </top>
      <bottom/>
      <diagonal/>
    </border>
    <border>
      <left style="thin">
        <color theme="0" tint="-0.499984740745262"/>
      </left>
      <right style="medium">
        <color theme="0" tint="-0.499984740745262"/>
      </right>
      <top/>
      <bottom style="medium">
        <color theme="0" tint="-0.499984740745262"/>
      </bottom>
      <diagonal/>
    </border>
    <border>
      <left style="thin">
        <color theme="0" tint="-0.499984740745262"/>
      </left>
      <right style="thin">
        <color indexed="64"/>
      </right>
      <top style="hair">
        <color theme="0" tint="-0.499984740745262"/>
      </top>
      <bottom/>
      <diagonal/>
    </border>
    <border>
      <left/>
      <right style="thin">
        <color theme="0" tint="-0.24994659260841701"/>
      </right>
      <top style="thin">
        <color theme="0" tint="-0.24994659260841701"/>
      </top>
      <bottom style="thin">
        <color theme="0" tint="-0.24994659260841701"/>
      </bottom>
      <diagonal/>
    </border>
    <border>
      <left style="thin">
        <color indexed="64"/>
      </left>
      <right/>
      <top style="hair">
        <color theme="0" tint="-0.499984740745262"/>
      </top>
      <bottom style="hair">
        <color theme="0" tint="-0.499984740745262"/>
      </bottom>
      <diagonal/>
    </border>
    <border>
      <left style="thin">
        <color indexed="64"/>
      </left>
      <right/>
      <top style="hair">
        <color theme="0" tint="-0.499984740745262"/>
      </top>
      <bottom style="thin">
        <color indexed="64"/>
      </bottom>
      <diagonal/>
    </border>
    <border>
      <left style="thin">
        <color indexed="64"/>
      </left>
      <right style="thin">
        <color theme="0" tint="-0.499984740745262"/>
      </right>
      <top style="hair">
        <color theme="0" tint="-0.499984740745262"/>
      </top>
      <bottom/>
      <diagonal/>
    </border>
    <border>
      <left style="thin">
        <color indexed="64"/>
      </left>
      <right/>
      <top style="thin">
        <color indexed="64"/>
      </top>
      <bottom style="hair">
        <color theme="0" tint="-0.499984740745262"/>
      </bottom>
      <diagonal/>
    </border>
    <border>
      <left/>
      <right/>
      <top style="hair">
        <color theme="0" tint="-0.499984740745262"/>
      </top>
      <bottom/>
      <diagonal/>
    </border>
    <border>
      <left style="thin">
        <color indexed="64"/>
      </left>
      <right style="thin">
        <color indexed="64"/>
      </right>
      <top style="thin">
        <color indexed="64"/>
      </top>
      <bottom style="hair">
        <color theme="0" tint="-0.499984740745262"/>
      </bottom>
      <diagonal/>
    </border>
    <border>
      <left style="thin">
        <color indexed="64"/>
      </left>
      <right style="thin">
        <color indexed="64"/>
      </right>
      <top style="hair">
        <color theme="0" tint="-0.499984740745262"/>
      </top>
      <bottom style="hair">
        <color theme="0" tint="-0.499984740745262"/>
      </bottom>
      <diagonal/>
    </border>
    <border>
      <left style="thin">
        <color indexed="64"/>
      </left>
      <right style="thin">
        <color indexed="64"/>
      </right>
      <top style="hair">
        <color theme="0" tint="-0.499984740745262"/>
      </top>
      <bottom style="thin">
        <color indexed="64"/>
      </bottom>
      <diagonal/>
    </border>
    <border>
      <left style="thin">
        <color theme="0" tint="-0.499984740745262"/>
      </left>
      <right/>
      <top style="thin">
        <color theme="0" tint="-0.499984740745262"/>
      </top>
      <bottom/>
      <diagonal/>
    </border>
    <border>
      <left style="thin">
        <color theme="0" tint="-0.499984740745262"/>
      </left>
      <right style="medium">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theme="0" tint="-0.499984740745262"/>
      </left>
      <right style="thin">
        <color theme="0" tint="-0.499984740745262"/>
      </right>
      <top style="thin">
        <color indexed="64"/>
      </top>
      <bottom style="thin">
        <color indexed="64"/>
      </bottom>
      <diagonal/>
    </border>
    <border>
      <left style="medium">
        <color theme="0" tint="-0.499984740745262"/>
      </left>
      <right style="thin">
        <color theme="0" tint="-0.499984740745262"/>
      </right>
      <top style="thin">
        <color indexed="64"/>
      </top>
      <bottom/>
      <diagonal/>
    </border>
    <border>
      <left style="thin">
        <color rgb="FFBFBFBF"/>
      </left>
      <right style="thin">
        <color rgb="FFBFBFBF"/>
      </right>
      <top style="double">
        <color rgb="FF595959"/>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theme="1" tint="0.24994659260841701"/>
      </left>
      <right/>
      <top/>
      <bottom style="thin">
        <color rgb="FF000000"/>
      </bottom>
      <diagonal/>
    </border>
    <border>
      <left/>
      <right style="thin">
        <color theme="0" tint="-0.499984740745262"/>
      </right>
      <top style="hair">
        <color theme="0" tint="-0.499984740745262"/>
      </top>
      <bottom style="medium">
        <color rgb="FF000000"/>
      </bottom>
      <diagonal/>
    </border>
    <border>
      <left/>
      <right style="medium">
        <color theme="0"/>
      </right>
      <top style="thin">
        <color theme="0"/>
      </top>
      <bottom style="thin">
        <color theme="0"/>
      </bottom>
      <diagonal/>
    </border>
    <border>
      <left/>
      <right style="thin">
        <color theme="1" tint="0.24994659260841701"/>
      </right>
      <top/>
      <bottom style="thin">
        <color theme="1" tint="0.34998626667073579"/>
      </bottom>
      <diagonal/>
    </border>
    <border>
      <left/>
      <right style="thin">
        <color theme="0" tint="-0.24994659260841701"/>
      </right>
      <top/>
      <bottom/>
      <diagonal/>
    </border>
    <border>
      <left style="thin">
        <color theme="1" tint="0.34998626667073579"/>
      </left>
      <right style="thin">
        <color theme="0" tint="-0.24994659260841701"/>
      </right>
      <top/>
      <bottom style="double">
        <color theme="1" tint="0.34998626667073579"/>
      </bottom>
      <diagonal/>
    </border>
    <border>
      <left style="thin">
        <color theme="0" tint="-0.24994659260841701"/>
      </left>
      <right style="thin">
        <color theme="0" tint="-0.24994659260841701"/>
      </right>
      <top style="thin">
        <color theme="0" tint="-0.24994659260841701"/>
      </top>
      <bottom style="double">
        <color theme="1" tint="0.34998626667073579"/>
      </bottom>
      <diagonal/>
    </border>
    <border>
      <left/>
      <right/>
      <top style="thin">
        <color theme="0" tint="-0.24994659260841701"/>
      </top>
      <bottom style="double">
        <color theme="1" tint="0.34998626667073579"/>
      </bottom>
      <diagonal/>
    </border>
    <border>
      <left/>
      <right style="thin">
        <color theme="1" tint="0.34998626667073579"/>
      </right>
      <top style="thin">
        <color theme="0" tint="-0.24994659260841701"/>
      </top>
      <bottom style="double">
        <color theme="1" tint="0.34998626667073579"/>
      </bottom>
      <diagonal/>
    </border>
    <border>
      <left style="thin">
        <color theme="1" tint="0.34998626667073579"/>
      </left>
      <right/>
      <top style="double">
        <color theme="1" tint="0.34998626667073579"/>
      </top>
      <bottom/>
      <diagonal/>
    </border>
    <border>
      <left/>
      <right style="thin">
        <color theme="0" tint="-0.24994659260841701"/>
      </right>
      <top style="double">
        <color theme="1" tint="0.34998626667073579"/>
      </top>
      <bottom/>
      <diagonal/>
    </border>
    <border>
      <left style="thin">
        <color rgb="FF7F7F7F"/>
      </left>
      <right style="thin">
        <color rgb="FF7F7F7F"/>
      </right>
      <top style="thin">
        <color rgb="FF7F7F7F"/>
      </top>
      <bottom style="thin">
        <color rgb="FF000000"/>
      </bottom>
      <diagonal/>
    </border>
    <border>
      <left style="thin">
        <color rgb="FF7F7F7F"/>
      </left>
      <right style="thin">
        <color rgb="FF7F7F7F"/>
      </right>
      <top/>
      <bottom/>
      <diagonal/>
    </border>
    <border>
      <left style="thin">
        <color rgb="FF7F7F7F"/>
      </left>
      <right style="thin">
        <color rgb="FF7F7F7F"/>
      </right>
      <top/>
      <bottom style="thin">
        <color rgb="FFD9D9D9"/>
      </bottom>
      <diagonal/>
    </border>
    <border>
      <left style="thin">
        <color rgb="FF7F7F7F"/>
      </left>
      <right style="thin">
        <color rgb="FF7F7F7F"/>
      </right>
      <top/>
      <bottom style="thin">
        <color theme="0" tint="-0.14996795556505021"/>
      </bottom>
      <diagonal/>
    </border>
    <border>
      <left style="thin">
        <color rgb="FF7F7F7F"/>
      </left>
      <right style="thin">
        <color rgb="FF7F7F7F"/>
      </right>
      <top style="thin">
        <color rgb="FFD9D9D9"/>
      </top>
      <bottom style="thin">
        <color theme="0" tint="-0.14996795556505021"/>
      </bottom>
      <diagonal/>
    </border>
    <border>
      <left style="thin">
        <color rgb="FF7F7F7F"/>
      </left>
      <right style="thin">
        <color rgb="FF7F7F7F"/>
      </right>
      <top/>
      <bottom style="thin">
        <color theme="1" tint="0.24994659260841701"/>
      </bottom>
      <diagonal/>
    </border>
    <border>
      <left style="thin">
        <color rgb="FF7F7F7F"/>
      </left>
      <right style="thin">
        <color rgb="FF7F7F7F"/>
      </right>
      <top style="thin">
        <color rgb="FF000000"/>
      </top>
      <bottom style="thin">
        <color theme="1" tint="0.24994659260841701"/>
      </bottom>
      <diagonal/>
    </border>
    <border>
      <left style="thin">
        <color rgb="FF7F7F7F"/>
      </left>
      <right style="thin">
        <color rgb="FF7F7F7F"/>
      </right>
      <top style="thin">
        <color rgb="FFD9D9D9"/>
      </top>
      <bottom style="thin">
        <color theme="1" tint="0.24994659260841701"/>
      </bottom>
      <diagonal/>
    </border>
    <border>
      <left style="thin">
        <color rgb="FF7F7F7F"/>
      </left>
      <right style="thin">
        <color rgb="FF7F7F7F"/>
      </right>
      <top style="thin">
        <color theme="1" tint="0.24994659260841701"/>
      </top>
      <bottom/>
      <diagonal/>
    </border>
    <border>
      <left/>
      <right/>
      <top style="thin">
        <color theme="0" tint="-0.24994659260841701"/>
      </top>
      <bottom/>
      <diagonal/>
    </border>
    <border>
      <left style="thin">
        <color theme="0" tint="-0.24994659260841701"/>
      </left>
      <right style="thin">
        <color theme="0" tint="-0.24994659260841701"/>
      </right>
      <top style="double">
        <color theme="1" tint="0.34998626667073579"/>
      </top>
      <bottom style="thin">
        <color theme="0" tint="-0.24994659260841701"/>
      </bottom>
      <diagonal/>
    </border>
    <border>
      <left style="thin">
        <color theme="0" tint="-0.24994659260841701"/>
      </left>
      <right style="thin">
        <color theme="0" tint="-0.499984740745262"/>
      </right>
      <top style="double">
        <color theme="1" tint="0.34998626667073579"/>
      </top>
      <bottom style="thin">
        <color theme="0" tint="-0.24994659260841701"/>
      </bottom>
      <diagonal/>
    </border>
    <border>
      <left style="thin">
        <color theme="0" tint="-0.24994659260841701"/>
      </left>
      <right style="thin">
        <color theme="0" tint="-0.499984740745262"/>
      </right>
      <top/>
      <bottom style="thin">
        <color theme="0" tint="-0.24994659260841701"/>
      </bottom>
      <diagonal/>
    </border>
    <border>
      <left/>
      <right style="thin">
        <color theme="0" tint="-0.24994659260841701"/>
      </right>
      <top/>
      <bottom style="thin">
        <color theme="1" tint="0.34998626667073579"/>
      </bottom>
      <diagonal/>
    </border>
    <border>
      <left style="thin">
        <color theme="0" tint="-0.24994659260841701"/>
      </left>
      <right style="thin">
        <color theme="0" tint="-0.24994659260841701"/>
      </right>
      <top/>
      <bottom style="thin">
        <color theme="1" tint="0.34998626667073579"/>
      </bottom>
      <diagonal/>
    </border>
    <border>
      <left style="thin">
        <color theme="0" tint="-0.24994659260841701"/>
      </left>
      <right/>
      <top style="thin">
        <color theme="0" tint="-0.24994659260841701"/>
      </top>
      <bottom style="thin">
        <color theme="1" tint="0.34998626667073579"/>
      </bottom>
      <diagonal/>
    </border>
    <border>
      <left/>
      <right style="thin">
        <color theme="0" tint="-0.499984740745262"/>
      </right>
      <top style="thin">
        <color theme="0" tint="-0.24994659260841701"/>
      </top>
      <bottom style="thin">
        <color theme="1" tint="0.34998626667073579"/>
      </bottom>
      <diagonal/>
    </border>
    <border>
      <left/>
      <right/>
      <top style="thin">
        <color theme="1" tint="0.34998626667073579"/>
      </top>
      <bottom/>
      <diagonal/>
    </border>
    <border>
      <left/>
      <right style="thin">
        <color theme="0" tint="-0.499984740745262"/>
      </right>
      <top style="hair">
        <color theme="0" tint="-0.499984740745262"/>
      </top>
      <bottom/>
      <diagonal/>
    </border>
    <border>
      <left/>
      <right style="medium">
        <color theme="0" tint="-0.499984740745262"/>
      </right>
      <top style="hair">
        <color theme="0" tint="-0.499984740745262"/>
      </top>
      <bottom/>
      <diagonal/>
    </border>
    <border>
      <left/>
      <right/>
      <top style="thin">
        <color indexed="64"/>
      </top>
      <bottom style="thin">
        <color theme="0" tint="-0.499984740745262"/>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theme="0" tint="-0.24994659260841701"/>
      </left>
      <right style="thin">
        <color theme="0" tint="-0.24994659260841701"/>
      </right>
      <top/>
      <bottom style="double">
        <color theme="1" tint="0.34998626667073579"/>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1" tint="0.34998626667073579"/>
      </bottom>
      <diagonal/>
    </border>
    <border>
      <left style="thin">
        <color theme="1" tint="0.34998626667073579"/>
      </left>
      <right/>
      <top/>
      <bottom style="thin">
        <color theme="1" tint="0.24994659260841701"/>
      </bottom>
      <diagonal/>
    </border>
    <border>
      <left style="thin">
        <color theme="1" tint="0.34998626667073579"/>
      </left>
      <right style="thin">
        <color theme="1" tint="0.34998626667073579"/>
      </right>
      <top/>
      <bottom style="thin">
        <color theme="1" tint="0.24994659260841701"/>
      </bottom>
      <diagonal/>
    </border>
    <border>
      <left style="thin">
        <color auto="1"/>
      </left>
      <right style="thin">
        <color theme="0"/>
      </right>
      <top/>
      <bottom style="medium">
        <color theme="0"/>
      </bottom>
      <diagonal/>
    </border>
    <border>
      <left style="thin">
        <color auto="1"/>
      </left>
      <right style="thin">
        <color auto="1"/>
      </right>
      <top style="medium">
        <color theme="0"/>
      </top>
      <bottom/>
      <diagonal/>
    </border>
    <border>
      <left style="thin">
        <color auto="1"/>
      </left>
      <right style="thin">
        <color auto="1"/>
      </right>
      <top/>
      <bottom style="thin">
        <color theme="1" tint="0.34998626667073579"/>
      </bottom>
      <diagonal/>
    </border>
    <border>
      <left style="thin">
        <color auto="1"/>
      </left>
      <right style="thin">
        <color auto="1"/>
      </right>
      <top style="thin">
        <color theme="1" tint="0.34998626667073579"/>
      </top>
      <bottom/>
      <diagonal/>
    </border>
    <border>
      <left style="thin">
        <color auto="1"/>
      </left>
      <right style="thin">
        <color auto="1"/>
      </right>
      <top/>
      <bottom style="thin">
        <color theme="1" tint="0.24994659260841701"/>
      </bottom>
      <diagonal/>
    </border>
    <border>
      <left style="thin">
        <color theme="1" tint="0.34998626667073579"/>
      </left>
      <right/>
      <top/>
      <bottom style="double">
        <color theme="1" tint="0.34998626667073579"/>
      </bottom>
      <diagonal/>
    </border>
    <border>
      <left/>
      <right style="thin">
        <color theme="0" tint="-0.24994659260841701"/>
      </right>
      <top/>
      <bottom style="double">
        <color theme="1" tint="0.34998626667073579"/>
      </bottom>
      <diagonal/>
    </border>
    <border>
      <left style="thin">
        <color theme="1" tint="0.34998626667073579"/>
      </left>
      <right/>
      <top style="thin">
        <color theme="0" tint="-0.499984740745262"/>
      </top>
      <bottom/>
      <diagonal/>
    </border>
    <border>
      <left style="thin">
        <color theme="1" tint="0.34998626667073579"/>
      </left>
      <right/>
      <top/>
      <bottom style="thin">
        <color indexed="64"/>
      </bottom>
      <diagonal/>
    </border>
    <border>
      <left style="thin">
        <color indexed="64"/>
      </left>
      <right/>
      <top style="thin">
        <color theme="1" tint="0.24994659260841701"/>
      </top>
      <bottom/>
      <diagonal/>
    </border>
    <border>
      <left style="thin">
        <color theme="0" tint="-0.24994659260841701"/>
      </left>
      <right style="thin">
        <color theme="0" tint="-0.24994659260841701"/>
      </right>
      <top style="thin">
        <color theme="0" tint="-0.24994659260841701"/>
      </top>
      <bottom style="double">
        <color theme="1" tint="0.24994659260841701"/>
      </bottom>
      <diagonal/>
    </border>
    <border>
      <left style="thin">
        <color theme="0" tint="-0.24994659260841701"/>
      </left>
      <right/>
      <top style="thin">
        <color theme="0" tint="-0.24994659260841701"/>
      </top>
      <bottom style="double">
        <color theme="1" tint="0.24994659260841701"/>
      </bottom>
      <diagonal/>
    </border>
    <border>
      <left/>
      <right style="thin">
        <color theme="1" tint="0.34998626667073579"/>
      </right>
      <top style="thin">
        <color theme="0" tint="-0.24994659260841701"/>
      </top>
      <bottom style="double">
        <color theme="1" tint="0.24994659260841701"/>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top style="thin">
        <color indexed="64"/>
      </top>
      <bottom style="thin">
        <color indexed="64"/>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style="hair">
        <color theme="0" tint="-0.499984740745262"/>
      </bottom>
      <diagonal/>
    </border>
    <border>
      <left style="thin">
        <color theme="0" tint="-0.499984740745262"/>
      </left>
      <right/>
      <top style="medium">
        <color indexed="64"/>
      </top>
      <bottom style="hair">
        <color theme="0" tint="-0.499984740745262"/>
      </bottom>
      <diagonal/>
    </border>
    <border>
      <left/>
      <right/>
      <top style="medium">
        <color indexed="64"/>
      </top>
      <bottom/>
      <diagonal/>
    </border>
    <border>
      <left style="thin">
        <color indexed="64"/>
      </left>
      <right style="thin">
        <color theme="0" tint="-0.499984740745262"/>
      </right>
      <top style="medium">
        <color indexed="64"/>
      </top>
      <bottom style="hair">
        <color theme="0" tint="-0.499984740745262"/>
      </bottom>
      <diagonal/>
    </border>
    <border>
      <left style="thin">
        <color theme="0" tint="-0.499984740745262"/>
      </left>
      <right style="thin">
        <color indexed="64"/>
      </right>
      <top style="medium">
        <color indexed="64"/>
      </top>
      <bottom style="hair">
        <color theme="0" tint="-0.499984740745262"/>
      </bottom>
      <diagonal/>
    </border>
    <border>
      <left style="thin">
        <color indexed="64"/>
      </left>
      <right style="thin">
        <color indexed="64"/>
      </right>
      <top style="medium">
        <color indexed="64"/>
      </top>
      <bottom/>
      <diagonal/>
    </border>
    <border>
      <left/>
      <right style="thin">
        <color theme="0" tint="-0.499984740745262"/>
      </right>
      <top style="medium">
        <color indexed="64"/>
      </top>
      <bottom style="hair">
        <color theme="0" tint="-0.499984740745262"/>
      </bottom>
      <diagonal/>
    </border>
    <border>
      <left/>
      <right style="medium">
        <color indexed="64"/>
      </right>
      <top style="medium">
        <color indexed="64"/>
      </top>
      <bottom style="hair">
        <color theme="0" tint="-0.499984740745262"/>
      </bottom>
      <diagonal/>
    </border>
    <border>
      <left/>
      <right style="medium">
        <color indexed="64"/>
      </right>
      <top style="hair">
        <color theme="0" tint="-0.499984740745262"/>
      </top>
      <bottom style="hair">
        <color theme="0" tint="-0.499984740745262"/>
      </bottom>
      <diagonal/>
    </border>
    <border>
      <left/>
      <right style="medium">
        <color indexed="64"/>
      </right>
      <top style="hair">
        <color theme="0" tint="-0.499984740745262"/>
      </top>
      <bottom style="thin">
        <color indexed="64"/>
      </bottom>
      <diagonal/>
    </border>
    <border>
      <left/>
      <right style="medium">
        <color indexed="64"/>
      </right>
      <top style="hair">
        <color theme="0" tint="-0.499984740745262"/>
      </top>
      <bottom style="medium">
        <color theme="0" tint="-0.499984740745262"/>
      </bottom>
      <diagonal/>
    </border>
    <border>
      <left style="thin">
        <color indexed="64"/>
      </left>
      <right/>
      <top style="thin">
        <color indexed="64"/>
      </top>
      <bottom style="medium">
        <color indexed="64"/>
      </bottom>
      <diagonal/>
    </border>
    <border>
      <left style="thin">
        <color theme="0" tint="-0.499984740745262"/>
      </left>
      <right style="thin">
        <color theme="0" tint="-0.499984740745262"/>
      </right>
      <top style="hair">
        <color theme="0" tint="-0.499984740745262"/>
      </top>
      <bottom style="medium">
        <color indexed="64"/>
      </bottom>
      <diagonal/>
    </border>
    <border>
      <left style="thin">
        <color theme="0" tint="-0.499984740745262"/>
      </left>
      <right/>
      <top style="hair">
        <color theme="0" tint="-0.499984740745262"/>
      </top>
      <bottom style="medium">
        <color indexed="64"/>
      </bottom>
      <diagonal/>
    </border>
    <border>
      <left/>
      <right/>
      <top/>
      <bottom style="medium">
        <color indexed="64"/>
      </bottom>
      <diagonal/>
    </border>
    <border>
      <left/>
      <right style="thin">
        <color theme="0" tint="-0.499984740745262"/>
      </right>
      <top style="hair">
        <color theme="0" tint="-0.499984740745262"/>
      </top>
      <bottom style="medium">
        <color indexed="64"/>
      </bottom>
      <diagonal/>
    </border>
    <border>
      <left style="thin">
        <color theme="0" tint="-0.499984740745262"/>
      </left>
      <right style="thin">
        <color indexed="64"/>
      </right>
      <top style="hair">
        <color theme="0" tint="-0.499984740745262"/>
      </top>
      <bottom style="medium">
        <color indexed="64"/>
      </bottom>
      <diagonal/>
    </border>
    <border>
      <left/>
      <right style="thin">
        <color indexed="64"/>
      </right>
      <top/>
      <bottom style="medium">
        <color indexed="64"/>
      </bottom>
      <diagonal/>
    </border>
    <border>
      <left style="thin">
        <color indexed="64"/>
      </left>
      <right style="thin">
        <color theme="0" tint="-0.499984740745262"/>
      </right>
      <top style="hair">
        <color theme="0" tint="-0.499984740745262"/>
      </top>
      <bottom style="medium">
        <color indexed="64"/>
      </bottom>
      <diagonal/>
    </border>
    <border>
      <left/>
      <right style="medium">
        <color indexed="64"/>
      </right>
      <top style="hair">
        <color theme="0" tint="-0.499984740745262"/>
      </top>
      <bottom style="medium">
        <color indexed="64"/>
      </bottom>
      <diagonal/>
    </border>
    <border>
      <left/>
      <right style="medium">
        <color indexed="64"/>
      </right>
      <top/>
      <bottom style="hair">
        <color theme="0" tint="-0.499984740745262"/>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hair">
        <color theme="0" tint="-0.499984740745262"/>
      </bottom>
      <diagonal/>
    </border>
    <border>
      <left style="thin">
        <color indexed="64"/>
      </left>
      <right/>
      <top style="medium">
        <color indexed="64"/>
      </top>
      <bottom style="thin">
        <color indexed="64"/>
      </bottom>
      <diagonal/>
    </border>
    <border>
      <left style="thin">
        <color indexed="64"/>
      </left>
      <right/>
      <top/>
      <bottom style="hair">
        <color theme="0" tint="-0.499984740745262"/>
      </bottom>
      <diagonal/>
    </border>
    <border>
      <left style="thin">
        <color indexed="64"/>
      </left>
      <right/>
      <top style="hair">
        <color theme="0" tint="-0.499984740745262"/>
      </top>
      <bottom style="medium">
        <color theme="0" tint="-0.499984740745262"/>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theme="0" tint="-0.499984740745262"/>
      </top>
      <bottom/>
      <diagonal/>
    </border>
    <border>
      <left style="thin">
        <color theme="0" tint="-0.499984740745262"/>
      </left>
      <right style="thin">
        <color indexed="64"/>
      </right>
      <top style="thin">
        <color indexed="64"/>
      </top>
      <bottom style="thin">
        <color indexed="64"/>
      </bottom>
      <diagonal/>
    </border>
    <border>
      <left style="thin">
        <color indexed="64"/>
      </left>
      <right style="thin">
        <color indexed="64"/>
      </right>
      <top style="thin">
        <color indexed="64"/>
      </top>
      <bottom style="thin">
        <color theme="0" tint="-0.499984740745262"/>
      </bottom>
      <diagonal/>
    </border>
    <border>
      <left style="thin">
        <color indexed="64"/>
      </left>
      <right style="thin">
        <color indexed="64"/>
      </right>
      <top style="thin">
        <color theme="0" tint="-0.499984740745262"/>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top style="thin">
        <color auto="1"/>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bottom style="hair">
        <color indexed="64"/>
      </bottom>
      <diagonal/>
    </border>
    <border>
      <left/>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medium">
        <color rgb="FFFF0000"/>
      </left>
      <right style="thin">
        <color indexed="64"/>
      </right>
      <top style="medium">
        <color rgb="FFFF0000"/>
      </top>
      <bottom style="hair">
        <color indexed="64"/>
      </bottom>
      <diagonal/>
    </border>
    <border>
      <left style="thin">
        <color indexed="64"/>
      </left>
      <right style="medium">
        <color rgb="FFFF0000"/>
      </right>
      <top style="medium">
        <color rgb="FFFF0000"/>
      </top>
      <bottom style="hair">
        <color indexed="64"/>
      </bottom>
      <diagonal/>
    </border>
    <border>
      <left style="medium">
        <color rgb="FFFF0000"/>
      </left>
      <right style="thin">
        <color indexed="64"/>
      </right>
      <top style="hair">
        <color indexed="64"/>
      </top>
      <bottom style="thin">
        <color indexed="64"/>
      </bottom>
      <diagonal/>
    </border>
    <border>
      <left style="thin">
        <color indexed="64"/>
      </left>
      <right style="medium">
        <color rgb="FFFF0000"/>
      </right>
      <top style="hair">
        <color indexed="64"/>
      </top>
      <bottom style="thin">
        <color indexed="64"/>
      </bottom>
      <diagonal/>
    </border>
    <border>
      <left style="medium">
        <color rgb="FFFF0000"/>
      </left>
      <right style="thin">
        <color indexed="64"/>
      </right>
      <top style="thin">
        <color indexed="64"/>
      </top>
      <bottom style="hair">
        <color indexed="64"/>
      </bottom>
      <diagonal/>
    </border>
    <border>
      <left style="thin">
        <color indexed="64"/>
      </left>
      <right style="medium">
        <color rgb="FFFF0000"/>
      </right>
      <top style="thin">
        <color indexed="64"/>
      </top>
      <bottom style="hair">
        <color indexed="64"/>
      </bottom>
      <diagonal/>
    </border>
    <border>
      <left style="medium">
        <color rgb="FFFF0000"/>
      </left>
      <right style="thin">
        <color indexed="64"/>
      </right>
      <top style="hair">
        <color indexed="64"/>
      </top>
      <bottom style="hair">
        <color indexed="64"/>
      </bottom>
      <diagonal/>
    </border>
    <border>
      <left style="thin">
        <color indexed="64"/>
      </left>
      <right style="medium">
        <color rgb="FFFF0000"/>
      </right>
      <top style="hair">
        <color indexed="64"/>
      </top>
      <bottom style="hair">
        <color indexed="64"/>
      </bottom>
      <diagonal/>
    </border>
    <border>
      <left style="medium">
        <color rgb="FFFF0000"/>
      </left>
      <right style="thin">
        <color indexed="64"/>
      </right>
      <top style="hair">
        <color indexed="64"/>
      </top>
      <bottom/>
      <diagonal/>
    </border>
    <border>
      <left style="thin">
        <color indexed="64"/>
      </left>
      <right style="medium">
        <color rgb="FFFF0000"/>
      </right>
      <top style="hair">
        <color indexed="64"/>
      </top>
      <bottom/>
      <diagonal/>
    </border>
    <border>
      <left style="medium">
        <color rgb="FFFF0000"/>
      </left>
      <right style="thin">
        <color indexed="64"/>
      </right>
      <top style="hair">
        <color indexed="64"/>
      </top>
      <bottom style="medium">
        <color rgb="FFFF0000"/>
      </bottom>
      <diagonal/>
    </border>
    <border>
      <left style="thin">
        <color indexed="64"/>
      </left>
      <right style="medium">
        <color rgb="FFFF0000"/>
      </right>
      <top style="hair">
        <color indexed="64"/>
      </top>
      <bottom style="medium">
        <color rgb="FFFF0000"/>
      </bottom>
      <diagonal/>
    </border>
    <border>
      <left style="medium">
        <color rgb="FFFF0000"/>
      </left>
      <right/>
      <top style="medium">
        <color rgb="FFFF0000"/>
      </top>
      <bottom style="hair">
        <color indexed="64"/>
      </bottom>
      <diagonal/>
    </border>
    <border>
      <left/>
      <right style="medium">
        <color rgb="FFFF0000"/>
      </right>
      <top style="medium">
        <color rgb="FFFF0000"/>
      </top>
      <bottom style="hair">
        <color indexed="64"/>
      </bottom>
      <diagonal/>
    </border>
    <border>
      <left style="medium">
        <color rgb="FFC00000"/>
      </left>
      <right style="thin">
        <color indexed="64"/>
      </right>
      <top style="medium">
        <color rgb="FFC00000"/>
      </top>
      <bottom style="hair">
        <color indexed="64"/>
      </bottom>
      <diagonal/>
    </border>
    <border>
      <left style="thin">
        <color indexed="64"/>
      </left>
      <right style="medium">
        <color rgb="FFC00000"/>
      </right>
      <top style="medium">
        <color rgb="FFC00000"/>
      </top>
      <bottom style="hair">
        <color indexed="64"/>
      </bottom>
      <diagonal/>
    </border>
    <border>
      <left style="medium">
        <color rgb="FFC00000"/>
      </left>
      <right style="thin">
        <color indexed="64"/>
      </right>
      <top style="hair">
        <color indexed="64"/>
      </top>
      <bottom style="thin">
        <color indexed="64"/>
      </bottom>
      <diagonal/>
    </border>
    <border>
      <left style="thin">
        <color indexed="64"/>
      </left>
      <right style="medium">
        <color rgb="FFC00000"/>
      </right>
      <top style="hair">
        <color indexed="64"/>
      </top>
      <bottom style="thin">
        <color indexed="64"/>
      </bottom>
      <diagonal/>
    </border>
    <border>
      <left style="medium">
        <color rgb="FFC00000"/>
      </left>
      <right style="thin">
        <color indexed="64"/>
      </right>
      <top style="thin">
        <color indexed="64"/>
      </top>
      <bottom style="hair">
        <color indexed="64"/>
      </bottom>
      <diagonal/>
    </border>
    <border>
      <left style="thin">
        <color indexed="64"/>
      </left>
      <right style="medium">
        <color rgb="FFC00000"/>
      </right>
      <top style="thin">
        <color indexed="64"/>
      </top>
      <bottom style="hair">
        <color indexed="64"/>
      </bottom>
      <diagonal/>
    </border>
    <border>
      <left style="medium">
        <color rgb="FFC00000"/>
      </left>
      <right style="thin">
        <color indexed="64"/>
      </right>
      <top style="hair">
        <color indexed="64"/>
      </top>
      <bottom style="hair">
        <color indexed="64"/>
      </bottom>
      <diagonal/>
    </border>
    <border>
      <left style="thin">
        <color indexed="64"/>
      </left>
      <right style="medium">
        <color rgb="FFC00000"/>
      </right>
      <top style="hair">
        <color indexed="64"/>
      </top>
      <bottom style="hair">
        <color indexed="64"/>
      </bottom>
      <diagonal/>
    </border>
    <border>
      <left style="medium">
        <color rgb="FFC00000"/>
      </left>
      <right style="thin">
        <color indexed="64"/>
      </right>
      <top style="hair">
        <color indexed="64"/>
      </top>
      <bottom/>
      <diagonal/>
    </border>
    <border>
      <left style="thin">
        <color indexed="64"/>
      </left>
      <right style="medium">
        <color rgb="FFC00000"/>
      </right>
      <top style="hair">
        <color indexed="64"/>
      </top>
      <bottom/>
      <diagonal/>
    </border>
    <border>
      <left style="medium">
        <color rgb="FFC00000"/>
      </left>
      <right style="thin">
        <color indexed="64"/>
      </right>
      <top/>
      <bottom/>
      <diagonal/>
    </border>
    <border>
      <left style="thin">
        <color indexed="64"/>
      </left>
      <right/>
      <top/>
      <bottom style="hair">
        <color indexed="64"/>
      </bottom>
      <diagonal/>
    </border>
    <border>
      <left style="medium">
        <color rgb="FFFF0000"/>
      </left>
      <right/>
      <top style="hair">
        <color indexed="64"/>
      </top>
      <bottom style="thin">
        <color indexed="64"/>
      </bottom>
      <diagonal/>
    </border>
    <border>
      <left style="medium">
        <color rgb="FFC00000"/>
      </left>
      <right style="thin">
        <color theme="1"/>
      </right>
      <top style="thin">
        <color indexed="64"/>
      </top>
      <bottom style="hair">
        <color indexed="64"/>
      </bottom>
      <diagonal/>
    </border>
    <border>
      <left style="thin">
        <color theme="1"/>
      </left>
      <right style="thin">
        <color theme="1"/>
      </right>
      <top style="thin">
        <color indexed="64"/>
      </top>
      <bottom style="hair">
        <color indexed="64"/>
      </bottom>
      <diagonal/>
    </border>
    <border>
      <left style="thin">
        <color theme="1"/>
      </left>
      <right style="thin">
        <color indexed="64"/>
      </right>
      <top style="thin">
        <color indexed="64"/>
      </top>
      <bottom style="hair">
        <color indexed="64"/>
      </bottom>
      <diagonal/>
    </border>
    <border>
      <left style="medium">
        <color rgb="FFC00000"/>
      </left>
      <right style="thin">
        <color theme="1"/>
      </right>
      <top style="hair">
        <color indexed="64"/>
      </top>
      <bottom style="medium">
        <color rgb="FFC00000"/>
      </bottom>
      <diagonal/>
    </border>
    <border>
      <left style="thin">
        <color theme="1"/>
      </left>
      <right style="thin">
        <color theme="1"/>
      </right>
      <top style="hair">
        <color indexed="64"/>
      </top>
      <bottom style="thin">
        <color indexed="64"/>
      </bottom>
      <diagonal/>
    </border>
    <border>
      <left style="thin">
        <color theme="1"/>
      </left>
      <right style="thin">
        <color indexed="64"/>
      </right>
      <top style="hair">
        <color indexed="64"/>
      </top>
      <bottom style="thin">
        <color indexed="64"/>
      </bottom>
      <diagonal/>
    </border>
    <border>
      <left/>
      <right style="thin">
        <color theme="1"/>
      </right>
      <top style="thin">
        <color indexed="64"/>
      </top>
      <bottom style="hair">
        <color indexed="64"/>
      </bottom>
      <diagonal/>
    </border>
    <border>
      <left/>
      <right style="thin">
        <color theme="1"/>
      </right>
      <top style="hair">
        <color indexed="64"/>
      </top>
      <bottom style="thin">
        <color indexed="64"/>
      </bottom>
      <diagonal/>
    </border>
    <border>
      <left style="thin">
        <color theme="1"/>
      </left>
      <right style="medium">
        <color rgb="FFC00000"/>
      </right>
      <top style="thin">
        <color indexed="64"/>
      </top>
      <bottom style="hair">
        <color indexed="64"/>
      </bottom>
      <diagonal/>
    </border>
    <border>
      <left style="thin">
        <color theme="1"/>
      </left>
      <right style="medium">
        <color rgb="FFC00000"/>
      </right>
      <top style="hair">
        <color indexed="64"/>
      </top>
      <bottom style="medium">
        <color rgb="FFC00000"/>
      </bottom>
      <diagonal/>
    </border>
    <border>
      <left style="thin">
        <color indexed="64"/>
      </left>
      <right style="thin">
        <color indexed="64"/>
      </right>
      <top style="hair">
        <color theme="0" tint="-0.499984740745262"/>
      </top>
      <bottom style="hair">
        <color indexed="64"/>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style="hair">
        <color auto="1"/>
      </right>
      <top/>
      <bottom/>
      <diagonal/>
    </border>
    <border>
      <left style="hair">
        <color auto="1"/>
      </left>
      <right/>
      <top/>
      <bottom style="hair">
        <color auto="1"/>
      </bottom>
      <diagonal/>
    </border>
    <border>
      <left style="hair">
        <color auto="1"/>
      </left>
      <right/>
      <top style="hair">
        <color auto="1"/>
      </top>
      <bottom style="hair">
        <color auto="1"/>
      </bottom>
      <diagonal/>
    </border>
    <border>
      <left/>
      <right style="hair">
        <color auto="1"/>
      </right>
      <top style="thin">
        <color indexed="64"/>
      </top>
      <bottom style="hair">
        <color auto="1"/>
      </bottom>
      <diagonal/>
    </border>
  </borders>
  <cellStyleXfs count="20">
    <xf numFmtId="0" fontId="0" fillId="0" borderId="0">
      <alignment vertical="center"/>
    </xf>
    <xf numFmtId="40" fontId="7" fillId="0" borderId="0" applyFont="0" applyFill="0" applyBorder="0" applyAlignment="0" applyProtection="0">
      <alignment vertical="center"/>
    </xf>
    <xf numFmtId="38" fontId="7" fillId="0" borderId="0" applyFont="0" applyFill="0" applyBorder="0" applyAlignment="0" applyProtection="0">
      <alignment vertical="center"/>
    </xf>
    <xf numFmtId="0" fontId="39" fillId="0" borderId="0">
      <alignment vertical="center"/>
    </xf>
    <xf numFmtId="41" fontId="57" fillId="0" borderId="0" applyFont="0" applyFill="0" applyBorder="0" applyAlignment="0" applyProtection="0">
      <alignment vertical="center"/>
    </xf>
    <xf numFmtId="0" fontId="58" fillId="0" borderId="0">
      <alignment vertical="center"/>
    </xf>
    <xf numFmtId="0" fontId="42" fillId="0" borderId="0">
      <alignment vertical="center"/>
    </xf>
    <xf numFmtId="0" fontId="5" fillId="0" borderId="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9" fontId="7" fillId="0" borderId="0" applyFont="0" applyFill="0" applyBorder="0" applyAlignment="0" applyProtection="0">
      <alignment vertical="center"/>
    </xf>
    <xf numFmtId="0" fontId="161" fillId="0" borderId="0" applyNumberFormat="0" applyFont="0" applyFill="0" applyBorder="0" applyAlignment="0" applyProtection="0"/>
    <xf numFmtId="0" fontId="3" fillId="0" borderId="0">
      <alignment vertical="center"/>
    </xf>
    <xf numFmtId="41" fontId="161" fillId="0" borderId="0" applyNumberFormat="0" applyFont="0" applyFill="0" applyBorder="0" applyAlignment="0" applyProtection="0"/>
    <xf numFmtId="42" fontId="161" fillId="0" borderId="0" applyFont="0" applyFill="0" applyBorder="0" applyAlignment="0" applyProtection="0">
      <alignment vertical="center"/>
    </xf>
    <xf numFmtId="9" fontId="161" fillId="0" borderId="0" applyFont="0" applyFill="0" applyBorder="0" applyAlignment="0" applyProtection="0">
      <alignment vertical="center"/>
    </xf>
  </cellStyleXfs>
  <cellXfs count="2975">
    <xf numFmtId="0" fontId="0" fillId="0" borderId="0" xfId="0">
      <alignment vertical="center"/>
    </xf>
    <xf numFmtId="0" fontId="8" fillId="0" borderId="0" xfId="0" applyFont="1" applyAlignment="1" applyProtection="1">
      <alignment horizontal="center" vertical="center"/>
      <protection locked="0"/>
    </xf>
    <xf numFmtId="0" fontId="8" fillId="0" borderId="0" xfId="0" applyFont="1" applyAlignment="1">
      <alignment horizontal="center" vertical="center"/>
    </xf>
    <xf numFmtId="0" fontId="8" fillId="0" borderId="0" xfId="0" applyFont="1">
      <alignment vertical="center"/>
    </xf>
    <xf numFmtId="14" fontId="8" fillId="0" borderId="0" xfId="0" applyNumberFormat="1" applyFont="1" applyAlignment="1">
      <alignment horizontal="center" vertical="center"/>
    </xf>
    <xf numFmtId="0" fontId="8" fillId="0" borderId="0" xfId="0" applyFont="1" applyAlignment="1">
      <alignment horizontal="left" vertical="center"/>
    </xf>
    <xf numFmtId="38" fontId="14" fillId="0" borderId="0" xfId="1" applyNumberFormat="1" applyFont="1" applyAlignment="1">
      <alignment horizontal="right" vertical="center"/>
    </xf>
    <xf numFmtId="38" fontId="13" fillId="0" borderId="0" xfId="0" applyNumberFormat="1" applyFont="1" applyAlignment="1">
      <alignment horizontal="right" vertical="center"/>
    </xf>
    <xf numFmtId="38" fontId="13" fillId="0" borderId="0" xfId="0" applyNumberFormat="1" applyFont="1">
      <alignment vertical="center"/>
    </xf>
    <xf numFmtId="38" fontId="14" fillId="0" borderId="0" xfId="1" applyNumberFormat="1" applyFont="1">
      <alignment vertical="center"/>
    </xf>
    <xf numFmtId="14" fontId="8" fillId="0" borderId="0" xfId="0" applyNumberFormat="1" applyFont="1" applyAlignment="1">
      <alignment horizontal="right" vertical="center"/>
    </xf>
    <xf numFmtId="38" fontId="8" fillId="0" borderId="0" xfId="1" applyNumberFormat="1" applyFont="1">
      <alignment vertical="center"/>
    </xf>
    <xf numFmtId="38" fontId="8" fillId="0" borderId="0" xfId="1" applyNumberFormat="1" applyFont="1" applyAlignment="1">
      <alignment horizontal="center" vertical="center"/>
    </xf>
    <xf numFmtId="0" fontId="14" fillId="0" borderId="0" xfId="0" applyFont="1">
      <alignment vertical="center"/>
    </xf>
    <xf numFmtId="0" fontId="8" fillId="0" borderId="0" xfId="0" applyFont="1" applyAlignment="1">
      <alignment horizontal="right" vertical="center"/>
    </xf>
    <xf numFmtId="0" fontId="0" fillId="0" borderId="0" xfId="0" pivotButton="1">
      <alignment vertical="center"/>
    </xf>
    <xf numFmtId="0" fontId="11" fillId="2" borderId="0" xfId="0" applyFont="1" applyFill="1" applyAlignment="1">
      <alignment horizontal="center" vertical="center" wrapText="1"/>
    </xf>
    <xf numFmtId="14" fontId="11" fillId="2" borderId="0" xfId="0" applyNumberFormat="1" applyFont="1" applyFill="1" applyAlignment="1">
      <alignment horizontal="center" vertical="center" wrapText="1"/>
    </xf>
    <xf numFmtId="0" fontId="11" fillId="0" borderId="0" xfId="0" applyFont="1" applyAlignment="1">
      <alignment horizontal="center" vertical="center"/>
    </xf>
    <xf numFmtId="14" fontId="8" fillId="0" borderId="1" xfId="0" applyNumberFormat="1" applyFont="1" applyBorder="1" applyAlignment="1">
      <alignment horizontal="center"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5" fillId="3" borderId="12" xfId="0" applyFont="1" applyFill="1" applyBorder="1" applyAlignment="1">
      <alignment horizontal="center" vertical="center"/>
    </xf>
    <xf numFmtId="0" fontId="11" fillId="2" borderId="13" xfId="0" applyFont="1" applyFill="1" applyBorder="1" applyAlignment="1">
      <alignment horizontal="center" vertical="center" wrapText="1"/>
    </xf>
    <xf numFmtId="0" fontId="11" fillId="2" borderId="13" xfId="0" applyFont="1" applyFill="1" applyBorder="1" applyAlignment="1" applyProtection="1">
      <alignment horizontal="center" vertical="center" wrapText="1"/>
      <protection locked="0"/>
    </xf>
    <xf numFmtId="0" fontId="11"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14" fontId="8" fillId="0" borderId="0" xfId="0" applyNumberFormat="1" applyFont="1">
      <alignment vertical="center"/>
    </xf>
    <xf numFmtId="38" fontId="8" fillId="0" borderId="0" xfId="1" applyNumberFormat="1" applyFont="1" applyFill="1" applyAlignment="1">
      <alignment horizontal="center" vertical="center"/>
    </xf>
    <xf numFmtId="177" fontId="0" fillId="0" borderId="0" xfId="0" applyNumberFormat="1">
      <alignment vertical="center"/>
    </xf>
    <xf numFmtId="177" fontId="8" fillId="0" borderId="0" xfId="0" applyNumberFormat="1" applyFont="1" applyAlignment="1">
      <alignment horizontal="center" vertical="center"/>
    </xf>
    <xf numFmtId="177" fontId="11" fillId="2" borderId="0" xfId="0" applyNumberFormat="1" applyFont="1" applyFill="1" applyAlignment="1">
      <alignment horizontal="center" vertical="center" wrapText="1"/>
    </xf>
    <xf numFmtId="38" fontId="11" fillId="2" borderId="0" xfId="2" applyFont="1" applyFill="1" applyAlignment="1">
      <alignment horizontal="center" vertical="center" wrapText="1"/>
    </xf>
    <xf numFmtId="38" fontId="14" fillId="0" borderId="0" xfId="2" applyFont="1" applyFill="1" applyAlignment="1">
      <alignment horizontal="right" vertical="center"/>
    </xf>
    <xf numFmtId="38" fontId="8" fillId="0" borderId="0" xfId="2" applyFont="1" applyAlignment="1">
      <alignment horizontal="center" vertical="center"/>
    </xf>
    <xf numFmtId="38" fontId="14" fillId="0" borderId="0" xfId="1" applyNumberFormat="1" applyFont="1" applyFill="1" applyAlignment="1">
      <alignment horizontal="center" vertical="center"/>
    </xf>
    <xf numFmtId="0" fontId="11" fillId="5" borderId="10" xfId="0" applyFont="1" applyFill="1" applyBorder="1" applyAlignment="1">
      <alignment horizontal="center" vertical="center" wrapText="1"/>
    </xf>
    <xf numFmtId="38" fontId="8" fillId="0" borderId="0" xfId="1" applyNumberFormat="1" applyFont="1" applyFill="1">
      <alignment vertical="center"/>
    </xf>
    <xf numFmtId="0" fontId="16" fillId="2" borderId="0" xfId="0" applyFont="1" applyFill="1" applyAlignment="1">
      <alignment horizontal="center" vertical="center" wrapText="1"/>
    </xf>
    <xf numFmtId="0" fontId="15" fillId="3" borderId="6" xfId="0" applyFont="1" applyFill="1" applyBorder="1">
      <alignment vertical="center"/>
    </xf>
    <xf numFmtId="0" fontId="15" fillId="3" borderId="7" xfId="0" applyFont="1" applyFill="1" applyBorder="1">
      <alignment vertical="center"/>
    </xf>
    <xf numFmtId="38" fontId="15" fillId="3" borderId="7" xfId="1" applyNumberFormat="1" applyFont="1" applyFill="1" applyBorder="1" applyAlignment="1">
      <alignment vertical="center"/>
    </xf>
    <xf numFmtId="38" fontId="15" fillId="3" borderId="8" xfId="1" applyNumberFormat="1" applyFont="1" applyFill="1" applyBorder="1" applyAlignment="1">
      <alignment vertical="center"/>
    </xf>
    <xf numFmtId="0" fontId="15" fillId="3" borderId="2" xfId="0" applyFont="1" applyFill="1" applyBorder="1">
      <alignment vertical="center"/>
    </xf>
    <xf numFmtId="0" fontId="15" fillId="3" borderId="3" xfId="0" applyFont="1" applyFill="1" applyBorder="1">
      <alignment vertical="center"/>
    </xf>
    <xf numFmtId="0" fontId="15" fillId="3" borderId="4" xfId="0" applyFont="1" applyFill="1" applyBorder="1">
      <alignment vertical="center"/>
    </xf>
    <xf numFmtId="0" fontId="15" fillId="3" borderId="5" xfId="0" applyFont="1" applyFill="1" applyBorder="1">
      <alignment vertical="center"/>
    </xf>
    <xf numFmtId="38" fontId="15" fillId="3" borderId="5" xfId="1" applyNumberFormat="1" applyFont="1" applyFill="1" applyBorder="1" applyAlignment="1">
      <alignment vertical="center"/>
    </xf>
    <xf numFmtId="0" fontId="11" fillId="5" borderId="3" xfId="0" applyFont="1" applyFill="1" applyBorder="1" applyAlignment="1">
      <alignment horizontal="center" vertical="center" wrapText="1"/>
    </xf>
    <xf numFmtId="38" fontId="11" fillId="7" borderId="0" xfId="2" applyFont="1" applyFill="1" applyAlignment="1">
      <alignment horizontal="center" vertical="center" wrapText="1"/>
    </xf>
    <xf numFmtId="178" fontId="14" fillId="0" borderId="0" xfId="2" applyNumberFormat="1" applyFont="1" applyFill="1" applyAlignment="1">
      <alignment horizontal="right" vertical="center"/>
    </xf>
    <xf numFmtId="0" fontId="15" fillId="4" borderId="5" xfId="0" applyFont="1" applyFill="1" applyBorder="1">
      <alignment vertical="center"/>
    </xf>
    <xf numFmtId="14" fontId="0" fillId="0" borderId="0" xfId="0" applyNumberFormat="1">
      <alignment vertical="center"/>
    </xf>
    <xf numFmtId="38" fontId="17" fillId="6" borderId="0" xfId="2" applyFont="1" applyFill="1" applyAlignment="1">
      <alignment horizontal="center" vertical="center" wrapText="1"/>
    </xf>
    <xf numFmtId="14" fontId="8" fillId="6" borderId="0" xfId="0" applyNumberFormat="1" applyFont="1" applyFill="1" applyAlignment="1">
      <alignment horizontal="right" vertical="center"/>
    </xf>
    <xf numFmtId="177" fontId="8" fillId="6" borderId="0" xfId="0" applyNumberFormat="1" applyFont="1" applyFill="1" applyAlignment="1">
      <alignment horizontal="center" vertical="center"/>
    </xf>
    <xf numFmtId="14" fontId="8" fillId="6" borderId="0" xfId="0" applyNumberFormat="1" applyFont="1" applyFill="1" applyAlignment="1">
      <alignment horizontal="center" vertical="center"/>
    </xf>
    <xf numFmtId="14" fontId="18" fillId="6" borderId="0" xfId="0" applyNumberFormat="1" applyFont="1" applyFill="1" applyAlignment="1">
      <alignment horizontal="center" vertical="center"/>
    </xf>
    <xf numFmtId="0" fontId="13" fillId="6" borderId="0" xfId="0" applyFont="1" applyFill="1" applyAlignment="1">
      <alignment horizontal="center" vertical="center"/>
    </xf>
    <xf numFmtId="0" fontId="8" fillId="6" borderId="0" xfId="0" applyFont="1" applyFill="1" applyAlignment="1">
      <alignment horizontal="center" vertical="center"/>
    </xf>
    <xf numFmtId="38" fontId="8" fillId="6" borderId="0" xfId="1" applyNumberFormat="1" applyFont="1" applyFill="1" applyAlignment="1">
      <alignment horizontal="center" vertical="center"/>
    </xf>
    <xf numFmtId="0" fontId="8" fillId="6" borderId="0" xfId="0" applyFont="1" applyFill="1">
      <alignment vertical="center"/>
    </xf>
    <xf numFmtId="38" fontId="14" fillId="6" borderId="0" xfId="2" applyFont="1" applyFill="1" applyAlignment="1">
      <alignment horizontal="right" vertical="center"/>
    </xf>
    <xf numFmtId="178" fontId="14" fillId="6" borderId="0" xfId="2" applyNumberFormat="1" applyFont="1" applyFill="1" applyAlignment="1">
      <alignment horizontal="right" vertical="center"/>
    </xf>
    <xf numFmtId="0" fontId="20" fillId="0" borderId="0" xfId="0" applyFont="1">
      <alignment vertical="center"/>
    </xf>
    <xf numFmtId="0" fontId="22" fillId="0" borderId="0" xfId="0" applyFont="1">
      <alignment vertical="center"/>
    </xf>
    <xf numFmtId="0" fontId="22" fillId="0" borderId="0" xfId="0" applyFont="1" applyAlignment="1" applyProtection="1">
      <alignment horizontal="center" vertical="center"/>
      <protection locked="0"/>
    </xf>
    <xf numFmtId="0" fontId="23" fillId="0" borderId="0" xfId="0" applyFont="1" applyAlignment="1">
      <alignment horizontal="center" vertical="center"/>
    </xf>
    <xf numFmtId="0" fontId="24" fillId="0" borderId="0" xfId="0" applyFont="1" applyAlignment="1" applyProtection="1">
      <alignment horizontal="center"/>
      <protection locked="0"/>
    </xf>
    <xf numFmtId="0" fontId="22" fillId="0" borderId="0" xfId="0" applyFont="1" applyAlignment="1">
      <alignment horizontal="center" vertical="center"/>
    </xf>
    <xf numFmtId="0" fontId="23" fillId="0" borderId="0" xfId="0" applyFont="1">
      <alignment vertical="center"/>
    </xf>
    <xf numFmtId="0" fontId="25" fillId="0" borderId="0" xfId="0" applyFont="1">
      <alignment vertical="center"/>
    </xf>
    <xf numFmtId="0" fontId="26" fillId="0" borderId="0" xfId="0" applyFont="1">
      <alignment vertical="center"/>
    </xf>
    <xf numFmtId="0" fontId="21" fillId="0" borderId="0" xfId="0" applyFont="1">
      <alignment vertical="center"/>
    </xf>
    <xf numFmtId="0" fontId="27" fillId="0" borderId="0" xfId="0" applyFont="1">
      <alignment vertical="center"/>
    </xf>
    <xf numFmtId="40" fontId="8" fillId="0" borderId="0" xfId="1" applyFont="1" applyAlignment="1">
      <alignment horizontal="center" vertical="center"/>
    </xf>
    <xf numFmtId="0" fontId="8" fillId="0" borderId="0" xfId="0" applyFont="1" applyAlignment="1">
      <alignment horizontal="left" vertical="center" wrapText="1"/>
    </xf>
    <xf numFmtId="38" fontId="13" fillId="0" borderId="0" xfId="2" applyFont="1">
      <alignment vertical="center"/>
    </xf>
    <xf numFmtId="0" fontId="22" fillId="6" borderId="0" xfId="0" applyFont="1" applyFill="1" applyAlignment="1" applyProtection="1">
      <alignment horizontal="center" vertical="center"/>
      <protection locked="0"/>
    </xf>
    <xf numFmtId="14" fontId="8" fillId="4" borderId="0" xfId="0" applyNumberFormat="1" applyFont="1" applyFill="1" applyAlignment="1">
      <alignment horizontal="right" vertical="center"/>
    </xf>
    <xf numFmtId="38" fontId="14" fillId="4" borderId="0" xfId="2" applyFont="1" applyFill="1" applyAlignment="1">
      <alignment horizontal="right" vertical="center"/>
    </xf>
    <xf numFmtId="178" fontId="14" fillId="4" borderId="0" xfId="2" applyNumberFormat="1" applyFont="1" applyFill="1" applyAlignment="1">
      <alignment horizontal="right" vertical="center"/>
    </xf>
    <xf numFmtId="0" fontId="22" fillId="0" borderId="0" xfId="0" applyFont="1" applyAlignment="1" applyProtection="1">
      <alignment horizontal="left" vertical="center"/>
      <protection locked="0"/>
    </xf>
    <xf numFmtId="37" fontId="14" fillId="0" borderId="0" xfId="1" applyNumberFormat="1" applyFont="1" applyFill="1" applyAlignment="1">
      <alignment horizontal="center" vertical="center"/>
    </xf>
    <xf numFmtId="0" fontId="17" fillId="2" borderId="0" xfId="0" applyFont="1" applyFill="1" applyAlignment="1">
      <alignment horizontal="center" vertical="center" wrapText="1"/>
    </xf>
    <xf numFmtId="0" fontId="17" fillId="2" borderId="11"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8" fillId="8" borderId="0" xfId="0" applyFont="1" applyFill="1">
      <alignment vertical="center"/>
    </xf>
    <xf numFmtId="0" fontId="22" fillId="0" borderId="0" xfId="0" applyFont="1" applyAlignment="1">
      <alignment horizontal="right" vertical="center"/>
    </xf>
    <xf numFmtId="0" fontId="22" fillId="6" borderId="0" xfId="0" applyFont="1" applyFill="1" applyAlignment="1">
      <alignment horizontal="center" vertical="center"/>
    </xf>
    <xf numFmtId="38" fontId="24" fillId="0" borderId="0" xfId="1" applyNumberFormat="1" applyFont="1" applyAlignment="1">
      <alignment horizontal="right" vertical="center"/>
    </xf>
    <xf numFmtId="38" fontId="23" fillId="0" borderId="0" xfId="0" applyNumberFormat="1" applyFont="1" applyAlignment="1">
      <alignment horizontal="right" vertical="center"/>
    </xf>
    <xf numFmtId="38" fontId="23" fillId="0" borderId="0" xfId="0" applyNumberFormat="1" applyFont="1">
      <alignment vertical="center"/>
    </xf>
    <xf numFmtId="38" fontId="22" fillId="0" borderId="0" xfId="1" applyNumberFormat="1" applyFont="1" applyAlignment="1">
      <alignment horizontal="center" vertical="center"/>
    </xf>
    <xf numFmtId="40" fontId="22" fillId="0" borderId="0" xfId="1" applyFont="1" applyAlignment="1">
      <alignment horizontal="center" vertical="center"/>
    </xf>
    <xf numFmtId="14" fontId="22" fillId="6" borderId="0" xfId="0" applyNumberFormat="1" applyFont="1" applyFill="1" applyAlignment="1">
      <alignment horizontal="center" vertical="center"/>
    </xf>
    <xf numFmtId="38" fontId="22" fillId="6" borderId="0" xfId="1" applyNumberFormat="1" applyFont="1" applyFill="1" applyAlignment="1">
      <alignment horizontal="center" vertical="center"/>
    </xf>
    <xf numFmtId="14" fontId="22" fillId="0" borderId="0" xfId="0" applyNumberFormat="1" applyFont="1" applyAlignment="1">
      <alignment horizontal="center" vertical="center"/>
    </xf>
    <xf numFmtId="177" fontId="22" fillId="0" borderId="0" xfId="0" applyNumberFormat="1" applyFont="1" applyAlignment="1">
      <alignment horizontal="center" vertical="center"/>
    </xf>
    <xf numFmtId="38" fontId="22" fillId="0" borderId="0" xfId="1" applyNumberFormat="1" applyFont="1" applyFill="1">
      <alignment vertical="center"/>
    </xf>
    <xf numFmtId="38" fontId="24" fillId="0" borderId="0" xfId="1" applyNumberFormat="1" applyFont="1">
      <alignment vertical="center"/>
    </xf>
    <xf numFmtId="38" fontId="22" fillId="0" borderId="0" xfId="2" applyFont="1" applyAlignment="1">
      <alignment horizontal="center" vertical="center"/>
    </xf>
    <xf numFmtId="0" fontId="29" fillId="0" borderId="0" xfId="0" applyFont="1">
      <alignment vertical="center"/>
    </xf>
    <xf numFmtId="0" fontId="30" fillId="0" borderId="0" xfId="0" applyFont="1" applyAlignment="1">
      <alignment horizontal="center" vertical="center"/>
    </xf>
    <xf numFmtId="0" fontId="29" fillId="0" borderId="0" xfId="0" applyFont="1" applyAlignment="1" applyProtection="1">
      <alignment horizontal="center" vertical="center"/>
      <protection locked="0"/>
    </xf>
    <xf numFmtId="0" fontId="29" fillId="0" borderId="0" xfId="0" applyFont="1" applyAlignment="1">
      <alignment horizontal="center" vertical="center"/>
    </xf>
    <xf numFmtId="37" fontId="22" fillId="0" borderId="0" xfId="1" applyNumberFormat="1" applyFont="1" applyFill="1" applyAlignment="1">
      <alignment horizontal="center" vertical="center"/>
    </xf>
    <xf numFmtId="38" fontId="24" fillId="6" borderId="0" xfId="2" applyFont="1" applyFill="1" applyAlignment="1">
      <alignment horizontal="right" vertical="center"/>
    </xf>
    <xf numFmtId="0" fontId="22" fillId="8" borderId="0" xfId="0" applyFont="1" applyFill="1" applyAlignment="1" applyProtection="1">
      <alignment horizontal="left" vertical="center"/>
      <protection locked="0"/>
    </xf>
    <xf numFmtId="0" fontId="22" fillId="8" borderId="0" xfId="0" applyFont="1" applyFill="1">
      <alignment vertical="center"/>
    </xf>
    <xf numFmtId="0" fontId="26" fillId="8" borderId="0" xfId="0" applyFont="1" applyFill="1">
      <alignment vertical="center"/>
    </xf>
    <xf numFmtId="14" fontId="22" fillId="8" borderId="0" xfId="0" applyNumberFormat="1" applyFont="1" applyFill="1" applyAlignment="1">
      <alignment horizontal="right" vertical="center"/>
    </xf>
    <xf numFmtId="177" fontId="22" fillId="8" borderId="0" xfId="0" applyNumberFormat="1" applyFont="1" applyFill="1" applyAlignment="1">
      <alignment horizontal="center" vertical="center"/>
    </xf>
    <xf numFmtId="14" fontId="22" fillId="8" borderId="0" xfId="0" applyNumberFormat="1" applyFont="1" applyFill="1" applyAlignment="1">
      <alignment horizontal="center" vertical="center"/>
    </xf>
    <xf numFmtId="14" fontId="28" fillId="8" borderId="0" xfId="0" applyNumberFormat="1" applyFont="1" applyFill="1" applyAlignment="1">
      <alignment horizontal="center" vertical="center"/>
    </xf>
    <xf numFmtId="0" fontId="22" fillId="8" borderId="0" xfId="0" applyFont="1" applyFill="1" applyAlignment="1">
      <alignment horizontal="center" vertical="center"/>
    </xf>
    <xf numFmtId="38" fontId="22" fillId="8" borderId="0" xfId="1" applyNumberFormat="1" applyFont="1" applyFill="1" applyAlignment="1">
      <alignment horizontal="center" vertical="center"/>
    </xf>
    <xf numFmtId="38" fontId="24" fillId="8" borderId="0" xfId="1" applyNumberFormat="1" applyFont="1" applyFill="1" applyAlignment="1">
      <alignment horizontal="right" vertical="center"/>
    </xf>
    <xf numFmtId="38" fontId="23" fillId="8" borderId="0" xfId="0" applyNumberFormat="1" applyFont="1" applyFill="1" applyAlignment="1">
      <alignment horizontal="right" vertical="center"/>
    </xf>
    <xf numFmtId="38" fontId="23" fillId="8" borderId="0" xfId="0" applyNumberFormat="1" applyFont="1" applyFill="1">
      <alignment vertical="center"/>
    </xf>
    <xf numFmtId="38" fontId="14" fillId="8" borderId="0" xfId="2" applyFont="1" applyFill="1" applyAlignment="1">
      <alignment horizontal="right" vertical="center"/>
    </xf>
    <xf numFmtId="178" fontId="14" fillId="8" borderId="0" xfId="2" applyNumberFormat="1" applyFont="1" applyFill="1" applyAlignment="1">
      <alignment horizontal="right" vertical="center"/>
    </xf>
    <xf numFmtId="14" fontId="8" fillId="8" borderId="0" xfId="0" applyNumberFormat="1" applyFont="1" applyFill="1" applyAlignment="1">
      <alignment horizontal="right" vertical="center"/>
    </xf>
    <xf numFmtId="0" fontId="22" fillId="8" borderId="0" xfId="0" applyFont="1" applyFill="1" applyAlignment="1" applyProtection="1">
      <alignment horizontal="center" vertical="center"/>
      <protection locked="0"/>
    </xf>
    <xf numFmtId="37" fontId="24" fillId="8" borderId="0" xfId="1" applyNumberFormat="1" applyFont="1" applyFill="1" applyAlignment="1">
      <alignment horizontal="center" vertical="center"/>
    </xf>
    <xf numFmtId="0" fontId="22" fillId="8" borderId="0" xfId="0" applyFont="1" applyFill="1" applyAlignment="1">
      <alignment horizontal="righ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pplyAlignment="1">
      <alignment vertical="center" wrapText="1"/>
    </xf>
    <xf numFmtId="0" fontId="15" fillId="3" borderId="3" xfId="0" applyFont="1" applyFill="1" applyBorder="1" applyAlignment="1">
      <alignment horizontal="center" vertical="center"/>
    </xf>
    <xf numFmtId="38" fontId="22" fillId="8" borderId="0" xfId="1" applyNumberFormat="1" applyFont="1" applyFill="1" applyAlignment="1">
      <alignment horizontal="right" vertical="center"/>
    </xf>
    <xf numFmtId="38" fontId="22" fillId="8" borderId="0" xfId="0" applyNumberFormat="1" applyFont="1" applyFill="1" applyAlignment="1">
      <alignment horizontal="right" vertical="center"/>
    </xf>
    <xf numFmtId="38" fontId="22" fillId="8" borderId="0" xfId="0" applyNumberFormat="1" applyFont="1" applyFill="1">
      <alignment vertical="center"/>
    </xf>
    <xf numFmtId="38" fontId="24" fillId="8" borderId="0" xfId="2" applyFont="1" applyFill="1" applyAlignment="1">
      <alignment horizontal="right" vertical="center"/>
    </xf>
    <xf numFmtId="3" fontId="24" fillId="8" borderId="0" xfId="0" applyNumberFormat="1" applyFont="1" applyFill="1">
      <alignment vertical="center"/>
    </xf>
    <xf numFmtId="38" fontId="8" fillId="8" borderId="0" xfId="2" applyFont="1" applyFill="1" applyAlignment="1">
      <alignment horizontal="right" vertical="center"/>
    </xf>
    <xf numFmtId="178" fontId="8" fillId="8" borderId="0" xfId="2" applyNumberFormat="1" applyFont="1" applyFill="1" applyAlignment="1">
      <alignment horizontal="right" vertical="center"/>
    </xf>
    <xf numFmtId="37" fontId="22" fillId="8" borderId="0" xfId="1" applyNumberFormat="1" applyFont="1" applyFill="1" applyAlignment="1">
      <alignment horizontal="center" vertical="center"/>
    </xf>
    <xf numFmtId="14" fontId="8" fillId="8" borderId="0" xfId="0" applyNumberFormat="1" applyFont="1" applyFill="1" applyAlignment="1">
      <alignment horizontal="center" vertical="center"/>
    </xf>
    <xf numFmtId="0" fontId="15" fillId="3" borderId="7" xfId="0" applyFont="1" applyFill="1" applyBorder="1" applyAlignment="1">
      <alignment horizontal="center" vertical="center"/>
    </xf>
    <xf numFmtId="38" fontId="23" fillId="0" borderId="0" xfId="0" applyNumberFormat="1" applyFont="1" applyAlignment="1">
      <alignment horizontal="center"/>
    </xf>
    <xf numFmtId="38" fontId="13" fillId="0" borderId="0" xfId="0" applyNumberFormat="1" applyFont="1" applyAlignment="1">
      <alignment horizontal="center" vertical="center"/>
    </xf>
    <xf numFmtId="0" fontId="18" fillId="0" borderId="0" xfId="0" applyFont="1">
      <alignment vertical="center"/>
    </xf>
    <xf numFmtId="0" fontId="18" fillId="0" borderId="0" xfId="0" applyFont="1" applyAlignment="1" applyProtection="1">
      <alignment horizontal="center" vertical="center"/>
      <protection locked="0"/>
    </xf>
    <xf numFmtId="0" fontId="40" fillId="0" borderId="0" xfId="0" applyFont="1">
      <alignment vertical="center"/>
    </xf>
    <xf numFmtId="0" fontId="22" fillId="0" borderId="17" xfId="0" applyFont="1" applyBorder="1" applyAlignment="1" applyProtection="1">
      <alignment horizontal="left" vertical="center"/>
      <protection locked="0"/>
    </xf>
    <xf numFmtId="0" fontId="22" fillId="0" borderId="17" xfId="0" applyFont="1" applyBorder="1">
      <alignment vertical="center"/>
    </xf>
    <xf numFmtId="0" fontId="22" fillId="0" borderId="17" xfId="0" applyFont="1" applyBorder="1" applyAlignment="1">
      <alignment horizontal="center" vertical="center"/>
    </xf>
    <xf numFmtId="0" fontId="22" fillId="6" borderId="17" xfId="0" applyFont="1" applyFill="1" applyBorder="1" applyAlignment="1">
      <alignment horizontal="center" vertical="center"/>
    </xf>
    <xf numFmtId="38" fontId="22" fillId="6" borderId="17" xfId="1" applyNumberFormat="1" applyFont="1" applyFill="1" applyBorder="1" applyAlignment="1">
      <alignment horizontal="center" vertical="center"/>
    </xf>
    <xf numFmtId="38" fontId="24" fillId="0" borderId="17" xfId="1" applyNumberFormat="1" applyFont="1" applyBorder="1" applyAlignment="1">
      <alignment horizontal="right" vertical="center"/>
    </xf>
    <xf numFmtId="38" fontId="23" fillId="0" borderId="17" xfId="0" applyNumberFormat="1" applyFont="1" applyBorder="1" applyAlignment="1">
      <alignment horizontal="right" vertical="center"/>
    </xf>
    <xf numFmtId="38" fontId="23" fillId="0" borderId="17" xfId="0" applyNumberFormat="1" applyFont="1" applyBorder="1">
      <alignment vertical="center"/>
    </xf>
    <xf numFmtId="38" fontId="22" fillId="0" borderId="17" xfId="1" applyNumberFormat="1" applyFont="1" applyBorder="1" applyAlignment="1">
      <alignment horizontal="center" vertical="center"/>
    </xf>
    <xf numFmtId="38" fontId="14" fillId="6" borderId="17" xfId="2" applyFont="1" applyFill="1" applyBorder="1" applyAlignment="1">
      <alignment horizontal="right" vertical="center"/>
    </xf>
    <xf numFmtId="178" fontId="14" fillId="6" borderId="17" xfId="2" applyNumberFormat="1" applyFont="1" applyFill="1" applyBorder="1" applyAlignment="1">
      <alignment horizontal="right" vertical="center"/>
    </xf>
    <xf numFmtId="14" fontId="8" fillId="6" borderId="17" xfId="0" applyNumberFormat="1" applyFont="1" applyFill="1" applyBorder="1" applyAlignment="1">
      <alignment horizontal="right" vertical="center"/>
    </xf>
    <xf numFmtId="0" fontId="8" fillId="0" borderId="17" xfId="0" applyFont="1" applyBorder="1">
      <alignment vertical="center"/>
    </xf>
    <xf numFmtId="0" fontId="26" fillId="0" borderId="17" xfId="0" applyFont="1" applyBorder="1">
      <alignment vertical="center"/>
    </xf>
    <xf numFmtId="14" fontId="22" fillId="0" borderId="17" xfId="0" applyNumberFormat="1" applyFont="1" applyBorder="1" applyAlignment="1">
      <alignment horizontal="center" vertical="center"/>
    </xf>
    <xf numFmtId="38" fontId="23" fillId="0" borderId="17" xfId="0" applyNumberFormat="1" applyFont="1" applyBorder="1" applyAlignment="1">
      <alignment horizontal="center"/>
    </xf>
    <xf numFmtId="40" fontId="22" fillId="0" borderId="17" xfId="1" applyFont="1" applyBorder="1" applyAlignment="1">
      <alignment horizontal="center" vertical="center"/>
    </xf>
    <xf numFmtId="38" fontId="24" fillId="0" borderId="0" xfId="1" applyNumberFormat="1" applyFont="1" applyBorder="1" applyAlignment="1">
      <alignment horizontal="right" vertical="center"/>
    </xf>
    <xf numFmtId="40" fontId="22" fillId="0" borderId="0" xfId="1" applyFont="1" applyBorder="1" applyAlignment="1">
      <alignment horizontal="center" vertical="center"/>
    </xf>
    <xf numFmtId="0" fontId="42" fillId="0" borderId="0" xfId="0" applyFont="1">
      <alignment vertical="center"/>
    </xf>
    <xf numFmtId="0" fontId="43" fillId="11" borderId="0" xfId="0" applyFont="1" applyFill="1">
      <alignment vertical="center"/>
    </xf>
    <xf numFmtId="0" fontId="44" fillId="11" borderId="0" xfId="0" applyFont="1" applyFill="1">
      <alignment vertical="center"/>
    </xf>
    <xf numFmtId="0" fontId="45" fillId="11" borderId="0" xfId="0" applyFont="1" applyFill="1">
      <alignment vertical="center"/>
    </xf>
    <xf numFmtId="0" fontId="45" fillId="11" borderId="19" xfId="0" applyFont="1" applyFill="1" applyBorder="1">
      <alignment vertical="center"/>
    </xf>
    <xf numFmtId="0" fontId="46" fillId="11" borderId="19" xfId="0" applyFont="1" applyFill="1" applyBorder="1">
      <alignment vertical="center"/>
    </xf>
    <xf numFmtId="0" fontId="46" fillId="11" borderId="0" xfId="0" applyFont="1" applyFill="1">
      <alignment vertical="center"/>
    </xf>
    <xf numFmtId="0" fontId="46" fillId="12" borderId="33" xfId="0" applyFont="1" applyFill="1" applyBorder="1" applyAlignment="1">
      <alignment vertical="center" wrapText="1"/>
    </xf>
    <xf numFmtId="0" fontId="46" fillId="13" borderId="33" xfId="0" applyFont="1" applyFill="1" applyBorder="1" applyAlignment="1">
      <alignment vertical="center" wrapText="1"/>
    </xf>
    <xf numFmtId="0" fontId="48" fillId="12" borderId="34" xfId="0" applyFont="1" applyFill="1" applyBorder="1" applyAlignment="1">
      <alignment vertical="center" wrapText="1"/>
    </xf>
    <xf numFmtId="0" fontId="42" fillId="15" borderId="35" xfId="0" applyFont="1" applyFill="1" applyBorder="1">
      <alignment vertical="center"/>
    </xf>
    <xf numFmtId="0" fontId="42" fillId="15" borderId="33" xfId="0" applyFont="1" applyFill="1" applyBorder="1">
      <alignment vertical="center"/>
    </xf>
    <xf numFmtId="0" fontId="42" fillId="16" borderId="33" xfId="0" applyFont="1" applyFill="1" applyBorder="1">
      <alignment vertical="center"/>
    </xf>
    <xf numFmtId="0" fontId="42" fillId="13" borderId="33" xfId="0" applyFont="1" applyFill="1" applyBorder="1">
      <alignment vertical="center"/>
    </xf>
    <xf numFmtId="0" fontId="42" fillId="15" borderId="19" xfId="0" applyFont="1" applyFill="1" applyBorder="1">
      <alignment vertical="center"/>
    </xf>
    <xf numFmtId="0" fontId="42" fillId="0" borderId="36" xfId="0" applyFont="1" applyBorder="1">
      <alignment vertical="center"/>
    </xf>
    <xf numFmtId="0" fontId="42" fillId="0" borderId="37" xfId="0" applyFont="1" applyBorder="1">
      <alignment vertical="center"/>
    </xf>
    <xf numFmtId="0" fontId="42" fillId="0" borderId="38" xfId="0" applyFont="1" applyBorder="1">
      <alignment vertical="center"/>
    </xf>
    <xf numFmtId="0" fontId="42" fillId="0" borderId="38" xfId="0" quotePrefix="1" applyFont="1" applyBorder="1">
      <alignment vertical="center"/>
    </xf>
    <xf numFmtId="15" fontId="24" fillId="0" borderId="39" xfId="0" applyNumberFormat="1" applyFont="1" applyBorder="1">
      <alignment vertical="center"/>
    </xf>
    <xf numFmtId="0" fontId="24" fillId="0" borderId="24" xfId="0" applyFont="1" applyBorder="1">
      <alignment vertical="center"/>
    </xf>
    <xf numFmtId="0" fontId="42" fillId="0" borderId="40" xfId="0" applyFont="1" applyBorder="1">
      <alignment vertical="center"/>
    </xf>
    <xf numFmtId="0" fontId="42" fillId="0" borderId="41" xfId="0" applyFont="1" applyBorder="1">
      <alignment vertical="center"/>
    </xf>
    <xf numFmtId="0" fontId="42" fillId="11" borderId="37" xfId="0" applyFont="1" applyFill="1" applyBorder="1">
      <alignment vertical="center"/>
    </xf>
    <xf numFmtId="0" fontId="42" fillId="0" borderId="37" xfId="0" quotePrefix="1" applyFont="1" applyBorder="1">
      <alignment vertical="center"/>
    </xf>
    <xf numFmtId="0" fontId="24" fillId="0" borderId="19" xfId="0" applyFont="1" applyBorder="1">
      <alignment vertical="center"/>
    </xf>
    <xf numFmtId="15" fontId="24" fillId="0" borderId="19" xfId="0" applyNumberFormat="1" applyFont="1" applyBorder="1">
      <alignment vertical="center"/>
    </xf>
    <xf numFmtId="0" fontId="24" fillId="0" borderId="42" xfId="0" applyFont="1" applyBorder="1">
      <alignment vertical="center"/>
    </xf>
    <xf numFmtId="0" fontId="42" fillId="0" borderId="43" xfId="0" applyFont="1" applyBorder="1">
      <alignment vertical="center"/>
    </xf>
    <xf numFmtId="0" fontId="42" fillId="17" borderId="33" xfId="0" applyFont="1" applyFill="1" applyBorder="1">
      <alignment vertical="center"/>
    </xf>
    <xf numFmtId="0" fontId="34" fillId="0" borderId="19" xfId="0" applyFont="1" applyBorder="1">
      <alignment vertical="center"/>
    </xf>
    <xf numFmtId="0" fontId="34" fillId="0" borderId="42" xfId="0" applyFont="1" applyBorder="1">
      <alignment vertical="center"/>
    </xf>
    <xf numFmtId="0" fontId="49" fillId="9" borderId="37" xfId="0" applyFont="1" applyFill="1" applyBorder="1">
      <alignment vertical="center"/>
    </xf>
    <xf numFmtId="0" fontId="42" fillId="18" borderId="35" xfId="0" applyFont="1" applyFill="1" applyBorder="1">
      <alignment vertical="center"/>
    </xf>
    <xf numFmtId="0" fontId="42" fillId="18" borderId="33" xfId="0" applyFont="1" applyFill="1" applyBorder="1">
      <alignment vertical="center"/>
    </xf>
    <xf numFmtId="0" fontId="42" fillId="18" borderId="19" xfId="0" applyFont="1" applyFill="1" applyBorder="1">
      <alignment vertical="center"/>
    </xf>
    <xf numFmtId="0" fontId="42" fillId="0" borderId="44" xfId="0" applyFont="1" applyBorder="1">
      <alignment vertical="center"/>
    </xf>
    <xf numFmtId="0" fontId="42" fillId="0" borderId="45" xfId="0" applyFont="1" applyBorder="1">
      <alignment vertical="center"/>
    </xf>
    <xf numFmtId="0" fontId="42" fillId="0" borderId="45" xfId="0" quotePrefix="1" applyFont="1" applyBorder="1">
      <alignment vertical="center"/>
    </xf>
    <xf numFmtId="15" fontId="24" fillId="0" borderId="46" xfId="0" applyNumberFormat="1" applyFont="1" applyBorder="1">
      <alignment vertical="center"/>
    </xf>
    <xf numFmtId="0" fontId="24" fillId="0" borderId="47" xfId="0" applyFont="1" applyBorder="1">
      <alignment vertical="center"/>
    </xf>
    <xf numFmtId="0" fontId="42" fillId="0" borderId="48" xfId="0" applyFont="1" applyBorder="1">
      <alignment vertical="center"/>
    </xf>
    <xf numFmtId="0" fontId="46" fillId="0" borderId="39" xfId="0" applyFont="1" applyBorder="1">
      <alignment vertical="center"/>
    </xf>
    <xf numFmtId="4" fontId="46" fillId="0" borderId="49" xfId="0" applyNumberFormat="1" applyFont="1" applyBorder="1">
      <alignment vertical="center"/>
    </xf>
    <xf numFmtId="0" fontId="46" fillId="0" borderId="19" xfId="0" applyFont="1" applyBorder="1">
      <alignment vertical="center"/>
    </xf>
    <xf numFmtId="0" fontId="46" fillId="12" borderId="51" xfId="0" applyFont="1" applyFill="1" applyBorder="1" applyAlignment="1">
      <alignment vertical="center" wrapText="1"/>
    </xf>
    <xf numFmtId="2" fontId="22" fillId="8" borderId="0" xfId="0" applyNumberFormat="1" applyFont="1" applyFill="1" applyAlignment="1">
      <alignment horizontal="right" vertical="center"/>
    </xf>
    <xf numFmtId="38" fontId="23" fillId="8" borderId="0" xfId="0" applyNumberFormat="1" applyFont="1" applyFill="1" applyAlignment="1">
      <alignment horizontal="center" vertical="center"/>
    </xf>
    <xf numFmtId="0" fontId="34" fillId="8" borderId="0" xfId="0" applyFont="1" applyFill="1" applyAlignment="1">
      <alignment horizontal="center" vertical="center"/>
    </xf>
    <xf numFmtId="38" fontId="24" fillId="8" borderId="0" xfId="2" applyFont="1" applyFill="1" applyAlignment="1">
      <alignment horizontal="center" vertical="center"/>
    </xf>
    <xf numFmtId="0" fontId="22" fillId="8" borderId="17" xfId="0" applyFont="1" applyFill="1" applyBorder="1" applyAlignment="1" applyProtection="1">
      <alignment horizontal="left" vertical="center"/>
      <protection locked="0"/>
    </xf>
    <xf numFmtId="0" fontId="22" fillId="8" borderId="17" xfId="0" applyFont="1" applyFill="1" applyBorder="1">
      <alignment vertical="center"/>
    </xf>
    <xf numFmtId="0" fontId="26" fillId="8" borderId="17" xfId="0" applyFont="1" applyFill="1" applyBorder="1">
      <alignment vertical="center"/>
    </xf>
    <xf numFmtId="0" fontId="22" fillId="8" borderId="17" xfId="0" applyFont="1" applyFill="1" applyBorder="1" applyAlignment="1">
      <alignment horizontal="center" vertical="center"/>
    </xf>
    <xf numFmtId="14" fontId="22" fillId="8" borderId="17" xfId="0" applyNumberFormat="1" applyFont="1" applyFill="1" applyBorder="1" applyAlignment="1">
      <alignment horizontal="center" vertical="center"/>
    </xf>
    <xf numFmtId="2" fontId="22" fillId="8" borderId="17" xfId="0" applyNumberFormat="1" applyFont="1" applyFill="1" applyBorder="1" applyAlignment="1">
      <alignment horizontal="right" vertical="center"/>
    </xf>
    <xf numFmtId="177" fontId="22" fillId="8" borderId="17" xfId="0" applyNumberFormat="1" applyFont="1" applyFill="1" applyBorder="1" applyAlignment="1">
      <alignment horizontal="center" vertical="center"/>
    </xf>
    <xf numFmtId="14" fontId="28" fillId="8" borderId="17" xfId="0" applyNumberFormat="1" applyFont="1" applyFill="1" applyBorder="1" applyAlignment="1">
      <alignment horizontal="center" vertical="center"/>
    </xf>
    <xf numFmtId="38" fontId="24" fillId="8" borderId="17" xfId="1" applyNumberFormat="1" applyFont="1" applyFill="1" applyBorder="1" applyAlignment="1">
      <alignment horizontal="right" vertical="center"/>
    </xf>
    <xf numFmtId="38" fontId="23" fillId="8" borderId="17" xfId="0" applyNumberFormat="1" applyFont="1" applyFill="1" applyBorder="1" applyAlignment="1">
      <alignment horizontal="right" vertical="center"/>
    </xf>
    <xf numFmtId="38" fontId="23" fillId="8" borderId="17" xfId="0" applyNumberFormat="1" applyFont="1" applyFill="1" applyBorder="1">
      <alignment vertical="center"/>
    </xf>
    <xf numFmtId="38" fontId="23" fillId="8" borderId="17" xfId="0" applyNumberFormat="1" applyFont="1" applyFill="1" applyBorder="1" applyAlignment="1">
      <alignment horizontal="center" vertical="center"/>
    </xf>
    <xf numFmtId="38" fontId="22" fillId="8" borderId="17" xfId="1" applyNumberFormat="1" applyFont="1" applyFill="1" applyBorder="1" applyAlignment="1">
      <alignment horizontal="center" vertical="center"/>
    </xf>
    <xf numFmtId="38" fontId="24" fillId="8" borderId="17" xfId="2" applyFont="1" applyFill="1" applyBorder="1" applyAlignment="1">
      <alignment horizontal="center" vertical="center"/>
    </xf>
    <xf numFmtId="3" fontId="24" fillId="8" borderId="17" xfId="0" applyNumberFormat="1" applyFont="1" applyFill="1" applyBorder="1">
      <alignment vertical="center"/>
    </xf>
    <xf numFmtId="38" fontId="14" fillId="8" borderId="17" xfId="2" applyFont="1" applyFill="1" applyBorder="1" applyAlignment="1">
      <alignment horizontal="right" vertical="center"/>
    </xf>
    <xf numFmtId="178" fontId="14" fillId="8" borderId="17" xfId="2" applyNumberFormat="1" applyFont="1" applyFill="1" applyBorder="1" applyAlignment="1">
      <alignment horizontal="right" vertical="center"/>
    </xf>
    <xf numFmtId="14" fontId="8" fillId="8" borderId="17" xfId="0" applyNumberFormat="1" applyFont="1" applyFill="1" applyBorder="1" applyAlignment="1">
      <alignment horizontal="right" vertical="center"/>
    </xf>
    <xf numFmtId="0" fontId="22" fillId="8" borderId="17" xfId="0" applyFont="1" applyFill="1" applyBorder="1" applyAlignment="1" applyProtection="1">
      <alignment horizontal="center" vertical="center"/>
      <protection locked="0"/>
    </xf>
    <xf numFmtId="37" fontId="22" fillId="8" borderId="17" xfId="1" applyNumberFormat="1" applyFont="1" applyFill="1" applyBorder="1" applyAlignment="1">
      <alignment horizontal="center" vertical="center"/>
    </xf>
    <xf numFmtId="0" fontId="22" fillId="8" borderId="17" xfId="0" applyFont="1" applyFill="1" applyBorder="1" applyAlignment="1">
      <alignment horizontal="right" vertical="center"/>
    </xf>
    <xf numFmtId="0" fontId="51" fillId="0" borderId="0" xfId="0" applyFont="1">
      <alignment vertical="center"/>
    </xf>
    <xf numFmtId="0" fontId="51" fillId="0" borderId="0" xfId="0" applyFont="1" applyAlignment="1">
      <alignment horizontal="center" vertical="center"/>
    </xf>
    <xf numFmtId="0" fontId="51" fillId="6" borderId="0" xfId="0" applyFont="1" applyFill="1" applyAlignment="1">
      <alignment horizontal="center" vertical="center"/>
    </xf>
    <xf numFmtId="38" fontId="51" fillId="6" borderId="0" xfId="1" applyNumberFormat="1" applyFont="1" applyFill="1" applyAlignment="1">
      <alignment horizontal="center" vertical="center"/>
    </xf>
    <xf numFmtId="14" fontId="51" fillId="0" borderId="0" xfId="0" applyNumberFormat="1" applyFont="1" applyAlignment="1">
      <alignment horizontal="center" vertical="center"/>
    </xf>
    <xf numFmtId="38" fontId="51" fillId="0" borderId="0" xfId="1" applyNumberFormat="1" applyFont="1" applyAlignment="1">
      <alignment horizontal="right" vertical="center"/>
    </xf>
    <xf numFmtId="38" fontId="51" fillId="0" borderId="0" xfId="0" applyNumberFormat="1" applyFont="1" applyAlignment="1">
      <alignment horizontal="right" vertical="center"/>
    </xf>
    <xf numFmtId="38" fontId="52" fillId="0" borderId="0" xfId="0" applyNumberFormat="1" applyFont="1">
      <alignment vertical="center"/>
    </xf>
    <xf numFmtId="38" fontId="52" fillId="0" borderId="0" xfId="0" applyNumberFormat="1" applyFont="1" applyAlignment="1">
      <alignment horizontal="right" vertical="center"/>
    </xf>
    <xf numFmtId="38" fontId="52" fillId="0" borderId="0" xfId="0" applyNumberFormat="1" applyFont="1" applyAlignment="1">
      <alignment horizontal="center" vertical="center"/>
    </xf>
    <xf numFmtId="38" fontId="51" fillId="0" borderId="0" xfId="1" applyNumberFormat="1" applyFont="1" applyAlignment="1">
      <alignment horizontal="center" vertical="center"/>
    </xf>
    <xf numFmtId="37" fontId="51" fillId="0" borderId="0" xfId="1" applyNumberFormat="1" applyFont="1" applyFill="1" applyAlignment="1">
      <alignment horizontal="center" vertical="center"/>
    </xf>
    <xf numFmtId="0" fontId="55" fillId="0" borderId="0" xfId="0" applyFont="1" applyAlignment="1">
      <alignment horizontal="left" vertical="center"/>
    </xf>
    <xf numFmtId="0" fontId="55" fillId="0" borderId="0" xfId="0" applyFont="1">
      <alignment vertical="center"/>
    </xf>
    <xf numFmtId="0" fontId="54" fillId="0" borderId="0" xfId="0" applyFont="1">
      <alignment vertical="center"/>
    </xf>
    <xf numFmtId="0" fontId="51" fillId="0" borderId="17" xfId="0" applyFont="1" applyBorder="1">
      <alignment vertical="center"/>
    </xf>
    <xf numFmtId="0" fontId="51" fillId="0" borderId="17" xfId="0" applyFont="1" applyBorder="1" applyAlignment="1">
      <alignment horizontal="center" vertical="center"/>
    </xf>
    <xf numFmtId="0" fontId="51" fillId="6" borderId="17" xfId="0" applyFont="1" applyFill="1" applyBorder="1" applyAlignment="1">
      <alignment horizontal="center" vertical="center"/>
    </xf>
    <xf numFmtId="38" fontId="52" fillId="0" borderId="17" xfId="0" applyNumberFormat="1" applyFont="1" applyBorder="1" applyAlignment="1">
      <alignment horizontal="right" vertical="center"/>
    </xf>
    <xf numFmtId="38" fontId="52" fillId="0" borderId="17" xfId="0" applyNumberFormat="1" applyFont="1" applyBorder="1">
      <alignment vertical="center"/>
    </xf>
    <xf numFmtId="38" fontId="52" fillId="0" borderId="17" xfId="0" applyNumberFormat="1" applyFont="1" applyBorder="1" applyAlignment="1">
      <alignment horizontal="center" vertical="center"/>
    </xf>
    <xf numFmtId="38" fontId="51" fillId="0" borderId="17" xfId="1" applyNumberFormat="1" applyFont="1" applyBorder="1" applyAlignment="1">
      <alignment horizontal="center" vertical="center"/>
    </xf>
    <xf numFmtId="37" fontId="51" fillId="0" borderId="17" xfId="1" applyNumberFormat="1" applyFont="1" applyFill="1" applyBorder="1" applyAlignment="1">
      <alignment horizontal="center" vertical="center"/>
    </xf>
    <xf numFmtId="0" fontId="55" fillId="0" borderId="17" xfId="0" applyFont="1" applyBorder="1">
      <alignment vertical="center"/>
    </xf>
    <xf numFmtId="38" fontId="55" fillId="0" borderId="0" xfId="1" applyNumberFormat="1" applyFont="1">
      <alignment vertical="center"/>
    </xf>
    <xf numFmtId="38" fontId="56" fillId="0" borderId="0" xfId="0" applyNumberFormat="1" applyFont="1">
      <alignment vertical="center"/>
    </xf>
    <xf numFmtId="4" fontId="50" fillId="8" borderId="0" xfId="0" applyNumberFormat="1" applyFont="1" applyFill="1" applyAlignment="1">
      <alignment vertical="center" wrapText="1"/>
    </xf>
    <xf numFmtId="4" fontId="50" fillId="8" borderId="17" xfId="0" applyNumberFormat="1" applyFont="1" applyFill="1" applyBorder="1" applyAlignment="1">
      <alignment vertical="center" wrapText="1"/>
    </xf>
    <xf numFmtId="0" fontId="22" fillId="0" borderId="0" xfId="0" applyFont="1" applyAlignment="1" applyProtection="1">
      <alignment horizontal="left" vertical="center" wrapText="1"/>
      <protection locked="0"/>
    </xf>
    <xf numFmtId="0" fontId="29" fillId="0" borderId="0" xfId="0" applyFont="1" applyAlignment="1" applyProtection="1">
      <alignment horizontal="center" vertical="center" wrapText="1"/>
      <protection locked="0"/>
    </xf>
    <xf numFmtId="0" fontId="22" fillId="0" borderId="0" xfId="0" applyFont="1" applyAlignment="1" applyProtection="1">
      <alignment horizontal="center" vertical="center" wrapText="1"/>
      <protection locked="0"/>
    </xf>
    <xf numFmtId="38" fontId="8" fillId="6" borderId="17" xfId="1" applyNumberFormat="1" applyFont="1" applyFill="1" applyBorder="1" applyAlignment="1">
      <alignment horizontal="center" vertical="center"/>
    </xf>
    <xf numFmtId="0" fontId="8" fillId="0" borderId="17" xfId="0" applyFont="1" applyBorder="1" applyAlignment="1">
      <alignment horizontal="left" vertical="center"/>
    </xf>
    <xf numFmtId="0" fontId="6" fillId="0" borderId="0" xfId="0" applyFont="1">
      <alignment vertical="center"/>
    </xf>
    <xf numFmtId="0" fontId="6" fillId="0" borderId="0" xfId="0" applyFont="1" applyAlignment="1">
      <alignment horizontal="center" vertical="center"/>
    </xf>
    <xf numFmtId="3" fontId="24" fillId="6" borderId="0" xfId="0" applyNumberFormat="1" applyFont="1" applyFill="1" applyAlignment="1">
      <alignment horizontal="center" vertical="center"/>
    </xf>
    <xf numFmtId="38" fontId="50" fillId="0" borderId="0" xfId="1" applyNumberFormat="1" applyFont="1" applyAlignment="1">
      <alignment horizontal="right" vertical="center"/>
    </xf>
    <xf numFmtId="38" fontId="51" fillId="6" borderId="17" xfId="1" applyNumberFormat="1" applyFont="1" applyFill="1" applyBorder="1" applyAlignment="1">
      <alignment horizontal="center" vertical="center"/>
    </xf>
    <xf numFmtId="38" fontId="50" fillId="0" borderId="17" xfId="1" applyNumberFormat="1" applyFont="1" applyBorder="1" applyAlignment="1">
      <alignment horizontal="right" vertical="center"/>
    </xf>
    <xf numFmtId="38" fontId="22" fillId="6" borderId="0" xfId="1" applyNumberFormat="1" applyFont="1" applyFill="1" applyBorder="1" applyAlignment="1">
      <alignment horizontal="center" vertical="center"/>
    </xf>
    <xf numFmtId="38" fontId="15" fillId="3" borderId="5" xfId="1" applyNumberFormat="1" applyFont="1" applyFill="1" applyBorder="1">
      <alignment vertical="center"/>
    </xf>
    <xf numFmtId="38" fontId="15" fillId="3" borderId="7" xfId="1" applyNumberFormat="1" applyFont="1" applyFill="1" applyBorder="1">
      <alignment vertical="center"/>
    </xf>
    <xf numFmtId="38" fontId="15" fillId="3" borderId="8" xfId="1" applyNumberFormat="1" applyFont="1" applyFill="1" applyBorder="1">
      <alignment vertical="center"/>
    </xf>
    <xf numFmtId="0" fontId="8" fillId="0" borderId="0" xfId="0" applyFont="1" applyAlignment="1" applyProtection="1">
      <alignment horizontal="center" vertical="center" wrapText="1"/>
      <protection locked="0"/>
    </xf>
    <xf numFmtId="0" fontId="8" fillId="0" borderId="0" xfId="0" quotePrefix="1" applyFont="1" applyAlignment="1">
      <alignment vertical="center" wrapText="1"/>
    </xf>
    <xf numFmtId="0" fontId="24" fillId="0" borderId="0" xfId="0" applyFont="1" applyAlignment="1" applyProtection="1">
      <alignment horizontal="left" vertical="center"/>
      <protection locked="0"/>
    </xf>
    <xf numFmtId="0" fontId="24" fillId="8" borderId="0" xfId="0" applyFont="1" applyFill="1">
      <alignment vertical="center"/>
    </xf>
    <xf numFmtId="3" fontId="24" fillId="8" borderId="0" xfId="0" applyNumberFormat="1" applyFont="1" applyFill="1" applyAlignment="1">
      <alignment horizontal="center" vertical="center"/>
    </xf>
    <xf numFmtId="0" fontId="34" fillId="8" borderId="17" xfId="0" applyFont="1" applyFill="1" applyBorder="1" applyAlignment="1">
      <alignment horizontal="center" vertical="center"/>
    </xf>
    <xf numFmtId="0" fontId="24" fillId="8" borderId="17" xfId="0" applyFont="1" applyFill="1" applyBorder="1">
      <alignment vertical="center"/>
    </xf>
    <xf numFmtId="3" fontId="24" fillId="8" borderId="17" xfId="0" applyNumberFormat="1" applyFont="1" applyFill="1" applyBorder="1" applyAlignment="1">
      <alignment horizontal="center" vertical="center"/>
    </xf>
    <xf numFmtId="177" fontId="8" fillId="6" borderId="17" xfId="0" applyNumberFormat="1" applyFont="1" applyFill="1" applyBorder="1" applyAlignment="1">
      <alignment horizontal="center" vertical="center"/>
    </xf>
    <xf numFmtId="14" fontId="8" fillId="6" borderId="17" xfId="0" applyNumberFormat="1" applyFont="1" applyFill="1" applyBorder="1" applyAlignment="1">
      <alignment horizontal="center" vertical="center"/>
    </xf>
    <xf numFmtId="14" fontId="18" fillId="6" borderId="17" xfId="0" applyNumberFormat="1" applyFont="1" applyFill="1" applyBorder="1" applyAlignment="1">
      <alignment horizontal="center" vertical="center"/>
    </xf>
    <xf numFmtId="0" fontId="8" fillId="0" borderId="17" xfId="0" applyFont="1" applyBorder="1" applyAlignment="1">
      <alignment horizontal="center" vertical="center"/>
    </xf>
    <xf numFmtId="0" fontId="8" fillId="6" borderId="17" xfId="0" applyFont="1" applyFill="1" applyBorder="1">
      <alignment vertical="center"/>
    </xf>
    <xf numFmtId="0" fontId="8" fillId="6" borderId="17" xfId="0" applyFont="1" applyFill="1" applyBorder="1" applyAlignment="1">
      <alignment horizontal="center" vertical="center"/>
    </xf>
    <xf numFmtId="14" fontId="8" fillId="0" borderId="17" xfId="0" applyNumberFormat="1" applyFont="1" applyBorder="1" applyAlignment="1">
      <alignment horizontal="center" vertical="center"/>
    </xf>
    <xf numFmtId="38" fontId="14" fillId="0" borderId="17" xfId="1" applyNumberFormat="1" applyFont="1" applyBorder="1" applyAlignment="1">
      <alignment horizontal="right" vertical="center"/>
    </xf>
    <xf numFmtId="38" fontId="13" fillId="0" borderId="17" xfId="0" applyNumberFormat="1" applyFont="1" applyBorder="1" applyAlignment="1">
      <alignment horizontal="right" vertical="center"/>
    </xf>
    <xf numFmtId="38" fontId="13" fillId="0" borderId="17" xfId="0" applyNumberFormat="1" applyFont="1" applyBorder="1">
      <alignment vertical="center"/>
    </xf>
    <xf numFmtId="38" fontId="8" fillId="0" borderId="17" xfId="1" applyNumberFormat="1" applyFont="1" applyBorder="1" applyAlignment="1">
      <alignment horizontal="center" vertical="center"/>
    </xf>
    <xf numFmtId="37" fontId="14" fillId="0" borderId="17" xfId="1" applyNumberFormat="1" applyFont="1" applyFill="1" applyBorder="1" applyAlignment="1">
      <alignment horizontal="center" vertical="center"/>
    </xf>
    <xf numFmtId="0" fontId="8" fillId="0" borderId="17" xfId="0" applyFont="1" applyBorder="1" applyAlignment="1">
      <alignment horizontal="right" vertical="center"/>
    </xf>
    <xf numFmtId="0" fontId="59" fillId="0" borderId="0" xfId="0" applyFont="1">
      <alignment vertical="center"/>
    </xf>
    <xf numFmtId="0" fontId="60" fillId="0" borderId="0" xfId="0" applyFont="1">
      <alignment vertical="center"/>
    </xf>
    <xf numFmtId="0" fontId="0" fillId="0" borderId="0" xfId="0" applyAlignment="1">
      <alignment horizontal="center" vertical="center"/>
    </xf>
    <xf numFmtId="0" fontId="0" fillId="0" borderId="0" xfId="0" applyAlignment="1">
      <alignment vertical="center" wrapText="1"/>
    </xf>
    <xf numFmtId="0" fontId="0" fillId="0" borderId="54" xfId="0" applyBorder="1" applyAlignment="1">
      <alignment horizontal="center" vertical="center"/>
    </xf>
    <xf numFmtId="0" fontId="0" fillId="0" borderId="34" xfId="0" applyBorder="1" applyAlignment="1">
      <alignment vertical="center" wrapText="1"/>
    </xf>
    <xf numFmtId="0" fontId="0" fillId="0" borderId="37" xfId="0" applyBorder="1" applyAlignment="1">
      <alignment vertical="center" wrapText="1"/>
    </xf>
    <xf numFmtId="0" fontId="0" fillId="0" borderId="59" xfId="0" applyBorder="1" applyAlignment="1">
      <alignment horizontal="center" vertical="center"/>
    </xf>
    <xf numFmtId="0" fontId="0" fillId="0" borderId="38" xfId="0" applyBorder="1" applyAlignment="1">
      <alignment vertical="center" wrapText="1"/>
    </xf>
    <xf numFmtId="0" fontId="0" fillId="0" borderId="53" xfId="0" applyBorder="1" applyAlignment="1">
      <alignment vertical="center" wrapText="1"/>
    </xf>
    <xf numFmtId="0" fontId="0" fillId="0" borderId="59" xfId="0" applyBorder="1" applyAlignment="1">
      <alignment vertical="center" wrapText="1"/>
    </xf>
    <xf numFmtId="0" fontId="0" fillId="0" borderId="52" xfId="0" applyBorder="1" applyAlignment="1">
      <alignment horizontal="center" vertical="center"/>
    </xf>
    <xf numFmtId="0" fontId="61" fillId="19" borderId="56" xfId="0" applyFont="1" applyFill="1" applyBorder="1" applyAlignment="1">
      <alignment horizontal="center" vertical="center"/>
    </xf>
    <xf numFmtId="0" fontId="61" fillId="19" borderId="53" xfId="0" applyFont="1" applyFill="1" applyBorder="1">
      <alignment vertical="center"/>
    </xf>
    <xf numFmtId="0" fontId="0" fillId="0" borderId="60" xfId="0" applyBorder="1" applyAlignment="1">
      <alignment horizontal="center" vertical="center"/>
    </xf>
    <xf numFmtId="0" fontId="0" fillId="0" borderId="55" xfId="0" applyBorder="1" applyAlignment="1">
      <alignment horizontal="center" vertical="center"/>
    </xf>
    <xf numFmtId="0" fontId="61" fillId="19" borderId="56" xfId="0" applyFont="1" applyFill="1" applyBorder="1">
      <alignment vertical="center"/>
    </xf>
    <xf numFmtId="0" fontId="0" fillId="0" borderId="57" xfId="0" applyBorder="1">
      <alignment vertical="center"/>
    </xf>
    <xf numFmtId="0" fontId="0" fillId="0" borderId="58" xfId="0" applyBorder="1">
      <alignment vertical="center"/>
    </xf>
    <xf numFmtId="0" fontId="61" fillId="19" borderId="52" xfId="0" applyFont="1" applyFill="1" applyBorder="1" applyAlignment="1">
      <alignment horizontal="center" vertical="center"/>
    </xf>
    <xf numFmtId="0" fontId="0" fillId="0" borderId="59" xfId="0" applyBorder="1">
      <alignment vertical="center"/>
    </xf>
    <xf numFmtId="0" fontId="0" fillId="0" borderId="56" xfId="0" applyBorder="1">
      <alignment vertical="center"/>
    </xf>
    <xf numFmtId="14" fontId="22" fillId="4" borderId="0" xfId="0" applyNumberFormat="1" applyFont="1" applyFill="1" applyAlignment="1">
      <alignment horizontal="center" vertical="center"/>
    </xf>
    <xf numFmtId="177" fontId="22" fillId="4" borderId="0" xfId="0" applyNumberFormat="1" applyFont="1" applyFill="1" applyAlignment="1">
      <alignment horizontal="center" vertical="center"/>
    </xf>
    <xf numFmtId="180" fontId="22" fillId="4" borderId="0" xfId="0" applyNumberFormat="1" applyFont="1" applyFill="1" applyAlignment="1">
      <alignment horizontal="center" vertical="center"/>
    </xf>
    <xf numFmtId="14" fontId="22" fillId="4" borderId="17" xfId="0" applyNumberFormat="1" applyFont="1" applyFill="1" applyBorder="1" applyAlignment="1">
      <alignment horizontal="center" vertical="center"/>
    </xf>
    <xf numFmtId="14" fontId="51" fillId="4" borderId="0" xfId="0" applyNumberFormat="1" applyFont="1" applyFill="1" applyAlignment="1">
      <alignment horizontal="center" vertical="center"/>
    </xf>
    <xf numFmtId="180" fontId="51" fillId="4" borderId="0" xfId="0" applyNumberFormat="1" applyFont="1" applyFill="1" applyAlignment="1">
      <alignment horizontal="center" vertical="center"/>
    </xf>
    <xf numFmtId="14" fontId="51" fillId="4" borderId="17" xfId="0" applyNumberFormat="1" applyFont="1" applyFill="1" applyBorder="1" applyAlignment="1">
      <alignment horizontal="center" vertical="center"/>
    </xf>
    <xf numFmtId="0" fontId="64" fillId="0" borderId="0" xfId="0" applyFont="1">
      <alignment vertical="center"/>
    </xf>
    <xf numFmtId="0" fontId="22" fillId="0" borderId="0" xfId="0" quotePrefix="1" applyFont="1">
      <alignment vertical="center"/>
    </xf>
    <xf numFmtId="0" fontId="22" fillId="0" borderId="0" xfId="0" quotePrefix="1" applyFont="1" applyAlignment="1">
      <alignment vertical="center" wrapText="1"/>
    </xf>
    <xf numFmtId="0" fontId="22" fillId="21" borderId="0" xfId="0" applyFont="1" applyFill="1" applyAlignment="1" applyProtection="1">
      <alignment horizontal="center" vertical="center" wrapText="1"/>
      <protection locked="0"/>
    </xf>
    <xf numFmtId="0" fontId="65" fillId="0" borderId="0" xfId="0" applyFont="1" applyAlignment="1" applyProtection="1">
      <alignment horizontal="center" vertical="center"/>
      <protection locked="0"/>
    </xf>
    <xf numFmtId="0" fontId="65" fillId="0" borderId="0" xfId="0" applyFont="1" applyAlignment="1">
      <alignment horizontal="center" vertical="center"/>
    </xf>
    <xf numFmtId="0" fontId="65" fillId="0" borderId="0" xfId="0" applyFont="1">
      <alignment vertical="center"/>
    </xf>
    <xf numFmtId="0" fontId="65" fillId="0" borderId="0" xfId="0" applyFont="1" applyAlignment="1">
      <alignment vertical="center" wrapText="1"/>
    </xf>
    <xf numFmtId="14" fontId="65" fillId="0" borderId="0" xfId="0" applyNumberFormat="1" applyFont="1" applyAlignment="1">
      <alignment horizontal="center" vertical="center"/>
    </xf>
    <xf numFmtId="0" fontId="65" fillId="0" borderId="17" xfId="0" applyFont="1" applyBorder="1">
      <alignment vertical="center"/>
    </xf>
    <xf numFmtId="38" fontId="65" fillId="0" borderId="0" xfId="2" applyFont="1" applyAlignment="1">
      <alignment horizontal="center" vertical="center"/>
    </xf>
    <xf numFmtId="38" fontId="66" fillId="0" borderId="0" xfId="0" applyNumberFormat="1" applyFont="1">
      <alignment vertical="center"/>
    </xf>
    <xf numFmtId="0" fontId="8" fillId="0" borderId="0" xfId="0" applyFont="1" applyAlignment="1">
      <alignment vertical="center" wrapText="1"/>
    </xf>
    <xf numFmtId="0" fontId="22" fillId="4" borderId="17" xfId="0" applyFont="1" applyFill="1" applyBorder="1" applyAlignment="1">
      <alignment horizontal="center" vertical="center"/>
    </xf>
    <xf numFmtId="179" fontId="22" fillId="4" borderId="17" xfId="0" applyNumberFormat="1" applyFont="1" applyFill="1" applyBorder="1" applyAlignment="1">
      <alignment horizontal="center" vertical="center"/>
    </xf>
    <xf numFmtId="0" fontId="24" fillId="0" borderId="0" xfId="0" applyFont="1" applyAlignment="1">
      <alignment vertical="center" wrapText="1"/>
    </xf>
    <xf numFmtId="176" fontId="22" fillId="4" borderId="0" xfId="0" applyNumberFormat="1" applyFont="1" applyFill="1" applyAlignment="1">
      <alignment horizontal="center" vertical="center"/>
    </xf>
    <xf numFmtId="0" fontId="22" fillId="4" borderId="0" xfId="0" applyFont="1" applyFill="1">
      <alignment vertical="center"/>
    </xf>
    <xf numFmtId="0" fontId="22" fillId="4" borderId="0" xfId="0" applyFont="1" applyFill="1" applyAlignment="1">
      <alignment horizontal="center" vertical="center"/>
    </xf>
    <xf numFmtId="179" fontId="22" fillId="4" borderId="0" xfId="0" applyNumberFormat="1" applyFont="1" applyFill="1" applyAlignment="1">
      <alignment horizontal="center" vertical="center"/>
    </xf>
    <xf numFmtId="183" fontId="22" fillId="4" borderId="0" xfId="0" applyNumberFormat="1" applyFont="1" applyFill="1" applyAlignment="1">
      <alignment horizontal="center" vertical="center"/>
    </xf>
    <xf numFmtId="176" fontId="22" fillId="4" borderId="17" xfId="0" applyNumberFormat="1" applyFont="1" applyFill="1" applyBorder="1" applyAlignment="1">
      <alignment horizontal="center" vertical="center"/>
    </xf>
    <xf numFmtId="0" fontId="8" fillId="4" borderId="0" xfId="0" applyFont="1" applyFill="1">
      <alignment vertical="center"/>
    </xf>
    <xf numFmtId="0" fontId="24" fillId="0" borderId="0" xfId="0" applyFont="1">
      <alignment vertical="center"/>
    </xf>
    <xf numFmtId="0" fontId="24" fillId="0" borderId="17" xfId="0" applyFont="1" applyBorder="1">
      <alignment vertical="center"/>
    </xf>
    <xf numFmtId="0" fontId="8" fillId="4" borderId="0" xfId="0" applyFont="1" applyFill="1" applyAlignment="1">
      <alignment horizontal="center" vertical="center"/>
    </xf>
    <xf numFmtId="0" fontId="18" fillId="0" borderId="0" xfId="0" applyFont="1" applyAlignment="1">
      <alignment horizontal="center" vertical="center"/>
    </xf>
    <xf numFmtId="4" fontId="18" fillId="6" borderId="0" xfId="0" applyNumberFormat="1" applyFont="1" applyFill="1" applyAlignment="1" applyProtection="1">
      <alignment horizontal="center" vertical="center"/>
      <protection locked="0"/>
    </xf>
    <xf numFmtId="0" fontId="15" fillId="3" borderId="62" xfId="0" applyFont="1" applyFill="1" applyBorder="1" applyAlignment="1">
      <alignment horizontal="center" vertical="center"/>
    </xf>
    <xf numFmtId="0" fontId="6" fillId="0" borderId="0" xfId="0" applyFont="1" applyAlignment="1" applyProtection="1">
      <alignment horizontal="center" vertical="center"/>
      <protection locked="0"/>
    </xf>
    <xf numFmtId="0" fontId="32" fillId="0" borderId="0" xfId="0" applyFont="1" applyAlignment="1">
      <alignment vertical="center" wrapText="1"/>
    </xf>
    <xf numFmtId="14" fontId="6" fillId="0" borderId="0" xfId="0" applyNumberFormat="1" applyFont="1" applyAlignment="1">
      <alignment horizontal="center" vertical="center"/>
    </xf>
    <xf numFmtId="38" fontId="6" fillId="0" borderId="0" xfId="2" applyFont="1" applyAlignment="1">
      <alignment horizontal="center" vertical="center"/>
    </xf>
    <xf numFmtId="0" fontId="6" fillId="0" borderId="0" xfId="0" applyFont="1" applyAlignment="1">
      <alignment vertical="center" wrapText="1"/>
    </xf>
    <xf numFmtId="0" fontId="31" fillId="0" borderId="0" xfId="0" applyFont="1" applyAlignment="1" applyProtection="1">
      <alignment horizontal="center" vertical="center"/>
      <protection locked="0"/>
    </xf>
    <xf numFmtId="0" fontId="51" fillId="4" borderId="0" xfId="0" applyFont="1" applyFill="1" applyAlignment="1">
      <alignment horizontal="center" vertical="center"/>
    </xf>
    <xf numFmtId="0" fontId="51" fillId="4" borderId="17" xfId="0" applyFont="1" applyFill="1" applyBorder="1" applyAlignment="1">
      <alignment horizontal="center" vertical="center"/>
    </xf>
    <xf numFmtId="0" fontId="8" fillId="8" borderId="0" xfId="0" applyFont="1" applyFill="1" applyAlignment="1">
      <alignment horizontal="center" vertical="center"/>
    </xf>
    <xf numFmtId="38" fontId="22" fillId="4" borderId="0" xfId="1" applyNumberFormat="1" applyFont="1" applyFill="1" applyBorder="1" applyAlignment="1">
      <alignment horizontal="center" vertical="center"/>
    </xf>
    <xf numFmtId="177" fontId="8" fillId="8" borderId="0" xfId="0" applyNumberFormat="1" applyFont="1" applyFill="1" applyAlignment="1">
      <alignment horizontal="center" vertical="center"/>
    </xf>
    <xf numFmtId="38" fontId="8" fillId="8" borderId="0" xfId="1" applyNumberFormat="1" applyFont="1" applyFill="1">
      <alignment vertical="center"/>
    </xf>
    <xf numFmtId="38" fontId="13" fillId="8" borderId="0" xfId="0" applyNumberFormat="1" applyFont="1" applyFill="1">
      <alignment vertical="center"/>
    </xf>
    <xf numFmtId="38" fontId="8" fillId="8" borderId="0" xfId="1" applyNumberFormat="1" applyFont="1" applyFill="1" applyAlignment="1">
      <alignment horizontal="center" vertical="center"/>
    </xf>
    <xf numFmtId="38" fontId="8" fillId="8" borderId="0" xfId="2" applyFont="1" applyFill="1" applyAlignment="1">
      <alignment horizontal="center" vertical="center"/>
    </xf>
    <xf numFmtId="0" fontId="8" fillId="8" borderId="0" xfId="0" applyFont="1" applyFill="1" applyAlignment="1">
      <alignment horizontal="right" vertical="center"/>
    </xf>
    <xf numFmtId="0" fontId="27" fillId="8" borderId="0" xfId="0" applyFont="1" applyFill="1" applyAlignment="1" applyProtection="1">
      <alignment horizontal="left" vertical="center"/>
      <protection locked="0"/>
    </xf>
    <xf numFmtId="14" fontId="8" fillId="4" borderId="0" xfId="0" applyNumberFormat="1" applyFont="1" applyFill="1" applyAlignment="1">
      <alignment horizontal="center" vertical="center"/>
    </xf>
    <xf numFmtId="0" fontId="15" fillId="4" borderId="3" xfId="0" applyFont="1" applyFill="1" applyBorder="1">
      <alignment vertical="center"/>
    </xf>
    <xf numFmtId="0" fontId="15" fillId="4" borderId="4" xfId="0" applyFont="1" applyFill="1" applyBorder="1">
      <alignment vertical="center"/>
    </xf>
    <xf numFmtId="38" fontId="14" fillId="4" borderId="0" xfId="1" applyNumberFormat="1" applyFont="1" applyFill="1" applyAlignment="1">
      <alignment horizontal="center" vertical="center"/>
    </xf>
    <xf numFmtId="184" fontId="22" fillId="4" borderId="0" xfId="0" applyNumberFormat="1" applyFont="1" applyFill="1" applyAlignment="1">
      <alignment horizontal="center" vertical="center"/>
    </xf>
    <xf numFmtId="177" fontId="8" fillId="0" borderId="0" xfId="0" applyNumberFormat="1" applyFont="1" applyAlignment="1">
      <alignment horizontal="left" vertical="center"/>
    </xf>
    <xf numFmtId="0" fontId="0" fillId="0" borderId="17" xfId="0" applyBorder="1" applyAlignment="1">
      <alignment horizontal="center" vertical="center"/>
    </xf>
    <xf numFmtId="0" fontId="0" fillId="0" borderId="17" xfId="0" applyBorder="1">
      <alignment vertical="center"/>
    </xf>
    <xf numFmtId="177" fontId="0" fillId="0" borderId="17" xfId="0" applyNumberFormat="1" applyBorder="1">
      <alignment vertical="center"/>
    </xf>
    <xf numFmtId="177" fontId="0" fillId="0" borderId="17" xfId="0" applyNumberFormat="1" applyBorder="1" applyAlignment="1">
      <alignment horizontal="center" vertical="center"/>
    </xf>
    <xf numFmtId="0" fontId="0" fillId="0" borderId="17" xfId="0" applyBorder="1" applyAlignment="1">
      <alignment horizontal="right" vertical="center"/>
    </xf>
    <xf numFmtId="0" fontId="0" fillId="0" borderId="0" xfId="0" applyAlignment="1">
      <alignment horizontal="right" vertical="center"/>
    </xf>
    <xf numFmtId="0" fontId="83" fillId="0" borderId="17" xfId="0" applyFont="1" applyBorder="1" applyAlignment="1">
      <alignment horizontal="center" vertical="center"/>
    </xf>
    <xf numFmtId="0" fontId="4" fillId="4" borderId="0" xfId="10" applyFill="1">
      <alignment vertical="center"/>
    </xf>
    <xf numFmtId="0" fontId="4" fillId="4" borderId="0" xfId="10" applyFill="1" applyAlignment="1">
      <alignment horizontal="center" vertical="center"/>
    </xf>
    <xf numFmtId="0" fontId="14" fillId="11" borderId="0" xfId="10" applyFont="1" applyFill="1">
      <alignment vertical="center"/>
    </xf>
    <xf numFmtId="0" fontId="40" fillId="11" borderId="0" xfId="10" applyFont="1" applyFill="1">
      <alignment vertical="center"/>
    </xf>
    <xf numFmtId="0" fontId="14" fillId="11" borderId="0" xfId="10" applyFont="1" applyFill="1" applyAlignment="1">
      <alignment horizontal="center" vertical="center"/>
    </xf>
    <xf numFmtId="0" fontId="84" fillId="11" borderId="0" xfId="10" applyFont="1" applyFill="1" applyAlignment="1">
      <alignment horizontal="right"/>
    </xf>
    <xf numFmtId="3" fontId="14" fillId="11" borderId="0" xfId="10" applyNumberFormat="1" applyFont="1" applyFill="1">
      <alignment vertical="center"/>
    </xf>
    <xf numFmtId="0" fontId="14" fillId="23" borderId="0" xfId="10" applyFont="1" applyFill="1">
      <alignment vertical="center"/>
    </xf>
    <xf numFmtId="0" fontId="40" fillId="11" borderId="0" xfId="10" applyFont="1" applyFill="1" applyAlignment="1">
      <alignment horizontal="right" vertical="center"/>
    </xf>
    <xf numFmtId="0" fontId="4" fillId="0" borderId="0" xfId="10">
      <alignment vertical="center"/>
    </xf>
    <xf numFmtId="0" fontId="81" fillId="11" borderId="0" xfId="10" applyFont="1" applyFill="1">
      <alignment vertical="center"/>
    </xf>
    <xf numFmtId="0" fontId="79" fillId="22" borderId="75" xfId="10" applyFont="1" applyFill="1" applyBorder="1" applyAlignment="1">
      <alignment horizontal="center" vertical="center" wrapText="1" readingOrder="1"/>
    </xf>
    <xf numFmtId="0" fontId="79" fillId="23" borderId="0" xfId="10" applyFont="1" applyFill="1" applyAlignment="1">
      <alignment horizontal="center" vertical="center" wrapText="1" readingOrder="1"/>
    </xf>
    <xf numFmtId="0" fontId="81" fillId="0" borderId="0" xfId="10" applyFont="1">
      <alignment vertical="center"/>
    </xf>
    <xf numFmtId="0" fontId="86" fillId="0" borderId="0" xfId="10" applyFont="1">
      <alignment vertical="center"/>
    </xf>
    <xf numFmtId="0" fontId="79" fillId="22" borderId="81" xfId="10" applyFont="1" applyFill="1" applyBorder="1" applyAlignment="1">
      <alignment horizontal="center" vertical="center" wrapText="1" readingOrder="1"/>
    </xf>
    <xf numFmtId="14" fontId="77" fillId="4" borderId="0" xfId="10" applyNumberFormat="1" applyFont="1" applyFill="1" applyAlignment="1">
      <alignment horizontal="center" vertical="center"/>
    </xf>
    <xf numFmtId="0" fontId="14" fillId="0" borderId="0" xfId="10" applyFont="1">
      <alignment vertical="center"/>
    </xf>
    <xf numFmtId="0" fontId="77" fillId="0" borderId="67" xfId="10" applyFont="1" applyBorder="1" applyAlignment="1">
      <alignment horizontal="center" vertical="center" wrapText="1" readingOrder="1"/>
    </xf>
    <xf numFmtId="14" fontId="77" fillId="4" borderId="0" xfId="10" applyNumberFormat="1" applyFont="1" applyFill="1" applyAlignment="1">
      <alignment vertical="center" readingOrder="1"/>
    </xf>
    <xf numFmtId="0" fontId="77" fillId="0" borderId="86" xfId="10" applyFont="1" applyBorder="1" applyAlignment="1">
      <alignment horizontal="center" vertical="center" wrapText="1" readingOrder="1"/>
    </xf>
    <xf numFmtId="0" fontId="4" fillId="0" borderId="0" xfId="10" applyAlignment="1">
      <alignment horizontal="center" vertical="center"/>
    </xf>
    <xf numFmtId="0" fontId="86" fillId="0" borderId="0" xfId="10" applyFont="1" applyAlignment="1">
      <alignment horizontal="center" vertical="center"/>
    </xf>
    <xf numFmtId="41" fontId="0" fillId="0" borderId="0" xfId="13" applyFont="1">
      <alignment vertical="center"/>
    </xf>
    <xf numFmtId="0" fontId="86" fillId="0" borderId="72" xfId="10" applyFont="1" applyBorder="1" applyAlignment="1">
      <alignment horizontal="center" vertical="center"/>
    </xf>
    <xf numFmtId="0" fontId="4" fillId="0" borderId="72" xfId="10" applyBorder="1" applyAlignment="1">
      <alignment horizontal="center" vertical="center"/>
    </xf>
    <xf numFmtId="0" fontId="4" fillId="0" borderId="87" xfId="10" applyBorder="1">
      <alignment vertical="center"/>
    </xf>
    <xf numFmtId="0" fontId="77" fillId="0" borderId="72" xfId="10" applyFont="1" applyBorder="1" applyAlignment="1">
      <alignment horizontal="center" vertical="center" readingOrder="1"/>
    </xf>
    <xf numFmtId="10" fontId="77" fillId="0" borderId="72" xfId="10" applyNumberFormat="1" applyFont="1" applyBorder="1" applyAlignment="1">
      <alignment horizontal="center" vertical="center"/>
    </xf>
    <xf numFmtId="9" fontId="4" fillId="0" borderId="72" xfId="10" applyNumberFormat="1" applyBorder="1" applyAlignment="1">
      <alignment horizontal="center" vertical="center"/>
    </xf>
    <xf numFmtId="14" fontId="4" fillId="0" borderId="0" xfId="10" applyNumberFormat="1">
      <alignment vertical="center"/>
    </xf>
    <xf numFmtId="0" fontId="87" fillId="0" borderId="35" xfId="10" applyFont="1" applyBorder="1" applyAlignment="1">
      <alignment horizontal="center" vertical="center" readingOrder="1"/>
    </xf>
    <xf numFmtId="10" fontId="77" fillId="0" borderId="35" xfId="10" applyNumberFormat="1" applyFont="1" applyBorder="1" applyAlignment="1">
      <alignment horizontal="center" vertical="center"/>
    </xf>
    <xf numFmtId="9" fontId="4" fillId="0" borderId="35" xfId="10" applyNumberFormat="1" applyBorder="1" applyAlignment="1">
      <alignment horizontal="center" vertical="center"/>
    </xf>
    <xf numFmtId="0" fontId="87" fillId="0" borderId="72" xfId="10" applyFont="1" applyBorder="1" applyAlignment="1">
      <alignment horizontal="center" vertical="center" readingOrder="1"/>
    </xf>
    <xf numFmtId="10" fontId="77" fillId="0" borderId="89" xfId="10" applyNumberFormat="1" applyFont="1" applyBorder="1" applyAlignment="1">
      <alignment horizontal="center" vertical="center"/>
    </xf>
    <xf numFmtId="9" fontId="4" fillId="0" borderId="89" xfId="10" applyNumberFormat="1" applyBorder="1" applyAlignment="1">
      <alignment horizontal="center" vertical="center"/>
    </xf>
    <xf numFmtId="41" fontId="4" fillId="0" borderId="0" xfId="13">
      <alignment vertical="center"/>
    </xf>
    <xf numFmtId="0" fontId="86" fillId="0" borderId="0" xfId="10" applyFont="1" applyAlignment="1">
      <alignment horizontal="right" vertical="center"/>
    </xf>
    <xf numFmtId="0" fontId="86" fillId="10" borderId="72" xfId="10" applyFont="1" applyFill="1" applyBorder="1" applyAlignment="1">
      <alignment horizontal="center" vertical="center"/>
    </xf>
    <xf numFmtId="9" fontId="4" fillId="0" borderId="0" xfId="10" applyNumberFormat="1">
      <alignment vertical="center"/>
    </xf>
    <xf numFmtId="185" fontId="86" fillId="0" borderId="72" xfId="13" applyNumberFormat="1" applyFont="1" applyBorder="1">
      <alignment vertical="center"/>
    </xf>
    <xf numFmtId="185" fontId="88" fillId="0" borderId="72" xfId="13" applyNumberFormat="1" applyFont="1" applyBorder="1">
      <alignment vertical="center"/>
    </xf>
    <xf numFmtId="41" fontId="88" fillId="0" borderId="72" xfId="13" applyFont="1" applyBorder="1">
      <alignment vertical="center"/>
    </xf>
    <xf numFmtId="9" fontId="88" fillId="6" borderId="72" xfId="10" applyNumberFormat="1" applyFont="1" applyFill="1" applyBorder="1" applyAlignment="1">
      <alignment horizontal="center" vertical="center"/>
    </xf>
    <xf numFmtId="41" fontId="88" fillId="6" borderId="72" xfId="13" applyFont="1" applyFill="1" applyBorder="1">
      <alignment vertical="center"/>
    </xf>
    <xf numFmtId="0" fontId="4" fillId="6" borderId="0" xfId="10" applyFill="1">
      <alignment vertical="center"/>
    </xf>
    <xf numFmtId="9" fontId="88" fillId="0" borderId="72" xfId="10" applyNumberFormat="1" applyFont="1" applyBorder="1" applyAlignment="1">
      <alignment horizontal="center" vertical="center"/>
    </xf>
    <xf numFmtId="9" fontId="89" fillId="6" borderId="72" xfId="10" applyNumberFormat="1" applyFont="1" applyFill="1" applyBorder="1" applyAlignment="1">
      <alignment horizontal="center" vertical="center"/>
    </xf>
    <xf numFmtId="41" fontId="89" fillId="6" borderId="72" xfId="13" applyFont="1" applyFill="1" applyBorder="1">
      <alignment vertical="center"/>
    </xf>
    <xf numFmtId="9" fontId="89" fillId="0" borderId="72" xfId="10" applyNumberFormat="1" applyFont="1" applyBorder="1" applyAlignment="1">
      <alignment horizontal="center" vertical="center"/>
    </xf>
    <xf numFmtId="41" fontId="89" fillId="0" borderId="72" xfId="13" applyFont="1" applyBorder="1">
      <alignment vertical="center"/>
    </xf>
    <xf numFmtId="185" fontId="88" fillId="0" borderId="72" xfId="13" applyNumberFormat="1" applyFont="1" applyBorder="1" applyAlignment="1">
      <alignment horizontal="center" vertical="center"/>
    </xf>
    <xf numFmtId="41" fontId="88" fillId="0" borderId="0" xfId="13" applyFont="1" applyBorder="1" applyAlignment="1">
      <alignment horizontal="center" vertical="center"/>
    </xf>
    <xf numFmtId="185" fontId="88" fillId="0" borderId="0" xfId="13" applyNumberFormat="1" applyFont="1" applyBorder="1" applyAlignment="1">
      <alignment horizontal="center" vertical="center"/>
    </xf>
    <xf numFmtId="185" fontId="88" fillId="0" borderId="0" xfId="13" applyNumberFormat="1" applyFont="1">
      <alignment vertical="center"/>
    </xf>
    <xf numFmtId="9" fontId="86" fillId="0" borderId="0" xfId="10" applyNumberFormat="1" applyFont="1" applyAlignment="1">
      <alignment horizontal="center" vertical="center"/>
    </xf>
    <xf numFmtId="41" fontId="88" fillId="0" borderId="0" xfId="13" applyFont="1">
      <alignment vertical="center"/>
    </xf>
    <xf numFmtId="41" fontId="86" fillId="0" borderId="0" xfId="13" applyFont="1">
      <alignment vertical="center"/>
    </xf>
    <xf numFmtId="41" fontId="86" fillId="0" borderId="0" xfId="10" applyNumberFormat="1" applyFont="1" applyAlignment="1">
      <alignment horizontal="center" vertical="center"/>
    </xf>
    <xf numFmtId="9" fontId="88" fillId="0" borderId="0" xfId="10" applyNumberFormat="1" applyFont="1" applyAlignment="1">
      <alignment horizontal="center" vertical="center"/>
    </xf>
    <xf numFmtId="9" fontId="86" fillId="0" borderId="0" xfId="12" applyFont="1">
      <alignment vertical="center"/>
    </xf>
    <xf numFmtId="0" fontId="90" fillId="0" borderId="0" xfId="10" applyFont="1" applyAlignment="1">
      <alignment horizontal="right" vertical="center"/>
    </xf>
    <xf numFmtId="0" fontId="88" fillId="0" borderId="72" xfId="10" applyFont="1" applyBorder="1">
      <alignment vertical="center"/>
    </xf>
    <xf numFmtId="185" fontId="0" fillId="0" borderId="0" xfId="13" applyNumberFormat="1" applyFont="1">
      <alignment vertical="center"/>
    </xf>
    <xf numFmtId="0" fontId="88" fillId="0" borderId="0" xfId="10" applyFont="1" applyAlignment="1">
      <alignment horizontal="center" vertical="center"/>
    </xf>
    <xf numFmtId="41" fontId="88" fillId="0" borderId="0" xfId="10" applyNumberFormat="1" applyFont="1" applyAlignment="1">
      <alignment horizontal="center" vertical="center"/>
    </xf>
    <xf numFmtId="0" fontId="88" fillId="0" borderId="0" xfId="10" applyFont="1">
      <alignment vertical="center"/>
    </xf>
    <xf numFmtId="43" fontId="4" fillId="0" borderId="0" xfId="10" applyNumberFormat="1">
      <alignment vertical="center"/>
    </xf>
    <xf numFmtId="38" fontId="22" fillId="0" borderId="0" xfId="1" applyNumberFormat="1" applyFont="1" applyBorder="1" applyAlignment="1">
      <alignment horizontal="center" vertical="center"/>
    </xf>
    <xf numFmtId="37" fontId="22" fillId="0" borderId="0" xfId="1" applyNumberFormat="1" applyFont="1" applyFill="1" applyBorder="1" applyAlignment="1">
      <alignment horizontal="center" vertical="center"/>
    </xf>
    <xf numFmtId="0" fontId="51" fillId="4" borderId="0" xfId="0" applyFont="1" applyFill="1">
      <alignment vertical="center"/>
    </xf>
    <xf numFmtId="0" fontId="92" fillId="0" borderId="0" xfId="0" applyFont="1">
      <alignment vertical="center"/>
    </xf>
    <xf numFmtId="38" fontId="13" fillId="4" borderId="0" xfId="0" applyNumberFormat="1" applyFont="1" applyFill="1">
      <alignment vertical="center"/>
    </xf>
    <xf numFmtId="0" fontId="67" fillId="3" borderId="7" xfId="0" applyFont="1" applyFill="1" applyBorder="1">
      <alignment vertical="center"/>
    </xf>
    <xf numFmtId="0" fontId="67" fillId="3" borderId="12" xfId="0" applyFont="1" applyFill="1" applyBorder="1" applyAlignment="1">
      <alignment horizontal="center" vertical="center"/>
    </xf>
    <xf numFmtId="0" fontId="67" fillId="3" borderId="2" xfId="0" applyFont="1" applyFill="1" applyBorder="1">
      <alignment vertical="center"/>
    </xf>
    <xf numFmtId="10" fontId="22" fillId="0" borderId="0" xfId="0" applyNumberFormat="1" applyFont="1" applyAlignment="1">
      <alignment horizontal="center" vertical="center"/>
    </xf>
    <xf numFmtId="0" fontId="22" fillId="0" borderId="19" xfId="0" applyFont="1" applyBorder="1">
      <alignment vertical="center"/>
    </xf>
    <xf numFmtId="10" fontId="22" fillId="4" borderId="0" xfId="0" applyNumberFormat="1" applyFont="1" applyFill="1" applyAlignment="1">
      <alignment horizontal="center" vertical="center"/>
    </xf>
    <xf numFmtId="2" fontId="22" fillId="4" borderId="0" xfId="0" applyNumberFormat="1" applyFont="1" applyFill="1" applyAlignment="1">
      <alignment horizontal="center" vertical="center"/>
    </xf>
    <xf numFmtId="2" fontId="22" fillId="4" borderId="17" xfId="0" applyNumberFormat="1" applyFont="1" applyFill="1" applyBorder="1" applyAlignment="1">
      <alignment horizontal="center" vertical="center"/>
    </xf>
    <xf numFmtId="2" fontId="51" fillId="4" borderId="0" xfId="0" applyNumberFormat="1" applyFont="1" applyFill="1" applyAlignment="1">
      <alignment horizontal="center" vertical="center"/>
    </xf>
    <xf numFmtId="2" fontId="51" fillId="4" borderId="17" xfId="0" applyNumberFormat="1" applyFont="1" applyFill="1" applyBorder="1" applyAlignment="1">
      <alignment horizontal="center" vertical="center"/>
    </xf>
    <xf numFmtId="181" fontId="22" fillId="4" borderId="0" xfId="0" applyNumberFormat="1" applyFont="1" applyFill="1" applyAlignment="1">
      <alignment horizontal="center" vertical="center"/>
    </xf>
    <xf numFmtId="0" fontId="22" fillId="0" borderId="0" xfId="0" applyFont="1" applyAlignment="1" applyProtection="1">
      <alignment horizontal="left" vertical="center" indent="1"/>
      <protection locked="0"/>
    </xf>
    <xf numFmtId="0" fontId="22" fillId="0" borderId="17" xfId="0" applyFont="1" applyBorder="1" applyAlignment="1" applyProtection="1">
      <alignment horizontal="left" vertical="center" indent="1"/>
      <protection locked="0"/>
    </xf>
    <xf numFmtId="0" fontId="51" fillId="0" borderId="0" xfId="0" applyFont="1" applyAlignment="1" applyProtection="1">
      <alignment horizontal="left" vertical="center" indent="1"/>
      <protection locked="0"/>
    </xf>
    <xf numFmtId="0" fontId="51" fillId="0" borderId="17" xfId="0" applyFont="1" applyBorder="1" applyAlignment="1" applyProtection="1">
      <alignment horizontal="left" vertical="center" indent="1"/>
      <protection locked="0"/>
    </xf>
    <xf numFmtId="0" fontId="22" fillId="24" borderId="0" xfId="0" applyFont="1" applyFill="1" applyAlignment="1" applyProtection="1">
      <alignment horizontal="left" vertical="center"/>
      <protection locked="0"/>
    </xf>
    <xf numFmtId="0" fontId="22" fillId="24" borderId="0" xfId="0" applyFont="1" applyFill="1">
      <alignment vertical="center"/>
    </xf>
    <xf numFmtId="0" fontId="8" fillId="24" borderId="0" xfId="0" applyFont="1" applyFill="1">
      <alignment vertical="center"/>
    </xf>
    <xf numFmtId="177" fontId="8" fillId="24" borderId="0" xfId="0" applyNumberFormat="1" applyFont="1" applyFill="1" applyAlignment="1">
      <alignment horizontal="center" vertical="center"/>
    </xf>
    <xf numFmtId="14" fontId="8" fillId="24" borderId="0" xfId="0" applyNumberFormat="1" applyFont="1" applyFill="1" applyAlignment="1">
      <alignment horizontal="center" vertical="center"/>
    </xf>
    <xf numFmtId="0" fontId="8" fillId="24" borderId="0" xfId="0" applyFont="1" applyFill="1" applyAlignment="1">
      <alignment horizontal="center" vertical="center"/>
    </xf>
    <xf numFmtId="38" fontId="8" fillId="24" borderId="0" xfId="1" applyNumberFormat="1" applyFont="1" applyFill="1">
      <alignment vertical="center"/>
    </xf>
    <xf numFmtId="38" fontId="13" fillId="24" borderId="0" xfId="0" applyNumberFormat="1" applyFont="1" applyFill="1">
      <alignment vertical="center"/>
    </xf>
    <xf numFmtId="38" fontId="8" fillId="24" borderId="0" xfId="1" applyNumberFormat="1" applyFont="1" applyFill="1" applyAlignment="1">
      <alignment horizontal="center" vertical="center"/>
    </xf>
    <xf numFmtId="38" fontId="8" fillId="24" borderId="0" xfId="2" applyFont="1" applyFill="1" applyAlignment="1">
      <alignment horizontal="center" vertical="center"/>
    </xf>
    <xf numFmtId="0" fontId="8" fillId="24" borderId="0" xfId="0" applyFont="1" applyFill="1" applyAlignment="1">
      <alignment horizontal="right" vertical="center"/>
    </xf>
    <xf numFmtId="0" fontId="22" fillId="0" borderId="19" xfId="0" applyFont="1" applyBorder="1" applyAlignment="1">
      <alignment horizontal="center" vertical="center"/>
    </xf>
    <xf numFmtId="38" fontId="73" fillId="4" borderId="64" xfId="0" applyNumberFormat="1" applyFont="1" applyFill="1" applyBorder="1" applyAlignment="1">
      <alignment horizontal="center" vertical="center"/>
    </xf>
    <xf numFmtId="0" fontId="15" fillId="3" borderId="90" xfId="0" applyFont="1" applyFill="1" applyBorder="1">
      <alignment vertical="center"/>
    </xf>
    <xf numFmtId="0" fontId="67" fillId="3" borderId="5" xfId="0" applyFont="1" applyFill="1" applyBorder="1">
      <alignment vertical="center"/>
    </xf>
    <xf numFmtId="3" fontId="24" fillId="0" borderId="0" xfId="0" applyNumberFormat="1" applyFont="1">
      <alignment vertical="center"/>
    </xf>
    <xf numFmtId="0" fontId="8" fillId="0" borderId="19" xfId="0" applyFont="1" applyBorder="1">
      <alignment vertical="center"/>
    </xf>
    <xf numFmtId="0" fontId="15" fillId="3" borderId="12" xfId="0" applyFont="1" applyFill="1" applyBorder="1" applyAlignment="1">
      <alignment horizontal="center" vertical="center" wrapText="1"/>
    </xf>
    <xf numFmtId="188" fontId="22" fillId="0" borderId="0" xfId="0" applyNumberFormat="1" applyFont="1" applyAlignment="1">
      <alignment horizontal="center" vertical="center"/>
    </xf>
    <xf numFmtId="188" fontId="22" fillId="0" borderId="19" xfId="0" applyNumberFormat="1" applyFont="1" applyBorder="1" applyAlignment="1">
      <alignment horizontal="center" vertical="center"/>
    </xf>
    <xf numFmtId="182" fontId="22" fillId="0" borderId="0" xfId="0" applyNumberFormat="1" applyFont="1" applyAlignment="1">
      <alignment horizontal="center" vertical="center"/>
    </xf>
    <xf numFmtId="38" fontId="8" fillId="0" borderId="0" xfId="2" applyFont="1" applyFill="1" applyAlignment="1">
      <alignment horizontal="center" vertical="center"/>
    </xf>
    <xf numFmtId="38" fontId="24" fillId="0" borderId="0" xfId="2" applyFont="1" applyFill="1" applyAlignment="1">
      <alignment horizontal="center" vertical="center"/>
    </xf>
    <xf numFmtId="38" fontId="24" fillId="0" borderId="0" xfId="2" applyFont="1" applyFill="1" applyBorder="1" applyAlignment="1">
      <alignment horizontal="center" vertical="center"/>
    </xf>
    <xf numFmtId="0" fontId="24" fillId="0" borderId="0" xfId="0" applyFont="1" applyAlignment="1">
      <alignment horizontal="center" vertical="center"/>
    </xf>
    <xf numFmtId="3" fontId="24" fillId="0" borderId="17" xfId="0" applyNumberFormat="1" applyFont="1" applyBorder="1">
      <alignment vertical="center"/>
    </xf>
    <xf numFmtId="0" fontId="24" fillId="0" borderId="17" xfId="0" applyFont="1" applyBorder="1" applyAlignment="1">
      <alignment horizontal="center" vertical="center"/>
    </xf>
    <xf numFmtId="14" fontId="8" fillId="0" borderId="17" xfId="0" applyNumberFormat="1" applyFont="1" applyBorder="1" applyAlignment="1">
      <alignment horizontal="right" vertical="center"/>
    </xf>
    <xf numFmtId="3" fontId="24" fillId="0" borderId="0" xfId="0" applyNumberFormat="1" applyFont="1" applyAlignment="1">
      <alignment horizontal="center" vertical="center"/>
    </xf>
    <xf numFmtId="38" fontId="50" fillId="0" borderId="0" xfId="2" applyFont="1" applyFill="1" applyAlignment="1">
      <alignment horizontal="center" vertical="center"/>
    </xf>
    <xf numFmtId="3" fontId="50" fillId="0" borderId="0" xfId="0" applyNumberFormat="1" applyFont="1">
      <alignment vertical="center"/>
    </xf>
    <xf numFmtId="0" fontId="50" fillId="0" borderId="0" xfId="0" applyFont="1">
      <alignment vertical="center"/>
    </xf>
    <xf numFmtId="3" fontId="50" fillId="0" borderId="0" xfId="0" applyNumberFormat="1" applyFont="1" applyAlignment="1">
      <alignment horizontal="center" vertical="center"/>
    </xf>
    <xf numFmtId="14" fontId="55" fillId="0" borderId="0" xfId="0" applyNumberFormat="1" applyFont="1" applyAlignment="1">
      <alignment horizontal="right" vertical="center"/>
    </xf>
    <xf numFmtId="38" fontId="50" fillId="0" borderId="17" xfId="2" applyFont="1" applyFill="1" applyBorder="1" applyAlignment="1">
      <alignment horizontal="center" vertical="center"/>
    </xf>
    <xf numFmtId="3" fontId="50" fillId="0" borderId="17" xfId="0" applyNumberFormat="1" applyFont="1" applyBorder="1">
      <alignment vertical="center"/>
    </xf>
    <xf numFmtId="0" fontId="50" fillId="0" borderId="17" xfId="0" applyFont="1" applyBorder="1">
      <alignment vertical="center"/>
    </xf>
    <xf numFmtId="3" fontId="50" fillId="0" borderId="17" xfId="0" applyNumberFormat="1" applyFont="1" applyBorder="1" applyAlignment="1">
      <alignment horizontal="center" vertical="center"/>
    </xf>
    <xf numFmtId="14" fontId="55" fillId="0" borderId="17" xfId="0" applyNumberFormat="1" applyFont="1" applyBorder="1" applyAlignment="1">
      <alignment horizontal="right" vertical="center"/>
    </xf>
    <xf numFmtId="38" fontId="24" fillId="0" borderId="17" xfId="2" applyFont="1" applyFill="1" applyBorder="1" applyAlignment="1">
      <alignment horizontal="center" vertical="center"/>
    </xf>
    <xf numFmtId="3" fontId="24" fillId="0" borderId="17" xfId="0" applyNumberFormat="1" applyFont="1" applyBorder="1" applyAlignment="1">
      <alignment horizontal="center" vertical="center"/>
    </xf>
    <xf numFmtId="0" fontId="71" fillId="2" borderId="10" xfId="0" applyFont="1" applyFill="1" applyBorder="1" applyAlignment="1">
      <alignment horizontal="center" vertical="center" wrapText="1"/>
    </xf>
    <xf numFmtId="14" fontId="83" fillId="0" borderId="0" xfId="0" applyNumberFormat="1" applyFont="1">
      <alignment vertical="center"/>
    </xf>
    <xf numFmtId="182" fontId="22" fillId="4" borderId="0" xfId="0" applyNumberFormat="1" applyFont="1" applyFill="1" applyAlignment="1">
      <alignment horizontal="center" vertical="center"/>
    </xf>
    <xf numFmtId="38" fontId="6" fillId="0" borderId="0" xfId="2" applyFont="1" applyFill="1" applyAlignment="1">
      <alignment horizontal="center" vertical="center"/>
    </xf>
    <xf numFmtId="177" fontId="14" fillId="4" borderId="0" xfId="2" applyNumberFormat="1" applyFont="1" applyFill="1" applyAlignment="1">
      <alignment horizontal="right" vertical="center"/>
    </xf>
    <xf numFmtId="0" fontId="101" fillId="3" borderId="7" xfId="0" applyFont="1" applyFill="1" applyBorder="1" applyAlignment="1">
      <alignment horizontal="right"/>
    </xf>
    <xf numFmtId="0" fontId="102" fillId="0" borderId="0" xfId="0" applyFont="1" applyAlignment="1">
      <alignment horizontal="center" vertical="center"/>
    </xf>
    <xf numFmtId="0" fontId="67" fillId="3" borderId="0" xfId="0" applyFont="1" applyFill="1">
      <alignment vertical="center"/>
    </xf>
    <xf numFmtId="0" fontId="67" fillId="3" borderId="1" xfId="0" applyFont="1" applyFill="1" applyBorder="1">
      <alignment vertical="center"/>
    </xf>
    <xf numFmtId="14" fontId="53" fillId="0" borderId="0" xfId="0" applyNumberFormat="1" applyFont="1" applyAlignment="1">
      <alignment horizontal="center" vertical="center"/>
    </xf>
    <xf numFmtId="14" fontId="51" fillId="0" borderId="17" xfId="0" applyNumberFormat="1" applyFont="1" applyBorder="1" applyAlignment="1">
      <alignment horizontal="center" vertical="center"/>
    </xf>
    <xf numFmtId="14" fontId="53" fillId="0" borderId="17" xfId="0" applyNumberFormat="1" applyFont="1" applyBorder="1" applyAlignment="1">
      <alignment horizontal="center" vertical="center"/>
    </xf>
    <xf numFmtId="0" fontId="22" fillId="0" borderId="0" xfId="0" applyFont="1" applyAlignment="1">
      <alignment vertical="center" wrapText="1"/>
    </xf>
    <xf numFmtId="0" fontId="69" fillId="25" borderId="92" xfId="0" applyFont="1" applyFill="1" applyBorder="1">
      <alignment vertical="center"/>
    </xf>
    <xf numFmtId="0" fontId="69" fillId="25" borderId="51" xfId="0" applyFont="1" applyFill="1" applyBorder="1">
      <alignment vertical="center"/>
    </xf>
    <xf numFmtId="0" fontId="14" fillId="0" borderId="64" xfId="0" applyFont="1" applyBorder="1">
      <alignment vertical="center"/>
    </xf>
    <xf numFmtId="0" fontId="14" fillId="0" borderId="19" xfId="0" applyFont="1" applyBorder="1">
      <alignment vertical="center"/>
    </xf>
    <xf numFmtId="0" fontId="14" fillId="0" borderId="33" xfId="0" applyFont="1" applyBorder="1">
      <alignment vertical="center"/>
    </xf>
    <xf numFmtId="0" fontId="69" fillId="25" borderId="0" xfId="0" applyFont="1" applyFill="1">
      <alignment vertical="center"/>
    </xf>
    <xf numFmtId="0" fontId="69" fillId="25" borderId="64" xfId="0" applyFont="1" applyFill="1" applyBorder="1">
      <alignment vertical="center"/>
    </xf>
    <xf numFmtId="0" fontId="42" fillId="0" borderId="64" xfId="0" applyFont="1" applyBorder="1">
      <alignment vertical="center"/>
    </xf>
    <xf numFmtId="0" fontId="42" fillId="0" borderId="19" xfId="0" applyFont="1" applyBorder="1">
      <alignment vertical="center"/>
    </xf>
    <xf numFmtId="0" fontId="42" fillId="0" borderId="33" xfId="0" applyFont="1" applyBorder="1">
      <alignment vertical="center"/>
    </xf>
    <xf numFmtId="0" fontId="69" fillId="25" borderId="92" xfId="0" applyFont="1" applyFill="1" applyBorder="1" applyAlignment="1">
      <alignment horizontal="center" vertical="center"/>
    </xf>
    <xf numFmtId="0" fontId="14" fillId="0" borderId="0" xfId="0" applyFont="1" applyAlignment="1">
      <alignment horizontal="center" vertical="center"/>
    </xf>
    <xf numFmtId="0" fontId="14" fillId="0" borderId="19" xfId="0" applyFont="1" applyBorder="1" applyAlignment="1">
      <alignment horizontal="center" vertical="center"/>
    </xf>
    <xf numFmtId="0" fontId="69" fillId="25" borderId="0" xfId="0" applyFont="1" applyFill="1" applyAlignment="1">
      <alignment horizontal="center" vertical="center"/>
    </xf>
    <xf numFmtId="4" fontId="14" fillId="0" borderId="0" xfId="0" applyNumberFormat="1" applyFont="1" applyAlignment="1">
      <alignment horizontal="center" vertical="center"/>
    </xf>
    <xf numFmtId="4" fontId="103" fillId="0" borderId="0" xfId="0" applyNumberFormat="1" applyFont="1" applyAlignment="1">
      <alignment horizontal="center" vertical="center"/>
    </xf>
    <xf numFmtId="4" fontId="14" fillId="0" borderId="19" xfId="0" applyNumberFormat="1" applyFont="1" applyBorder="1" applyAlignment="1">
      <alignment horizontal="center" vertical="center"/>
    </xf>
    <xf numFmtId="0" fontId="103" fillId="0" borderId="0" xfId="0" applyFont="1" applyAlignment="1">
      <alignment horizontal="center" vertical="center"/>
    </xf>
    <xf numFmtId="0" fontId="14" fillId="0" borderId="17" xfId="0" applyFont="1" applyBorder="1" applyAlignment="1">
      <alignment horizontal="center" vertical="center"/>
    </xf>
    <xf numFmtId="0" fontId="69" fillId="25" borderId="22" xfId="0" applyFont="1" applyFill="1" applyBorder="1" applyAlignment="1">
      <alignment horizontal="center" vertical="center"/>
    </xf>
    <xf numFmtId="0" fontId="14" fillId="0" borderId="87" xfId="0" applyFont="1" applyBorder="1" applyAlignment="1">
      <alignment horizontal="center" vertical="center"/>
    </xf>
    <xf numFmtId="0" fontId="69" fillId="25" borderId="87" xfId="0" applyFont="1" applyFill="1" applyBorder="1" applyAlignment="1">
      <alignment horizontal="center" vertical="center"/>
    </xf>
    <xf numFmtId="0" fontId="42" fillId="0" borderId="0" xfId="0" applyFont="1" applyAlignment="1">
      <alignment horizontal="center" vertical="center"/>
    </xf>
    <xf numFmtId="0" fontId="40" fillId="0" borderId="93" xfId="0" applyFont="1" applyBorder="1" applyAlignment="1">
      <alignment horizontal="center" vertical="center"/>
    </xf>
    <xf numFmtId="0" fontId="14" fillId="0" borderId="25" xfId="0" applyFont="1" applyBorder="1" applyAlignment="1">
      <alignment horizontal="center" vertical="center"/>
    </xf>
    <xf numFmtId="0" fontId="40" fillId="0" borderId="25" xfId="0" applyFont="1" applyBorder="1" applyAlignment="1">
      <alignment horizontal="center" vertical="center"/>
    </xf>
    <xf numFmtId="2" fontId="14" fillId="0" borderId="19" xfId="0" applyNumberFormat="1" applyFont="1" applyBorder="1" applyAlignment="1">
      <alignment horizontal="center" vertical="center"/>
    </xf>
    <xf numFmtId="0" fontId="104" fillId="0" borderId="19" xfId="0" applyFont="1" applyBorder="1">
      <alignment vertical="center"/>
    </xf>
    <xf numFmtId="4" fontId="14" fillId="0" borderId="17" xfId="0" applyNumberFormat="1" applyFont="1" applyBorder="1">
      <alignment vertical="center"/>
    </xf>
    <xf numFmtId="0" fontId="14" fillId="0" borderId="17" xfId="0" applyFont="1" applyBorder="1">
      <alignment vertical="center"/>
    </xf>
    <xf numFmtId="4" fontId="14" fillId="0" borderId="94" xfId="0" applyNumberFormat="1" applyFont="1" applyBorder="1">
      <alignment vertical="center"/>
    </xf>
    <xf numFmtId="0" fontId="42" fillId="0" borderId="17" xfId="0" applyFont="1" applyBorder="1">
      <alignment vertical="center"/>
    </xf>
    <xf numFmtId="0" fontId="42" fillId="0" borderId="63" xfId="0" applyFont="1" applyBorder="1">
      <alignment vertical="center"/>
    </xf>
    <xf numFmtId="4" fontId="105" fillId="0" borderId="0" xfId="0" applyNumberFormat="1" applyFont="1" applyAlignment="1">
      <alignment horizontal="center" vertical="center"/>
    </xf>
    <xf numFmtId="0" fontId="105" fillId="0" borderId="0" xfId="0" applyFont="1" applyAlignment="1">
      <alignment horizontal="center" vertical="center"/>
    </xf>
    <xf numFmtId="38" fontId="73" fillId="4" borderId="63" xfId="0" applyNumberFormat="1" applyFont="1" applyFill="1" applyBorder="1" applyAlignment="1">
      <alignment horizontal="center" vertical="center"/>
    </xf>
    <xf numFmtId="9" fontId="0" fillId="0" borderId="72" xfId="10" applyNumberFormat="1" applyFont="1" applyBorder="1" applyAlignment="1">
      <alignment horizontal="center" vertical="center"/>
    </xf>
    <xf numFmtId="10" fontId="8" fillId="0" borderId="0" xfId="0" applyNumberFormat="1" applyFont="1" applyAlignment="1">
      <alignment horizontal="center" vertical="center"/>
    </xf>
    <xf numFmtId="10" fontId="6" fillId="0" borderId="0" xfId="0" applyNumberFormat="1" applyFont="1" applyAlignment="1">
      <alignment horizontal="center" vertical="center"/>
    </xf>
    <xf numFmtId="38" fontId="73" fillId="4" borderId="33" xfId="0" applyNumberFormat="1" applyFont="1" applyFill="1" applyBorder="1" applyAlignment="1">
      <alignment horizontal="center" vertical="center"/>
    </xf>
    <xf numFmtId="0" fontId="22" fillId="4" borderId="19" xfId="0" applyFont="1" applyFill="1" applyBorder="1">
      <alignment vertical="center"/>
    </xf>
    <xf numFmtId="10" fontId="22" fillId="4" borderId="19" xfId="0" applyNumberFormat="1" applyFont="1" applyFill="1" applyBorder="1" applyAlignment="1">
      <alignment horizontal="center" vertical="center"/>
    </xf>
    <xf numFmtId="14" fontId="22" fillId="4" borderId="19" xfId="0" applyNumberFormat="1" applyFont="1" applyFill="1" applyBorder="1" applyAlignment="1">
      <alignment horizontal="center" vertical="center"/>
    </xf>
    <xf numFmtId="0" fontId="6" fillId="0" borderId="0" xfId="0" applyFont="1" applyAlignment="1">
      <alignment horizontal="left" vertical="center"/>
    </xf>
    <xf numFmtId="38" fontId="6" fillId="0" borderId="0" xfId="1" applyNumberFormat="1" applyFont="1" applyAlignment="1">
      <alignment horizontal="left" vertical="center"/>
    </xf>
    <xf numFmtId="38" fontId="65" fillId="0" borderId="0" xfId="1" applyNumberFormat="1" applyFont="1" applyAlignment="1">
      <alignment horizontal="left" vertical="center"/>
    </xf>
    <xf numFmtId="179" fontId="22" fillId="4" borderId="19" xfId="0" applyNumberFormat="1" applyFont="1" applyFill="1" applyBorder="1" applyAlignment="1">
      <alignment horizontal="center" vertical="center"/>
    </xf>
    <xf numFmtId="0" fontId="67" fillId="2" borderId="49" xfId="0" applyFont="1" applyFill="1" applyBorder="1" applyAlignment="1">
      <alignment horizontal="center" vertical="center" wrapText="1"/>
    </xf>
    <xf numFmtId="40" fontId="6" fillId="0" borderId="0" xfId="2" applyNumberFormat="1" applyFont="1" applyAlignment="1">
      <alignment horizontal="center" vertical="center"/>
    </xf>
    <xf numFmtId="40" fontId="65" fillId="0" borderId="0" xfId="2" applyNumberFormat="1" applyFont="1" applyAlignment="1">
      <alignment horizontal="center" vertical="center"/>
    </xf>
    <xf numFmtId="9" fontId="107" fillId="0" borderId="89" xfId="10" applyNumberFormat="1" applyFont="1" applyBorder="1" applyAlignment="1">
      <alignment horizontal="center" vertical="center"/>
    </xf>
    <xf numFmtId="2" fontId="77" fillId="0" borderId="89" xfId="10" applyNumberFormat="1" applyFont="1" applyBorder="1" applyAlignment="1">
      <alignment horizontal="center" vertical="center" readingOrder="1"/>
    </xf>
    <xf numFmtId="9" fontId="107" fillId="0" borderId="72" xfId="10" applyNumberFormat="1" applyFont="1" applyBorder="1" applyAlignment="1">
      <alignment horizontal="center" vertical="center"/>
    </xf>
    <xf numFmtId="14" fontId="22" fillId="4" borderId="96" xfId="0" applyNumberFormat="1" applyFont="1" applyFill="1" applyBorder="1" applyAlignment="1">
      <alignment horizontal="center" vertical="center"/>
    </xf>
    <xf numFmtId="14" fontId="22" fillId="4" borderId="97" xfId="0" applyNumberFormat="1" applyFont="1" applyFill="1" applyBorder="1" applyAlignment="1">
      <alignment horizontal="center" vertical="center"/>
    </xf>
    <xf numFmtId="3" fontId="22" fillId="4" borderId="96" xfId="0" applyNumberFormat="1" applyFont="1" applyFill="1" applyBorder="1" applyAlignment="1">
      <alignment horizontal="center" vertical="center"/>
    </xf>
    <xf numFmtId="3" fontId="22" fillId="4" borderId="97" xfId="0" applyNumberFormat="1" applyFont="1" applyFill="1" applyBorder="1" applyAlignment="1">
      <alignment horizontal="center" vertical="center"/>
    </xf>
    <xf numFmtId="0" fontId="22" fillId="0" borderId="98" xfId="0" applyFont="1" applyBorder="1">
      <alignment vertical="center"/>
    </xf>
    <xf numFmtId="0" fontId="22" fillId="4" borderId="98" xfId="0" applyFont="1" applyFill="1" applyBorder="1" applyAlignment="1">
      <alignment horizontal="center" vertical="center"/>
    </xf>
    <xf numFmtId="0" fontId="22" fillId="4" borderId="96" xfId="0" applyFont="1" applyFill="1" applyBorder="1" applyAlignment="1">
      <alignment horizontal="center" vertical="center"/>
    </xf>
    <xf numFmtId="179" fontId="22" fillId="4" borderId="96" xfId="0" applyNumberFormat="1" applyFont="1" applyFill="1" applyBorder="1" applyAlignment="1">
      <alignment horizontal="center" vertical="center"/>
    </xf>
    <xf numFmtId="0" fontId="22" fillId="4" borderId="97" xfId="0" applyFont="1" applyFill="1" applyBorder="1" applyAlignment="1">
      <alignment horizontal="center" vertical="center"/>
    </xf>
    <xf numFmtId="179" fontId="22" fillId="4" borderId="98" xfId="0" applyNumberFormat="1" applyFont="1" applyFill="1" applyBorder="1" applyAlignment="1">
      <alignment horizontal="center" vertical="center"/>
    </xf>
    <xf numFmtId="0" fontId="68" fillId="2" borderId="104" xfId="0" applyFont="1" applyFill="1" applyBorder="1" applyAlignment="1">
      <alignment horizontal="center" vertical="center" wrapText="1"/>
    </xf>
    <xf numFmtId="38" fontId="24" fillId="4" borderId="0" xfId="2" applyFont="1" applyFill="1" applyBorder="1" applyAlignment="1">
      <alignment horizontal="center" vertical="center"/>
    </xf>
    <xf numFmtId="38" fontId="14" fillId="4" borderId="0" xfId="2" applyFont="1" applyFill="1" applyAlignment="1">
      <alignment horizontal="center" vertical="center"/>
    </xf>
    <xf numFmtId="0" fontId="8" fillId="4" borderId="0" xfId="0" applyFont="1" applyFill="1" applyAlignment="1">
      <alignment horizontal="right" vertical="center"/>
    </xf>
    <xf numFmtId="177" fontId="22" fillId="0" borderId="0" xfId="0" applyNumberFormat="1" applyFont="1" applyAlignment="1" applyProtection="1">
      <alignment horizontal="center" vertical="center"/>
      <protection locked="0"/>
    </xf>
    <xf numFmtId="14" fontId="22" fillId="4" borderId="98" xfId="0" applyNumberFormat="1" applyFont="1" applyFill="1" applyBorder="1" applyAlignment="1">
      <alignment horizontal="center" vertical="center"/>
    </xf>
    <xf numFmtId="38" fontId="24" fillId="4" borderId="98" xfId="2" applyFont="1" applyFill="1" applyBorder="1" applyAlignment="1">
      <alignment horizontal="center" vertical="center"/>
    </xf>
    <xf numFmtId="14" fontId="8" fillId="4" borderId="98" xfId="0" applyNumberFormat="1" applyFont="1" applyFill="1" applyBorder="1" applyAlignment="1">
      <alignment horizontal="right" vertical="center"/>
    </xf>
    <xf numFmtId="0" fontId="8" fillId="4" borderId="98" xfId="0" applyFont="1" applyFill="1" applyBorder="1" applyAlignment="1">
      <alignment horizontal="right" vertical="center"/>
    </xf>
    <xf numFmtId="180" fontId="22" fillId="4" borderId="98" xfId="0" applyNumberFormat="1" applyFont="1" applyFill="1" applyBorder="1" applyAlignment="1">
      <alignment horizontal="center" vertical="center"/>
    </xf>
    <xf numFmtId="177" fontId="22" fillId="0" borderId="98" xfId="0" applyNumberFormat="1" applyFont="1" applyBorder="1" applyAlignment="1" applyProtection="1">
      <alignment horizontal="center" vertical="center"/>
      <protection locked="0"/>
    </xf>
    <xf numFmtId="0" fontId="22" fillId="0" borderId="105" xfId="0" applyFont="1" applyBorder="1" applyAlignment="1">
      <alignment vertical="center" wrapText="1"/>
    </xf>
    <xf numFmtId="0" fontId="22" fillId="0" borderId="95" xfId="0" applyFont="1" applyBorder="1">
      <alignment vertical="center"/>
    </xf>
    <xf numFmtId="0" fontId="22" fillId="0" borderId="100" xfId="0" applyFont="1" applyBorder="1">
      <alignment vertical="center"/>
    </xf>
    <xf numFmtId="177" fontId="24" fillId="4" borderId="96" xfId="0" applyNumberFormat="1" applyFont="1" applyFill="1" applyBorder="1">
      <alignment vertical="center"/>
    </xf>
    <xf numFmtId="177" fontId="24" fillId="4" borderId="97" xfId="0" applyNumberFormat="1" applyFont="1" applyFill="1" applyBorder="1">
      <alignment vertical="center"/>
    </xf>
    <xf numFmtId="177" fontId="22" fillId="4" borderId="101" xfId="0" applyNumberFormat="1" applyFont="1" applyFill="1" applyBorder="1" applyAlignment="1" applyProtection="1">
      <alignment horizontal="right" vertical="center"/>
      <protection locked="0"/>
    </xf>
    <xf numFmtId="176" fontId="22" fillId="4" borderId="95" xfId="0" applyNumberFormat="1" applyFont="1" applyFill="1" applyBorder="1" applyAlignment="1">
      <alignment horizontal="left" vertical="center"/>
    </xf>
    <xf numFmtId="177" fontId="22" fillId="4" borderId="102" xfId="0" applyNumberFormat="1" applyFont="1" applyFill="1" applyBorder="1" applyAlignment="1" applyProtection="1">
      <alignment horizontal="right" vertical="center"/>
      <protection locked="0"/>
    </xf>
    <xf numFmtId="176" fontId="22" fillId="4" borderId="100" xfId="0" applyNumberFormat="1" applyFont="1" applyFill="1" applyBorder="1" applyAlignment="1">
      <alignment horizontal="left" vertical="center"/>
    </xf>
    <xf numFmtId="0" fontId="22" fillId="4" borderId="101" xfId="0" applyFont="1" applyFill="1" applyBorder="1" applyAlignment="1">
      <alignment horizontal="center" vertical="center"/>
    </xf>
    <xf numFmtId="0" fontId="22" fillId="4" borderId="102" xfId="0" applyFont="1" applyFill="1" applyBorder="1" applyAlignment="1">
      <alignment horizontal="center" vertical="center"/>
    </xf>
    <xf numFmtId="38" fontId="22" fillId="4" borderId="96" xfId="1" applyNumberFormat="1" applyFont="1" applyFill="1" applyBorder="1" applyAlignment="1">
      <alignment horizontal="center" vertical="center"/>
    </xf>
    <xf numFmtId="38" fontId="22" fillId="4" borderId="97" xfId="1" applyNumberFormat="1" applyFont="1" applyFill="1" applyBorder="1" applyAlignment="1">
      <alignment horizontal="center" vertical="center"/>
    </xf>
    <xf numFmtId="38" fontId="24" fillId="4" borderId="96" xfId="1" applyNumberFormat="1" applyFont="1" applyFill="1" applyBorder="1" applyAlignment="1">
      <alignment horizontal="center" vertical="center"/>
    </xf>
    <xf numFmtId="38" fontId="24" fillId="4" borderId="97" xfId="1" applyNumberFormat="1" applyFont="1" applyFill="1" applyBorder="1" applyAlignment="1">
      <alignment horizontal="center" vertical="center"/>
    </xf>
    <xf numFmtId="40" fontId="22" fillId="4" borderId="106" xfId="2" applyNumberFormat="1" applyFont="1" applyFill="1" applyBorder="1" applyAlignment="1">
      <alignment horizontal="center" vertical="center"/>
    </xf>
    <xf numFmtId="40" fontId="22" fillId="4" borderId="96" xfId="2" applyNumberFormat="1" applyFont="1" applyFill="1" applyBorder="1" applyAlignment="1">
      <alignment horizontal="center" vertical="center"/>
    </xf>
    <xf numFmtId="40" fontId="22" fillId="4" borderId="97" xfId="2" applyNumberFormat="1" applyFont="1" applyFill="1" applyBorder="1" applyAlignment="1">
      <alignment horizontal="center" vertical="center"/>
    </xf>
    <xf numFmtId="0" fontId="22" fillId="4" borderId="96" xfId="0" applyFont="1" applyFill="1" applyBorder="1" applyAlignment="1">
      <alignment horizontal="left" vertical="center"/>
    </xf>
    <xf numFmtId="0" fontId="22" fillId="4" borderId="97" xfId="0" applyFont="1" applyFill="1" applyBorder="1" applyAlignment="1">
      <alignment horizontal="left" vertical="center"/>
    </xf>
    <xf numFmtId="179" fontId="22" fillId="4" borderId="97" xfId="0" applyNumberFormat="1" applyFont="1" applyFill="1" applyBorder="1" applyAlignment="1">
      <alignment horizontal="center" vertical="center"/>
    </xf>
    <xf numFmtId="177" fontId="22" fillId="4" borderId="96" xfId="0" applyNumberFormat="1" applyFont="1" applyFill="1" applyBorder="1" applyAlignment="1">
      <alignment horizontal="center" vertical="center"/>
    </xf>
    <xf numFmtId="177" fontId="22" fillId="4" borderId="97" xfId="0" applyNumberFormat="1" applyFont="1" applyFill="1" applyBorder="1" applyAlignment="1">
      <alignment horizontal="center" vertical="center"/>
    </xf>
    <xf numFmtId="177" fontId="22" fillId="4" borderId="96" xfId="0" applyNumberFormat="1" applyFont="1" applyFill="1" applyBorder="1" applyAlignment="1" applyProtection="1">
      <alignment horizontal="center" vertical="center"/>
      <protection locked="0"/>
    </xf>
    <xf numFmtId="177" fontId="22" fillId="4" borderId="97" xfId="0" applyNumberFormat="1" applyFont="1" applyFill="1" applyBorder="1" applyAlignment="1" applyProtection="1">
      <alignment horizontal="center" vertical="center"/>
      <protection locked="0"/>
    </xf>
    <xf numFmtId="186" fontId="22" fillId="4" borderId="96" xfId="0" applyNumberFormat="1" applyFont="1" applyFill="1" applyBorder="1" applyAlignment="1" applyProtection="1">
      <alignment horizontal="center" vertical="center"/>
      <protection locked="0"/>
    </xf>
    <xf numFmtId="186" fontId="22" fillId="4" borderId="97" xfId="0" applyNumberFormat="1" applyFont="1" applyFill="1" applyBorder="1" applyAlignment="1" applyProtection="1">
      <alignment horizontal="center" vertical="center"/>
      <protection locked="0"/>
    </xf>
    <xf numFmtId="0" fontId="23" fillId="4" borderId="101" xfId="0" applyFont="1" applyFill="1" applyBorder="1" applyAlignment="1">
      <alignment horizontal="center" vertical="center"/>
    </xf>
    <xf numFmtId="0" fontId="23" fillId="4" borderId="102" xfId="0" applyFont="1" applyFill="1" applyBorder="1" applyAlignment="1">
      <alignment horizontal="center" vertical="center"/>
    </xf>
    <xf numFmtId="0" fontId="24" fillId="4" borderId="96" xfId="0" applyFont="1" applyFill="1" applyBorder="1">
      <alignment vertical="center"/>
    </xf>
    <xf numFmtId="0" fontId="24" fillId="4" borderId="97" xfId="0" applyFont="1" applyFill="1" applyBorder="1">
      <alignment vertical="center"/>
    </xf>
    <xf numFmtId="0" fontId="76" fillId="4" borderId="96" xfId="0" applyFont="1" applyFill="1" applyBorder="1">
      <alignment vertical="center"/>
    </xf>
    <xf numFmtId="0" fontId="99" fillId="4" borderId="96" xfId="0" applyFont="1" applyFill="1" applyBorder="1">
      <alignment vertical="center"/>
    </xf>
    <xf numFmtId="0" fontId="99" fillId="4" borderId="97" xfId="0" applyFont="1" applyFill="1" applyBorder="1">
      <alignment vertical="center"/>
    </xf>
    <xf numFmtId="14" fontId="68" fillId="2" borderId="103" xfId="0" applyNumberFormat="1" applyFont="1" applyFill="1" applyBorder="1" applyAlignment="1">
      <alignment horizontal="center" vertical="center" wrapText="1"/>
    </xf>
    <xf numFmtId="0" fontId="22" fillId="0" borderId="98" xfId="0" applyFont="1" applyBorder="1" applyAlignment="1">
      <alignment vertical="center" wrapText="1"/>
    </xf>
    <xf numFmtId="0" fontId="108" fillId="0" borderId="0" xfId="0" applyFont="1">
      <alignment vertical="center"/>
    </xf>
    <xf numFmtId="0" fontId="108" fillId="0" borderId="19" xfId="0" applyFont="1" applyBorder="1">
      <alignment vertical="center"/>
    </xf>
    <xf numFmtId="0" fontId="68" fillId="2" borderId="2" xfId="0" applyFont="1" applyFill="1" applyBorder="1" applyAlignment="1">
      <alignment horizontal="center" vertical="center" wrapText="1"/>
    </xf>
    <xf numFmtId="0" fontId="68" fillId="2" borderId="66" xfId="0" applyFont="1" applyFill="1" applyBorder="1" applyAlignment="1">
      <alignment horizontal="center" vertical="center" wrapText="1"/>
    </xf>
    <xf numFmtId="0" fontId="68" fillId="2" borderId="9" xfId="0" applyFont="1" applyFill="1" applyBorder="1" applyAlignment="1">
      <alignment horizontal="center" vertical="center" wrapText="1"/>
    </xf>
    <xf numFmtId="38" fontId="68" fillId="7" borderId="0" xfId="2" applyFont="1" applyFill="1" applyBorder="1" applyAlignment="1">
      <alignment horizontal="center" vertical="center" wrapText="1"/>
    </xf>
    <xf numFmtId="0" fontId="112" fillId="0" borderId="0" xfId="0" applyFont="1" applyAlignment="1">
      <alignment horizontal="center" vertical="center"/>
    </xf>
    <xf numFmtId="0" fontId="70" fillId="2" borderId="103" xfId="0" applyFont="1" applyFill="1" applyBorder="1" applyAlignment="1">
      <alignment horizontal="center" vertical="center" wrapText="1"/>
    </xf>
    <xf numFmtId="177" fontId="68" fillId="2" borderId="0" xfId="0" applyNumberFormat="1" applyFont="1" applyFill="1" applyAlignment="1">
      <alignment horizontal="center" vertical="center" wrapText="1"/>
    </xf>
    <xf numFmtId="0" fontId="68" fillId="2" borderId="11" xfId="0" applyFont="1" applyFill="1" applyBorder="1" applyAlignment="1">
      <alignment horizontal="center" vertical="center" wrapText="1"/>
    </xf>
    <xf numFmtId="0" fontId="68" fillId="0" borderId="0" xfId="0" applyFont="1" applyAlignment="1">
      <alignment horizontal="center" vertical="center"/>
    </xf>
    <xf numFmtId="0" fontId="67" fillId="3" borderId="3" xfId="0" applyFont="1" applyFill="1" applyBorder="1">
      <alignment vertical="center"/>
    </xf>
    <xf numFmtId="10" fontId="22" fillId="4" borderId="96" xfId="14" applyNumberFormat="1" applyFont="1" applyFill="1" applyBorder="1" applyAlignment="1" applyProtection="1">
      <alignment horizontal="center" vertical="center"/>
      <protection locked="0"/>
    </xf>
    <xf numFmtId="10" fontId="22" fillId="4" borderId="97" xfId="14" applyNumberFormat="1" applyFont="1" applyFill="1" applyBorder="1" applyAlignment="1" applyProtection="1">
      <alignment horizontal="center" vertical="center"/>
      <protection locked="0"/>
    </xf>
    <xf numFmtId="10" fontId="22" fillId="4" borderId="109" xfId="14" applyNumberFormat="1" applyFont="1" applyFill="1" applyBorder="1" applyAlignment="1" applyProtection="1">
      <alignment horizontal="center" vertical="center"/>
      <protection locked="0"/>
    </xf>
    <xf numFmtId="184" fontId="22" fillId="4" borderId="109" xfId="0" applyNumberFormat="1" applyFont="1" applyFill="1" applyBorder="1" applyAlignment="1">
      <alignment horizontal="center" vertical="center"/>
    </xf>
    <xf numFmtId="14" fontId="22" fillId="4" borderId="112" xfId="0" applyNumberFormat="1" applyFont="1" applyFill="1" applyBorder="1" applyAlignment="1">
      <alignment horizontal="center" vertical="center"/>
    </xf>
    <xf numFmtId="182" fontId="22" fillId="4" borderId="113" xfId="0" applyNumberFormat="1" applyFont="1" applyFill="1" applyBorder="1" applyAlignment="1">
      <alignment horizontal="center" vertical="center"/>
    </xf>
    <xf numFmtId="14" fontId="22" fillId="4" borderId="113" xfId="0" applyNumberFormat="1" applyFont="1" applyFill="1" applyBorder="1" applyAlignment="1">
      <alignment horizontal="center" vertical="center"/>
    </xf>
    <xf numFmtId="0" fontId="22" fillId="4" borderId="113" xfId="0" applyFont="1" applyFill="1" applyBorder="1">
      <alignment vertical="center"/>
    </xf>
    <xf numFmtId="0" fontId="22" fillId="4" borderId="113" xfId="0" applyFont="1" applyFill="1" applyBorder="1" applyAlignment="1">
      <alignment horizontal="center" vertical="center"/>
    </xf>
    <xf numFmtId="38" fontId="22" fillId="4" borderId="113" xfId="2" applyFont="1" applyFill="1" applyBorder="1" applyAlignment="1">
      <alignment horizontal="center" vertical="center"/>
    </xf>
    <xf numFmtId="0" fontId="34" fillId="6" borderId="113" xfId="0" applyFont="1" applyFill="1" applyBorder="1" applyAlignment="1">
      <alignment horizontal="center" vertical="center"/>
    </xf>
    <xf numFmtId="0" fontId="22" fillId="0" borderId="113" xfId="0" applyFont="1" applyBorder="1" applyAlignment="1">
      <alignment horizontal="center" vertical="center"/>
    </xf>
    <xf numFmtId="3" fontId="24" fillId="4" borderId="113" xfId="0" applyNumberFormat="1" applyFont="1" applyFill="1" applyBorder="1" applyAlignment="1">
      <alignment horizontal="center" vertical="center"/>
    </xf>
    <xf numFmtId="4" fontId="22" fillId="4" borderId="113" xfId="0" applyNumberFormat="1" applyFont="1" applyFill="1" applyBorder="1" applyAlignment="1">
      <alignment horizontal="center" vertical="center"/>
    </xf>
    <xf numFmtId="38" fontId="22" fillId="4" borderId="113" xfId="1" applyNumberFormat="1" applyFont="1" applyFill="1" applyBorder="1" applyAlignment="1">
      <alignment horizontal="center" vertical="center"/>
    </xf>
    <xf numFmtId="4" fontId="22" fillId="0" borderId="113" xfId="0" applyNumberFormat="1" applyFont="1" applyBorder="1" applyAlignment="1">
      <alignment horizontal="center" vertical="center"/>
    </xf>
    <xf numFmtId="0" fontId="22" fillId="6" borderId="113" xfId="0" applyFont="1" applyFill="1" applyBorder="1" applyAlignment="1">
      <alignment horizontal="center" vertical="center"/>
    </xf>
    <xf numFmtId="180" fontId="22" fillId="4" borderId="113" xfId="0" applyNumberFormat="1" applyFont="1" applyFill="1" applyBorder="1" applyAlignment="1">
      <alignment horizontal="center" vertical="center"/>
    </xf>
    <xf numFmtId="0" fontId="22" fillId="4" borderId="116" xfId="0" applyFont="1" applyFill="1" applyBorder="1" applyAlignment="1">
      <alignment horizontal="center" vertical="center"/>
    </xf>
    <xf numFmtId="38" fontId="22" fillId="4" borderId="116" xfId="1" applyNumberFormat="1" applyFont="1" applyFill="1" applyBorder="1" applyAlignment="1">
      <alignment horizontal="center" vertical="center"/>
    </xf>
    <xf numFmtId="0" fontId="22" fillId="6" borderId="116" xfId="0" applyFont="1" applyFill="1" applyBorder="1" applyAlignment="1">
      <alignment horizontal="center" vertical="center"/>
    </xf>
    <xf numFmtId="4" fontId="22" fillId="4" borderId="116" xfId="0" applyNumberFormat="1" applyFont="1" applyFill="1" applyBorder="1" applyAlignment="1">
      <alignment horizontal="center" vertical="center"/>
    </xf>
    <xf numFmtId="177" fontId="24" fillId="4" borderId="113" xfId="0" applyNumberFormat="1" applyFont="1" applyFill="1" applyBorder="1" applyAlignment="1">
      <alignment horizontal="center" vertical="center"/>
    </xf>
    <xf numFmtId="14" fontId="22" fillId="4" borderId="115" xfId="0" applyNumberFormat="1" applyFont="1" applyFill="1" applyBorder="1" applyAlignment="1">
      <alignment horizontal="center" vertical="center"/>
    </xf>
    <xf numFmtId="0" fontId="22" fillId="4" borderId="115" xfId="0" applyFont="1" applyFill="1" applyBorder="1">
      <alignment vertical="center"/>
    </xf>
    <xf numFmtId="180" fontId="22" fillId="4" borderId="115" xfId="0" applyNumberFormat="1" applyFont="1" applyFill="1" applyBorder="1" applyAlignment="1">
      <alignment horizontal="center" vertical="center"/>
    </xf>
    <xf numFmtId="0" fontId="22" fillId="4" borderId="115" xfId="0" applyFont="1" applyFill="1" applyBorder="1" applyAlignment="1">
      <alignment horizontal="center" vertical="center"/>
    </xf>
    <xf numFmtId="38" fontId="22" fillId="4" borderId="115" xfId="2" applyFont="1" applyFill="1" applyBorder="1" applyAlignment="1">
      <alignment horizontal="center" vertical="center"/>
    </xf>
    <xf numFmtId="38" fontId="22" fillId="4" borderId="115" xfId="1" applyNumberFormat="1" applyFont="1" applyFill="1" applyBorder="1" applyAlignment="1">
      <alignment horizontal="center" vertical="center"/>
    </xf>
    <xf numFmtId="0" fontId="22" fillId="0" borderId="115" xfId="0" applyFont="1" applyBorder="1" applyAlignment="1">
      <alignment horizontal="center" vertical="center"/>
    </xf>
    <xf numFmtId="3" fontId="24" fillId="4" borderId="115" xfId="0" applyNumberFormat="1" applyFont="1" applyFill="1" applyBorder="1" applyAlignment="1">
      <alignment horizontal="center" vertical="center"/>
    </xf>
    <xf numFmtId="4" fontId="22" fillId="4" borderId="115" xfId="0" applyNumberFormat="1" applyFont="1" applyFill="1" applyBorder="1" applyAlignment="1">
      <alignment horizontal="center" vertical="center"/>
    </xf>
    <xf numFmtId="177" fontId="24" fillId="4" borderId="115" xfId="0" applyNumberFormat="1" applyFont="1" applyFill="1" applyBorder="1" applyAlignment="1">
      <alignment horizontal="center" vertical="center"/>
    </xf>
    <xf numFmtId="0" fontId="22" fillId="6" borderId="115" xfId="0" applyFont="1" applyFill="1" applyBorder="1" applyAlignment="1">
      <alignment horizontal="center" vertical="center"/>
    </xf>
    <xf numFmtId="14" fontId="22" fillId="4" borderId="110" xfId="0" applyNumberFormat="1" applyFont="1" applyFill="1" applyBorder="1" applyAlignment="1">
      <alignment horizontal="center" vertical="center"/>
    </xf>
    <xf numFmtId="0" fontId="22" fillId="4" borderId="110" xfId="0" applyFont="1" applyFill="1" applyBorder="1">
      <alignment vertical="center"/>
    </xf>
    <xf numFmtId="180" fontId="22" fillId="4" borderId="110" xfId="0" applyNumberFormat="1" applyFont="1" applyFill="1" applyBorder="1" applyAlignment="1">
      <alignment horizontal="center" vertical="center"/>
    </xf>
    <xf numFmtId="0" fontId="22" fillId="4" borderId="110" xfId="0" applyFont="1" applyFill="1" applyBorder="1" applyAlignment="1">
      <alignment horizontal="center" vertical="center"/>
    </xf>
    <xf numFmtId="38" fontId="22" fillId="4" borderId="110" xfId="2" applyFont="1" applyFill="1" applyBorder="1" applyAlignment="1">
      <alignment horizontal="center" vertical="center"/>
    </xf>
    <xf numFmtId="38" fontId="22" fillId="4" borderId="110" xfId="1" applyNumberFormat="1" applyFont="1" applyFill="1" applyBorder="1" applyAlignment="1">
      <alignment horizontal="center" vertical="center"/>
    </xf>
    <xf numFmtId="0" fontId="22" fillId="0" borderId="110" xfId="0" applyFont="1" applyBorder="1" applyAlignment="1">
      <alignment horizontal="center" vertical="center"/>
    </xf>
    <xf numFmtId="3" fontId="24" fillId="4" borderId="110" xfId="0" applyNumberFormat="1" applyFont="1" applyFill="1" applyBorder="1" applyAlignment="1">
      <alignment horizontal="center" vertical="center"/>
    </xf>
    <xf numFmtId="4" fontId="22" fillId="4" borderId="110" xfId="0" applyNumberFormat="1" applyFont="1" applyFill="1" applyBorder="1" applyAlignment="1">
      <alignment horizontal="center" vertical="center"/>
    </xf>
    <xf numFmtId="177" fontId="24" fillId="4" borderId="110" xfId="0" applyNumberFormat="1" applyFont="1" applyFill="1" applyBorder="1" applyAlignment="1">
      <alignment horizontal="center" vertical="center"/>
    </xf>
    <xf numFmtId="176" fontId="22" fillId="4" borderId="117" xfId="0" applyNumberFormat="1" applyFont="1" applyFill="1" applyBorder="1" applyAlignment="1">
      <alignment horizontal="center" vertical="center"/>
    </xf>
    <xf numFmtId="177" fontId="22" fillId="4" borderId="118" xfId="0" applyNumberFormat="1" applyFont="1" applyFill="1" applyBorder="1" applyAlignment="1" applyProtection="1">
      <alignment horizontal="center" vertical="center"/>
      <protection locked="0"/>
    </xf>
    <xf numFmtId="176" fontId="22" fillId="4" borderId="119" xfId="0" applyNumberFormat="1" applyFont="1" applyFill="1" applyBorder="1" applyAlignment="1">
      <alignment horizontal="center" vertical="center"/>
    </xf>
    <xf numFmtId="38" fontId="22" fillId="0" borderId="118" xfId="2" applyFont="1" applyBorder="1" applyAlignment="1">
      <alignment horizontal="center" vertical="center"/>
    </xf>
    <xf numFmtId="38" fontId="22" fillId="0" borderId="120" xfId="2" applyFont="1" applyBorder="1" applyAlignment="1">
      <alignment horizontal="center" vertical="center"/>
    </xf>
    <xf numFmtId="38" fontId="22" fillId="0" borderId="122" xfId="2" applyFont="1" applyBorder="1" applyAlignment="1">
      <alignment horizontal="center" vertical="center"/>
    </xf>
    <xf numFmtId="10" fontId="22" fillId="4" borderId="106" xfId="14" applyNumberFormat="1" applyFont="1" applyFill="1" applyBorder="1" applyAlignment="1" applyProtection="1">
      <alignment horizontal="center" vertical="center"/>
      <protection locked="0"/>
    </xf>
    <xf numFmtId="176" fontId="8" fillId="4" borderId="0" xfId="0" applyNumberFormat="1" applyFont="1" applyFill="1" applyAlignment="1">
      <alignment horizontal="center" vertical="center"/>
    </xf>
    <xf numFmtId="176" fontId="22" fillId="0" borderId="119" xfId="0" applyNumberFormat="1" applyFont="1" applyBorder="1" applyAlignment="1">
      <alignment horizontal="center" vertical="center"/>
    </xf>
    <xf numFmtId="176" fontId="22" fillId="4" borderId="121" xfId="0" applyNumberFormat="1" applyFont="1" applyFill="1" applyBorder="1" applyAlignment="1">
      <alignment horizontal="center" vertical="center"/>
    </xf>
    <xf numFmtId="176" fontId="22" fillId="0" borderId="121" xfId="0" applyNumberFormat="1" applyFont="1" applyBorder="1" applyAlignment="1">
      <alignment horizontal="center" vertical="center"/>
    </xf>
    <xf numFmtId="176" fontId="22" fillId="0" borderId="123" xfId="0" applyNumberFormat="1" applyFont="1" applyBorder="1" applyAlignment="1">
      <alignment horizontal="center" vertical="center"/>
    </xf>
    <xf numFmtId="176" fontId="22" fillId="0" borderId="0" xfId="0" applyNumberFormat="1" applyFont="1" applyAlignment="1">
      <alignment horizontal="center" vertical="center"/>
    </xf>
    <xf numFmtId="176" fontId="8" fillId="0" borderId="0" xfId="0" applyNumberFormat="1" applyFont="1" applyAlignment="1">
      <alignment horizontal="center" vertical="center"/>
    </xf>
    <xf numFmtId="176" fontId="6" fillId="0" borderId="0" xfId="0" applyNumberFormat="1" applyFont="1" applyAlignment="1">
      <alignment horizontal="center" vertical="center"/>
    </xf>
    <xf numFmtId="176" fontId="65" fillId="0" borderId="0" xfId="0" applyNumberFormat="1" applyFont="1">
      <alignment vertical="center"/>
    </xf>
    <xf numFmtId="176" fontId="0" fillId="0" borderId="0" xfId="0" applyNumberFormat="1">
      <alignment vertical="center"/>
    </xf>
    <xf numFmtId="38" fontId="23" fillId="0" borderId="0" xfId="0" applyNumberFormat="1" applyFont="1" applyAlignment="1">
      <alignment horizontal="center" vertical="center"/>
    </xf>
    <xf numFmtId="0" fontId="22" fillId="0" borderId="129" xfId="0" applyFont="1" applyBorder="1" applyAlignment="1" applyProtection="1">
      <alignment horizontal="left" vertical="center" indent="1"/>
      <protection locked="0"/>
    </xf>
    <xf numFmtId="0" fontId="22" fillId="0" borderId="129" xfId="0" applyFont="1" applyBorder="1">
      <alignment vertical="center"/>
    </xf>
    <xf numFmtId="0" fontId="22" fillId="4" borderId="129" xfId="0" applyFont="1" applyFill="1" applyBorder="1" applyAlignment="1">
      <alignment horizontal="center" vertical="center"/>
    </xf>
    <xf numFmtId="10" fontId="22" fillId="4" borderId="129" xfId="0" applyNumberFormat="1" applyFont="1" applyFill="1" applyBorder="1" applyAlignment="1">
      <alignment horizontal="center" vertical="center"/>
    </xf>
    <xf numFmtId="14" fontId="22" fillId="4" borderId="129" xfId="0" applyNumberFormat="1" applyFont="1" applyFill="1" applyBorder="1" applyAlignment="1">
      <alignment horizontal="center" vertical="center"/>
    </xf>
    <xf numFmtId="180" fontId="22" fillId="4" borderId="129" xfId="0" applyNumberFormat="1" applyFont="1" applyFill="1" applyBorder="1" applyAlignment="1">
      <alignment horizontal="center" vertical="center"/>
    </xf>
    <xf numFmtId="182" fontId="22" fillId="4" borderId="129" xfId="0" applyNumberFormat="1" applyFont="1" applyFill="1" applyBorder="1" applyAlignment="1">
      <alignment horizontal="center" vertical="center"/>
    </xf>
    <xf numFmtId="0" fontId="22" fillId="0" borderId="129" xfId="0" applyFont="1" applyBorder="1" applyAlignment="1">
      <alignment horizontal="center" vertical="center"/>
    </xf>
    <xf numFmtId="38" fontId="22" fillId="4" borderId="129" xfId="1" applyNumberFormat="1" applyFont="1" applyFill="1" applyBorder="1" applyAlignment="1">
      <alignment horizontal="center" vertical="center"/>
    </xf>
    <xf numFmtId="14" fontId="22" fillId="0" borderId="129" xfId="0" applyNumberFormat="1" applyFont="1" applyBorder="1" applyAlignment="1">
      <alignment horizontal="center" vertical="center"/>
    </xf>
    <xf numFmtId="0" fontId="22" fillId="6" borderId="129" xfId="0" applyFont="1" applyFill="1" applyBorder="1" applyAlignment="1">
      <alignment horizontal="center" vertical="center"/>
    </xf>
    <xf numFmtId="38" fontId="23" fillId="0" borderId="129" xfId="0" applyNumberFormat="1" applyFont="1" applyBorder="1" applyAlignment="1">
      <alignment horizontal="center" vertical="center"/>
    </xf>
    <xf numFmtId="38" fontId="22" fillId="0" borderId="129" xfId="1" applyNumberFormat="1" applyFont="1" applyBorder="1" applyAlignment="1">
      <alignment horizontal="center" vertical="center"/>
    </xf>
    <xf numFmtId="3" fontId="24" fillId="0" borderId="129" xfId="0" applyNumberFormat="1" applyFont="1" applyBorder="1" applyAlignment="1">
      <alignment horizontal="center" vertical="center"/>
    </xf>
    <xf numFmtId="0" fontId="24" fillId="0" borderId="129" xfId="0" applyFont="1" applyBorder="1" applyAlignment="1">
      <alignment horizontal="center" vertical="center"/>
    </xf>
    <xf numFmtId="37" fontId="22" fillId="0" borderId="129" xfId="1" applyNumberFormat="1" applyFont="1" applyFill="1" applyBorder="1" applyAlignment="1">
      <alignment horizontal="center" vertical="center"/>
    </xf>
    <xf numFmtId="40" fontId="22" fillId="0" borderId="129" xfId="1" applyFont="1" applyBorder="1" applyAlignment="1">
      <alignment horizontal="center" vertical="center"/>
    </xf>
    <xf numFmtId="38" fontId="24" fillId="0" borderId="129" xfId="2" applyFont="1" applyFill="1" applyBorder="1" applyAlignment="1">
      <alignment horizontal="center" vertical="center"/>
    </xf>
    <xf numFmtId="0" fontId="22" fillId="0" borderId="129" xfId="0" applyFont="1" applyBorder="1" applyAlignment="1" applyProtection="1">
      <alignment horizontal="center" vertical="center"/>
      <protection locked="0"/>
    </xf>
    <xf numFmtId="2" fontId="22" fillId="4" borderId="129" xfId="0" applyNumberFormat="1" applyFont="1" applyFill="1" applyBorder="1" applyAlignment="1">
      <alignment horizontal="center" vertical="center"/>
    </xf>
    <xf numFmtId="38" fontId="24" fillId="0" borderId="0" xfId="1" applyNumberFormat="1" applyFont="1" applyBorder="1" applyAlignment="1">
      <alignment horizontal="center" vertical="center"/>
    </xf>
    <xf numFmtId="38" fontId="24" fillId="0" borderId="129" xfId="1" applyNumberFormat="1" applyFont="1" applyBorder="1" applyAlignment="1">
      <alignment horizontal="center" vertical="center"/>
    </xf>
    <xf numFmtId="188" fontId="22" fillId="0" borderId="129" xfId="0" applyNumberFormat="1" applyFont="1" applyBorder="1" applyAlignment="1">
      <alignment horizontal="center" vertical="center"/>
    </xf>
    <xf numFmtId="1" fontId="22" fillId="4" borderId="0" xfId="0" applyNumberFormat="1" applyFont="1" applyFill="1" applyAlignment="1">
      <alignment horizontal="center" vertical="center"/>
    </xf>
    <xf numFmtId="1" fontId="22" fillId="4" borderId="129" xfId="0" applyNumberFormat="1" applyFont="1" applyFill="1" applyBorder="1" applyAlignment="1">
      <alignment horizontal="center" vertical="center"/>
    </xf>
    <xf numFmtId="176" fontId="22" fillId="6" borderId="0" xfId="0" applyNumberFormat="1" applyFont="1" applyFill="1" applyAlignment="1" applyProtection="1">
      <alignment horizontal="center" vertical="center"/>
      <protection locked="0"/>
    </xf>
    <xf numFmtId="38" fontId="22" fillId="4" borderId="106" xfId="1" applyNumberFormat="1" applyFont="1" applyFill="1" applyBorder="1" applyAlignment="1">
      <alignment horizontal="center" vertical="center"/>
    </xf>
    <xf numFmtId="14" fontId="22" fillId="4" borderId="106" xfId="0" applyNumberFormat="1" applyFont="1" applyFill="1" applyBorder="1" applyAlignment="1">
      <alignment horizontal="center" vertical="center"/>
    </xf>
    <xf numFmtId="4" fontId="22" fillId="6" borderId="0" xfId="0" applyNumberFormat="1" applyFont="1" applyFill="1" applyAlignment="1" applyProtection="1">
      <alignment horizontal="left" vertical="center"/>
      <protection locked="0"/>
    </xf>
    <xf numFmtId="176" fontId="22" fillId="4" borderId="123" xfId="0" applyNumberFormat="1" applyFont="1" applyFill="1" applyBorder="1" applyAlignment="1">
      <alignment horizontal="center" vertical="center"/>
    </xf>
    <xf numFmtId="182" fontId="22" fillId="4" borderId="110" xfId="0" applyNumberFormat="1" applyFont="1" applyFill="1" applyBorder="1" applyAlignment="1">
      <alignment horizontal="center" vertical="center"/>
    </xf>
    <xf numFmtId="14" fontId="22" fillId="4" borderId="0" xfId="0" applyNumberFormat="1" applyFont="1" applyFill="1" applyAlignment="1">
      <alignment horizontal="left" vertical="center"/>
    </xf>
    <xf numFmtId="14" fontId="22" fillId="4" borderId="129" xfId="0" applyNumberFormat="1" applyFont="1" applyFill="1" applyBorder="1" applyAlignment="1">
      <alignment horizontal="left" vertical="center"/>
    </xf>
    <xf numFmtId="41" fontId="14" fillId="11" borderId="0" xfId="10" applyNumberFormat="1" applyFont="1" applyFill="1">
      <alignment vertical="center"/>
    </xf>
    <xf numFmtId="9" fontId="14" fillId="11" borderId="0" xfId="10" applyNumberFormat="1" applyFont="1" applyFill="1">
      <alignment vertical="center"/>
    </xf>
    <xf numFmtId="176" fontId="6" fillId="0" borderId="0" xfId="0" applyNumberFormat="1" applyFont="1">
      <alignment vertical="center"/>
    </xf>
    <xf numFmtId="40" fontId="62" fillId="0" borderId="0" xfId="2" applyNumberFormat="1" applyFont="1" applyFill="1" applyBorder="1" applyAlignment="1">
      <alignment horizontal="center" vertical="top" wrapText="1"/>
    </xf>
    <xf numFmtId="0" fontId="117" fillId="0" borderId="0" xfId="0" applyFont="1">
      <alignment vertical="center"/>
    </xf>
    <xf numFmtId="0" fontId="117" fillId="0" borderId="0" xfId="0" applyFont="1" applyAlignment="1">
      <alignment horizontal="left" vertical="center"/>
    </xf>
    <xf numFmtId="14" fontId="34" fillId="4" borderId="113" xfId="0" applyNumberFormat="1" applyFont="1" applyFill="1" applyBorder="1" applyAlignment="1">
      <alignment horizontal="center" vertical="center"/>
    </xf>
    <xf numFmtId="0" fontId="68" fillId="2" borderId="0" xfId="0" applyFont="1" applyFill="1" applyAlignment="1">
      <alignment horizontal="center" vertical="center" wrapText="1"/>
    </xf>
    <xf numFmtId="0" fontId="15" fillId="3" borderId="0" xfId="0" applyFont="1" applyFill="1" applyAlignment="1">
      <alignment horizontal="left" vertical="center"/>
    </xf>
    <xf numFmtId="3" fontId="24" fillId="4" borderId="113" xfId="0" applyNumberFormat="1" applyFont="1" applyFill="1" applyBorder="1" applyAlignment="1">
      <alignment horizontal="left" vertical="center"/>
    </xf>
    <xf numFmtId="3" fontId="24" fillId="4" borderId="113" xfId="0" applyNumberFormat="1" applyFont="1" applyFill="1" applyBorder="1" applyAlignment="1">
      <alignment horizontal="left" vertical="center" wrapText="1"/>
    </xf>
    <xf numFmtId="3" fontId="24" fillId="4" borderId="116" xfId="0" applyNumberFormat="1" applyFont="1" applyFill="1" applyBorder="1" applyAlignment="1">
      <alignment horizontal="left" vertical="center"/>
    </xf>
    <xf numFmtId="3" fontId="24" fillId="4" borderId="115" xfId="0" applyNumberFormat="1" applyFont="1" applyFill="1" applyBorder="1" applyAlignment="1">
      <alignment horizontal="left" vertical="center"/>
    </xf>
    <xf numFmtId="3" fontId="24" fillId="4" borderId="110" xfId="0" applyNumberFormat="1" applyFont="1" applyFill="1" applyBorder="1" applyAlignment="1">
      <alignment horizontal="left" vertical="center"/>
    </xf>
    <xf numFmtId="38" fontId="8" fillId="0" borderId="0" xfId="2" applyFont="1" applyAlignment="1">
      <alignment horizontal="left" vertical="center"/>
    </xf>
    <xf numFmtId="38" fontId="6" fillId="0" borderId="0" xfId="2" applyFont="1" applyAlignment="1">
      <alignment horizontal="left" vertical="center"/>
    </xf>
    <xf numFmtId="38" fontId="65" fillId="0" borderId="0" xfId="2" applyFont="1" applyAlignment="1">
      <alignment horizontal="left" vertical="center"/>
    </xf>
    <xf numFmtId="40" fontId="108" fillId="0" borderId="0" xfId="2" applyNumberFormat="1" applyFont="1">
      <alignment vertical="center"/>
    </xf>
    <xf numFmtId="0" fontId="6" fillId="0" borderId="0" xfId="0" applyFont="1" applyAlignment="1">
      <alignment horizontal="right" vertical="center" indent="1"/>
    </xf>
    <xf numFmtId="0" fontId="22" fillId="0" borderId="133" xfId="0" applyFont="1" applyBorder="1">
      <alignment vertical="center"/>
    </xf>
    <xf numFmtId="0" fontId="24" fillId="0" borderId="133" xfId="0" applyFont="1" applyBorder="1" applyAlignment="1">
      <alignment vertical="center" wrapText="1"/>
    </xf>
    <xf numFmtId="0" fontId="22" fillId="4" borderId="133" xfId="0" applyFont="1" applyFill="1" applyBorder="1">
      <alignment vertical="center"/>
    </xf>
    <xf numFmtId="176" fontId="22" fillId="4" borderId="133" xfId="0" applyNumberFormat="1" applyFont="1" applyFill="1" applyBorder="1" applyAlignment="1">
      <alignment horizontal="center" vertical="center"/>
    </xf>
    <xf numFmtId="14" fontId="22" fillId="4" borderId="133" xfId="0" applyNumberFormat="1" applyFont="1" applyFill="1" applyBorder="1" applyAlignment="1">
      <alignment horizontal="center" vertical="center"/>
    </xf>
    <xf numFmtId="0" fontId="22" fillId="0" borderId="135" xfId="0" applyFont="1" applyBorder="1">
      <alignment vertical="center"/>
    </xf>
    <xf numFmtId="0" fontId="24" fillId="0" borderId="135" xfId="0" applyFont="1" applyBorder="1" applyAlignment="1">
      <alignment vertical="center" wrapText="1"/>
    </xf>
    <xf numFmtId="0" fontId="22" fillId="4" borderId="135" xfId="0" applyFont="1" applyFill="1" applyBorder="1">
      <alignment vertical="center"/>
    </xf>
    <xf numFmtId="176" fontId="22" fillId="4" borderId="135" xfId="0" applyNumberFormat="1" applyFont="1" applyFill="1" applyBorder="1" applyAlignment="1">
      <alignment horizontal="center" vertical="center"/>
    </xf>
    <xf numFmtId="0" fontId="108" fillId="0" borderId="0" xfId="0" applyFont="1" applyAlignment="1">
      <alignment horizontal="left" vertical="center" indent="1"/>
    </xf>
    <xf numFmtId="0" fontId="22" fillId="0" borderId="137" xfId="0" applyFont="1" applyBorder="1">
      <alignment vertical="center"/>
    </xf>
    <xf numFmtId="0" fontId="24" fillId="0" borderId="137" xfId="0" applyFont="1" applyBorder="1" applyAlignment="1">
      <alignment vertical="center" wrapText="1"/>
    </xf>
    <xf numFmtId="0" fontId="22" fillId="4" borderId="137" xfId="0" applyFont="1" applyFill="1" applyBorder="1">
      <alignment vertical="center"/>
    </xf>
    <xf numFmtId="176" fontId="22" fillId="4" borderId="137" xfId="0" applyNumberFormat="1" applyFont="1" applyFill="1" applyBorder="1" applyAlignment="1">
      <alignment horizontal="center" vertical="center"/>
    </xf>
    <xf numFmtId="0" fontId="62" fillId="0" borderId="143" xfId="0" applyFont="1" applyBorder="1" applyAlignment="1">
      <alignment vertical="center" wrapText="1"/>
    </xf>
    <xf numFmtId="0" fontId="62" fillId="0" borderId="144" xfId="0" applyFont="1" applyBorder="1" applyAlignment="1">
      <alignment vertical="center" wrapText="1"/>
    </xf>
    <xf numFmtId="0" fontId="62" fillId="0" borderId="144" xfId="0" applyFont="1" applyBorder="1" applyAlignment="1">
      <alignment horizontal="center" vertical="center" wrapText="1"/>
    </xf>
    <xf numFmtId="176" fontId="62" fillId="0" borderId="0" xfId="0" applyNumberFormat="1" applyFont="1" applyAlignment="1">
      <alignment wrapText="1"/>
    </xf>
    <xf numFmtId="40" fontId="62" fillId="0" borderId="0" xfId="2" applyNumberFormat="1" applyFont="1" applyFill="1" applyBorder="1" applyAlignment="1">
      <alignment vertical="top" wrapText="1"/>
    </xf>
    <xf numFmtId="40" fontId="62" fillId="0" borderId="0" xfId="2" applyNumberFormat="1" applyFont="1" applyFill="1" applyBorder="1" applyAlignment="1">
      <alignment horizontal="center" vertical="center" wrapText="1"/>
    </xf>
    <xf numFmtId="40" fontId="22" fillId="4" borderId="137" xfId="2" applyNumberFormat="1" applyFont="1" applyFill="1" applyBorder="1" applyAlignment="1">
      <alignment horizontal="center" vertical="center"/>
    </xf>
    <xf numFmtId="40" fontId="22" fillId="4" borderId="133" xfId="2" applyNumberFormat="1" applyFont="1" applyFill="1" applyBorder="1" applyAlignment="1">
      <alignment horizontal="center" vertical="center"/>
    </xf>
    <xf numFmtId="40" fontId="24" fillId="0" borderId="135" xfId="2" applyNumberFormat="1" applyFont="1" applyBorder="1" applyAlignment="1">
      <alignment horizontal="center" vertical="center"/>
    </xf>
    <xf numFmtId="38" fontId="24" fillId="0" borderId="147" xfId="2" applyFont="1" applyBorder="1" applyAlignment="1">
      <alignment horizontal="center" vertical="center"/>
    </xf>
    <xf numFmtId="38" fontId="24" fillId="0" borderId="148" xfId="2" applyFont="1" applyBorder="1" applyAlignment="1">
      <alignment horizontal="center" vertical="center"/>
    </xf>
    <xf numFmtId="38" fontId="24" fillId="0" borderId="149" xfId="2" applyFont="1" applyBorder="1" applyAlignment="1">
      <alignment horizontal="center" vertical="center"/>
    </xf>
    <xf numFmtId="0" fontId="22" fillId="0" borderId="147" xfId="0" applyFont="1" applyBorder="1" applyAlignment="1" applyProtection="1">
      <alignment horizontal="left" vertical="center" indent="1"/>
      <protection locked="0"/>
    </xf>
    <xf numFmtId="0" fontId="22" fillId="0" borderId="148" xfId="0" applyFont="1" applyBorder="1" applyAlignment="1" applyProtection="1">
      <alignment horizontal="left" vertical="center" indent="1"/>
      <protection locked="0"/>
    </xf>
    <xf numFmtId="0" fontId="22" fillId="0" borderId="149" xfId="0" applyFont="1" applyBorder="1" applyAlignment="1" applyProtection="1">
      <alignment horizontal="left" vertical="center" indent="1"/>
      <protection locked="0"/>
    </xf>
    <xf numFmtId="184" fontId="22" fillId="4" borderId="147" xfId="0" applyNumberFormat="1" applyFont="1" applyFill="1" applyBorder="1" applyAlignment="1">
      <alignment horizontal="center" vertical="center"/>
    </xf>
    <xf numFmtId="184" fontId="22" fillId="4" borderId="148" xfId="0" applyNumberFormat="1" applyFont="1" applyFill="1" applyBorder="1" applyAlignment="1">
      <alignment horizontal="center" vertical="center"/>
    </xf>
    <xf numFmtId="40" fontId="24" fillId="0" borderId="149" xfId="2" applyNumberFormat="1" applyFont="1" applyBorder="1" applyAlignment="1">
      <alignment horizontal="center" vertical="center"/>
    </xf>
    <xf numFmtId="40" fontId="22" fillId="0" borderId="148" xfId="2" applyNumberFormat="1" applyFont="1" applyBorder="1" applyAlignment="1">
      <alignment horizontal="center" vertical="center"/>
    </xf>
    <xf numFmtId="10" fontId="22" fillId="4" borderId="147" xfId="0" applyNumberFormat="1" applyFont="1" applyFill="1" applyBorder="1" applyAlignment="1">
      <alignment horizontal="center" vertical="center"/>
    </xf>
    <xf numFmtId="10" fontId="22" fillId="4" borderId="148" xfId="0" applyNumberFormat="1" applyFont="1" applyFill="1" applyBorder="1" applyAlignment="1">
      <alignment horizontal="center" vertical="center"/>
    </xf>
    <xf numFmtId="10" fontId="22" fillId="4" borderId="149" xfId="0" applyNumberFormat="1" applyFont="1" applyFill="1" applyBorder="1" applyAlignment="1">
      <alignment horizontal="center" vertical="center"/>
    </xf>
    <xf numFmtId="182" fontId="22" fillId="4" borderId="147" xfId="0" applyNumberFormat="1" applyFont="1" applyFill="1" applyBorder="1" applyAlignment="1">
      <alignment horizontal="center" vertical="center"/>
    </xf>
    <xf numFmtId="182" fontId="22" fillId="4" borderId="148" xfId="0" applyNumberFormat="1" applyFont="1" applyFill="1" applyBorder="1" applyAlignment="1">
      <alignment horizontal="center" vertical="center"/>
    </xf>
    <xf numFmtId="182" fontId="22" fillId="4" borderId="149" xfId="0" applyNumberFormat="1" applyFont="1" applyFill="1" applyBorder="1" applyAlignment="1">
      <alignment horizontal="center" vertical="center"/>
    </xf>
    <xf numFmtId="3" fontId="24" fillId="4" borderId="148" xfId="0" applyNumberFormat="1" applyFont="1" applyFill="1" applyBorder="1" applyAlignment="1">
      <alignment horizontal="center" vertical="center"/>
    </xf>
    <xf numFmtId="3" fontId="24" fillId="4" borderId="149" xfId="0" applyNumberFormat="1" applyFont="1" applyFill="1" applyBorder="1" applyAlignment="1">
      <alignment horizontal="center" vertical="center"/>
    </xf>
    <xf numFmtId="3" fontId="22" fillId="4" borderId="148" xfId="0" applyNumberFormat="1" applyFont="1" applyFill="1" applyBorder="1" applyAlignment="1">
      <alignment horizontal="center" vertical="center"/>
    </xf>
    <xf numFmtId="3" fontId="22" fillId="4" borderId="149" xfId="0" applyNumberFormat="1" applyFont="1" applyFill="1" applyBorder="1" applyAlignment="1">
      <alignment horizontal="center" vertical="center"/>
    </xf>
    <xf numFmtId="0" fontId="4" fillId="24" borderId="0" xfId="10" applyFill="1">
      <alignment vertical="center"/>
    </xf>
    <xf numFmtId="0" fontId="4" fillId="24" borderId="87" xfId="10" applyFill="1" applyBorder="1">
      <alignment vertical="center"/>
    </xf>
    <xf numFmtId="10" fontId="77" fillId="24" borderId="72" xfId="10" applyNumberFormat="1" applyFont="1" applyFill="1" applyBorder="1" applyAlignment="1">
      <alignment horizontal="center" vertical="center"/>
    </xf>
    <xf numFmtId="9" fontId="107" fillId="24" borderId="72" xfId="10" applyNumberFormat="1" applyFont="1" applyFill="1" applyBorder="1" applyAlignment="1">
      <alignment horizontal="center" vertical="center"/>
    </xf>
    <xf numFmtId="9" fontId="4" fillId="24" borderId="72" xfId="10" applyNumberFormat="1" applyFill="1" applyBorder="1" applyAlignment="1">
      <alignment horizontal="center" vertical="center"/>
    </xf>
    <xf numFmtId="2" fontId="77" fillId="0" borderId="72" xfId="10" applyNumberFormat="1" applyFont="1" applyBorder="1" applyAlignment="1">
      <alignment horizontal="center" vertical="center" readingOrder="1"/>
    </xf>
    <xf numFmtId="177" fontId="0" fillId="0" borderId="0" xfId="10" applyNumberFormat="1" applyFont="1">
      <alignment vertical="center"/>
    </xf>
    <xf numFmtId="177" fontId="0" fillId="0" borderId="72" xfId="10" applyNumberFormat="1" applyFont="1" applyBorder="1" applyAlignment="1">
      <alignment horizontal="center" vertical="center"/>
    </xf>
    <xf numFmtId="177" fontId="0" fillId="0" borderId="72" xfId="13" applyNumberFormat="1" applyFont="1" applyBorder="1">
      <alignment vertical="center"/>
    </xf>
    <xf numFmtId="177" fontId="0" fillId="0" borderId="72" xfId="10" applyNumberFormat="1" applyFont="1" applyBorder="1">
      <alignment vertical="center"/>
    </xf>
    <xf numFmtId="177" fontId="0" fillId="0" borderId="35" xfId="13" applyNumberFormat="1" applyFont="1" applyBorder="1">
      <alignment vertical="center"/>
    </xf>
    <xf numFmtId="177" fontId="109" fillId="0" borderId="89" xfId="13" applyNumberFormat="1" applyFont="1" applyBorder="1">
      <alignment vertical="center"/>
    </xf>
    <xf numFmtId="177" fontId="0" fillId="24" borderId="72" xfId="13" applyNumberFormat="1" applyFont="1" applyFill="1" applyBorder="1">
      <alignment vertical="center"/>
    </xf>
    <xf numFmtId="0" fontId="68" fillId="27" borderId="140" xfId="0" applyFont="1" applyFill="1" applyBorder="1" applyAlignment="1">
      <alignment horizontal="center" vertical="center" wrapText="1"/>
    </xf>
    <xf numFmtId="0" fontId="68" fillId="27" borderId="141" xfId="0" applyFont="1" applyFill="1" applyBorder="1" applyAlignment="1">
      <alignment horizontal="center" vertical="center" wrapText="1"/>
    </xf>
    <xf numFmtId="40" fontId="68" fillId="27" borderId="140" xfId="2" applyNumberFormat="1" applyFont="1" applyFill="1" applyBorder="1" applyAlignment="1">
      <alignment horizontal="center" vertical="center" wrapText="1"/>
    </xf>
    <xf numFmtId="38" fontId="68" fillId="27" borderId="140" xfId="2" applyFont="1" applyFill="1" applyBorder="1" applyAlignment="1">
      <alignment horizontal="center" vertical="center" wrapText="1"/>
    </xf>
    <xf numFmtId="38" fontId="68" fillId="27" borderId="142" xfId="2" applyFont="1" applyFill="1" applyBorder="1" applyAlignment="1">
      <alignment horizontal="center" vertical="center" wrapText="1"/>
    </xf>
    <xf numFmtId="0" fontId="22" fillId="0" borderId="149" xfId="0" applyFont="1" applyBorder="1" applyAlignment="1" applyProtection="1">
      <alignment horizontal="center" vertical="center"/>
      <protection locked="0"/>
    </xf>
    <xf numFmtId="38" fontId="24" fillId="0" borderId="153" xfId="2" applyFont="1" applyBorder="1" applyAlignment="1">
      <alignment horizontal="center" vertical="center"/>
    </xf>
    <xf numFmtId="0" fontId="22" fillId="0" borderId="154" xfId="0" applyFont="1" applyBorder="1" applyAlignment="1" applyProtection="1">
      <alignment horizontal="left" vertical="center" indent="1"/>
      <protection locked="0"/>
    </xf>
    <xf numFmtId="0" fontId="22" fillId="0" borderId="155" xfId="0" applyFont="1" applyBorder="1">
      <alignment vertical="center"/>
    </xf>
    <xf numFmtId="0" fontId="24" fillId="0" borderId="155" xfId="0" applyFont="1" applyBorder="1" applyAlignment="1">
      <alignment vertical="center" wrapText="1"/>
    </xf>
    <xf numFmtId="0" fontId="22" fillId="4" borderId="155" xfId="0" applyFont="1" applyFill="1" applyBorder="1">
      <alignment vertical="center"/>
    </xf>
    <xf numFmtId="40" fontId="22" fillId="4" borderId="155" xfId="2" applyNumberFormat="1" applyFont="1" applyFill="1" applyBorder="1" applyAlignment="1">
      <alignment horizontal="center" vertical="center"/>
    </xf>
    <xf numFmtId="184" fontId="22" fillId="4" borderId="154" xfId="0" applyNumberFormat="1" applyFont="1" applyFill="1" applyBorder="1" applyAlignment="1">
      <alignment horizontal="center" vertical="center"/>
    </xf>
    <xf numFmtId="40" fontId="22" fillId="0" borderId="154" xfId="2" applyNumberFormat="1" applyFont="1" applyBorder="1" applyAlignment="1">
      <alignment horizontal="center" vertical="center"/>
    </xf>
    <xf numFmtId="38" fontId="24" fillId="0" borderId="154" xfId="2" applyFont="1" applyBorder="1" applyAlignment="1">
      <alignment horizontal="center" vertical="center"/>
    </xf>
    <xf numFmtId="176" fontId="22" fillId="4" borderId="155" xfId="0" applyNumberFormat="1" applyFont="1" applyFill="1" applyBorder="1" applyAlignment="1">
      <alignment horizontal="center" vertical="center"/>
    </xf>
    <xf numFmtId="10" fontId="22" fillId="4" borderId="154" xfId="0" applyNumberFormat="1" applyFont="1" applyFill="1" applyBorder="1" applyAlignment="1">
      <alignment horizontal="center" vertical="center"/>
    </xf>
    <xf numFmtId="182" fontId="22" fillId="4" borderId="154" xfId="0" applyNumberFormat="1" applyFont="1" applyFill="1" applyBorder="1" applyAlignment="1">
      <alignment horizontal="center" vertical="center"/>
    </xf>
    <xf numFmtId="3" fontId="24" fillId="4" borderId="154" xfId="0" applyNumberFormat="1" applyFont="1" applyFill="1" applyBorder="1" applyAlignment="1">
      <alignment horizontal="center" vertical="center"/>
    </xf>
    <xf numFmtId="3" fontId="22" fillId="4" borderId="154" xfId="0" applyNumberFormat="1" applyFont="1" applyFill="1" applyBorder="1" applyAlignment="1">
      <alignment horizontal="center" vertical="center"/>
    </xf>
    <xf numFmtId="38" fontId="6" fillId="0" borderId="0" xfId="2" applyFont="1">
      <alignment vertical="center"/>
    </xf>
    <xf numFmtId="0" fontId="77" fillId="0" borderId="50" xfId="10" applyFont="1" applyBorder="1" applyAlignment="1">
      <alignment horizontal="center" vertical="center" readingOrder="1"/>
    </xf>
    <xf numFmtId="10" fontId="77" fillId="0" borderId="50" xfId="10" applyNumberFormat="1" applyFont="1" applyBorder="1" applyAlignment="1">
      <alignment horizontal="center" vertical="center"/>
    </xf>
    <xf numFmtId="177" fontId="0" fillId="0" borderId="50" xfId="13" applyNumberFormat="1" applyFont="1" applyBorder="1">
      <alignment vertical="center"/>
    </xf>
    <xf numFmtId="9" fontId="4" fillId="0" borderId="50" xfId="10" applyNumberFormat="1" applyBorder="1" applyAlignment="1">
      <alignment horizontal="center" vertical="center"/>
    </xf>
    <xf numFmtId="2" fontId="87" fillId="0" borderId="72" xfId="10" applyNumberFormat="1" applyFont="1" applyBorder="1" applyAlignment="1">
      <alignment horizontal="center" vertical="center" readingOrder="1"/>
    </xf>
    <xf numFmtId="177" fontId="109" fillId="0" borderId="72" xfId="13" applyNumberFormat="1" applyFont="1" applyBorder="1">
      <alignment vertical="center"/>
    </xf>
    <xf numFmtId="2" fontId="87" fillId="0" borderId="158" xfId="10" applyNumberFormat="1" applyFont="1" applyBorder="1" applyAlignment="1">
      <alignment horizontal="center" vertical="center" readingOrder="1"/>
    </xf>
    <xf numFmtId="10" fontId="77" fillId="0" borderId="158" xfId="10" applyNumberFormat="1" applyFont="1" applyBorder="1" applyAlignment="1">
      <alignment horizontal="center" vertical="center"/>
    </xf>
    <xf numFmtId="177" fontId="0" fillId="0" borderId="158" xfId="13" applyNumberFormat="1" applyFont="1" applyBorder="1">
      <alignment vertical="center"/>
    </xf>
    <xf numFmtId="9" fontId="4" fillId="0" borderId="158" xfId="10" applyNumberFormat="1" applyBorder="1" applyAlignment="1">
      <alignment horizontal="center" vertical="center"/>
    </xf>
    <xf numFmtId="9" fontId="4" fillId="0" borderId="159" xfId="10" applyNumberFormat="1" applyBorder="1" applyAlignment="1">
      <alignment horizontal="center" vertical="center"/>
    </xf>
    <xf numFmtId="9" fontId="4" fillId="0" borderId="161" xfId="10" applyNumberFormat="1" applyBorder="1" applyAlignment="1">
      <alignment horizontal="center" vertical="center"/>
    </xf>
    <xf numFmtId="9" fontId="4" fillId="0" borderId="163" xfId="10" applyNumberFormat="1" applyBorder="1" applyAlignment="1">
      <alignment horizontal="center" vertical="center"/>
    </xf>
    <xf numFmtId="2" fontId="77" fillId="0" borderId="50" xfId="10" applyNumberFormat="1" applyFont="1" applyBorder="1" applyAlignment="1">
      <alignment horizontal="center" vertical="center" readingOrder="1"/>
    </xf>
    <xf numFmtId="177" fontId="109" fillId="0" borderId="50" xfId="13" applyNumberFormat="1" applyFont="1" applyBorder="1">
      <alignment vertical="center"/>
    </xf>
    <xf numFmtId="9" fontId="107" fillId="0" borderId="50" xfId="10" applyNumberFormat="1" applyFont="1" applyBorder="1" applyAlignment="1">
      <alignment horizontal="center" vertical="center"/>
    </xf>
    <xf numFmtId="9" fontId="4" fillId="0" borderId="164" xfId="10" applyNumberFormat="1" applyBorder="1" applyAlignment="1">
      <alignment horizontal="center" vertical="center"/>
    </xf>
    <xf numFmtId="2" fontId="87" fillId="24" borderId="72" xfId="10" applyNumberFormat="1" applyFont="1" applyFill="1" applyBorder="1" applyAlignment="1">
      <alignment horizontal="center" vertical="center" readingOrder="1"/>
    </xf>
    <xf numFmtId="2" fontId="77" fillId="24" borderId="72" xfId="10" applyNumberFormat="1" applyFont="1" applyFill="1" applyBorder="1" applyAlignment="1">
      <alignment horizontal="center" vertical="center" readingOrder="1"/>
    </xf>
    <xf numFmtId="177" fontId="109" fillId="24" borderId="72" xfId="13" applyNumberFormat="1" applyFont="1" applyFill="1" applyBorder="1">
      <alignment vertical="center"/>
    </xf>
    <xf numFmtId="9" fontId="4" fillId="24" borderId="161" xfId="10" applyNumberFormat="1" applyFill="1" applyBorder="1" applyAlignment="1">
      <alignment horizontal="center" vertical="center"/>
    </xf>
    <xf numFmtId="2" fontId="106" fillId="0" borderId="72" xfId="10" applyNumberFormat="1" applyFont="1" applyBorder="1" applyAlignment="1">
      <alignment horizontal="center" vertical="center" readingOrder="1"/>
    </xf>
    <xf numFmtId="0" fontId="4" fillId="0" borderId="158" xfId="10" applyBorder="1" applyAlignment="1">
      <alignment horizontal="center" vertical="center"/>
    </xf>
    <xf numFmtId="9" fontId="0" fillId="0" borderId="161" xfId="10" applyNumberFormat="1" applyFont="1" applyBorder="1" applyAlignment="1">
      <alignment horizontal="center" vertical="center"/>
    </xf>
    <xf numFmtId="177" fontId="0" fillId="0" borderId="158" xfId="10" applyNumberFormat="1" applyFont="1" applyBorder="1" applyAlignment="1">
      <alignment horizontal="center" vertical="center"/>
    </xf>
    <xf numFmtId="0" fontId="4" fillId="0" borderId="159" xfId="10" applyBorder="1" applyAlignment="1">
      <alignment horizontal="center" vertical="center"/>
    </xf>
    <xf numFmtId="9" fontId="4" fillId="0" borderId="171" xfId="10" applyNumberFormat="1" applyBorder="1" applyAlignment="1">
      <alignment horizontal="center" vertical="center"/>
    </xf>
    <xf numFmtId="0" fontId="77" fillId="0" borderId="0" xfId="10" applyFont="1" applyAlignment="1">
      <alignment horizontal="center" vertical="center" wrapText="1" readingOrder="1"/>
    </xf>
    <xf numFmtId="10" fontId="77" fillId="0" borderId="173" xfId="10" applyNumberFormat="1" applyFont="1" applyBorder="1" applyAlignment="1">
      <alignment horizontal="center" vertical="center"/>
    </xf>
    <xf numFmtId="41" fontId="77" fillId="0" borderId="174" xfId="11" applyFont="1" applyBorder="1" applyAlignment="1">
      <alignment horizontal="center" vertical="center"/>
    </xf>
    <xf numFmtId="10" fontId="77" fillId="0" borderId="174" xfId="10" applyNumberFormat="1" applyFont="1" applyBorder="1" applyAlignment="1">
      <alignment horizontal="center" vertical="center"/>
    </xf>
    <xf numFmtId="10" fontId="77" fillId="0" borderId="172" xfId="10" applyNumberFormat="1" applyFont="1" applyBorder="1" applyAlignment="1">
      <alignment horizontal="center" vertical="center"/>
    </xf>
    <xf numFmtId="10" fontId="77" fillId="8" borderId="174" xfId="10" applyNumberFormat="1" applyFont="1" applyFill="1" applyBorder="1" applyAlignment="1">
      <alignment horizontal="center" vertical="center"/>
    </xf>
    <xf numFmtId="41" fontId="77" fillId="8" borderId="174" xfId="11" applyFont="1" applyFill="1" applyBorder="1" applyAlignment="1">
      <alignment horizontal="center" vertical="center"/>
    </xf>
    <xf numFmtId="14" fontId="77" fillId="8" borderId="174" xfId="10" applyNumberFormat="1" applyFont="1" applyFill="1" applyBorder="1" applyAlignment="1">
      <alignment horizontal="center" vertical="center"/>
    </xf>
    <xf numFmtId="41" fontId="77" fillId="8" borderId="174" xfId="10" applyNumberFormat="1" applyFont="1" applyFill="1" applyBorder="1" applyAlignment="1">
      <alignment horizontal="center" vertical="center"/>
    </xf>
    <xf numFmtId="14" fontId="77" fillId="0" borderId="174" xfId="10" applyNumberFormat="1" applyFont="1" applyBorder="1" applyAlignment="1">
      <alignment horizontal="center" vertical="center"/>
    </xf>
    <xf numFmtId="3" fontId="77" fillId="0" borderId="173" xfId="10" applyNumberFormat="1" applyFont="1" applyBorder="1" applyAlignment="1">
      <alignment horizontal="center" vertical="center"/>
    </xf>
    <xf numFmtId="14" fontId="77" fillId="0" borderId="175" xfId="10" applyNumberFormat="1" applyFont="1" applyBorder="1" applyAlignment="1">
      <alignment horizontal="center" vertical="center"/>
    </xf>
    <xf numFmtId="41" fontId="77" fillId="0" borderId="174" xfId="10" applyNumberFormat="1" applyFont="1" applyBorder="1" applyAlignment="1">
      <alignment horizontal="center" vertical="center"/>
    </xf>
    <xf numFmtId="14" fontId="78" fillId="0" borderId="174" xfId="10" applyNumberFormat="1" applyFont="1" applyBorder="1" applyAlignment="1">
      <alignment horizontal="center" vertical="center"/>
    </xf>
    <xf numFmtId="14" fontId="77" fillId="0" borderId="175" xfId="10" applyNumberFormat="1" applyFont="1" applyBorder="1" applyAlignment="1">
      <alignment vertical="center" readingOrder="1"/>
    </xf>
    <xf numFmtId="14" fontId="78" fillId="8" borderId="174" xfId="10" applyNumberFormat="1" applyFont="1" applyFill="1" applyBorder="1" applyAlignment="1">
      <alignment horizontal="center" vertical="center"/>
    </xf>
    <xf numFmtId="3" fontId="77" fillId="0" borderId="177" xfId="10" applyNumberFormat="1" applyFont="1" applyBorder="1" applyAlignment="1">
      <alignment horizontal="center" vertical="center"/>
    </xf>
    <xf numFmtId="10" fontId="77" fillId="0" borderId="178" xfId="10" applyNumberFormat="1" applyFont="1" applyBorder="1" applyAlignment="1">
      <alignment horizontal="center" vertical="center"/>
    </xf>
    <xf numFmtId="10" fontId="77" fillId="0" borderId="183" xfId="10" applyNumberFormat="1" applyFont="1" applyBorder="1" applyAlignment="1">
      <alignment horizontal="center" vertical="center"/>
    </xf>
    <xf numFmtId="10" fontId="77" fillId="0" borderId="186" xfId="10" applyNumberFormat="1" applyFont="1" applyBorder="1" applyAlignment="1">
      <alignment horizontal="center" vertical="center"/>
    </xf>
    <xf numFmtId="0" fontId="79" fillId="22" borderId="192" xfId="10" applyFont="1" applyFill="1" applyBorder="1" applyAlignment="1">
      <alignment horizontal="center" vertical="center" wrapText="1" readingOrder="1"/>
    </xf>
    <xf numFmtId="3" fontId="78" fillId="0" borderId="176" xfId="10" applyNumberFormat="1" applyFont="1" applyBorder="1" applyAlignment="1">
      <alignment horizontal="center" vertical="center"/>
    </xf>
    <xf numFmtId="3" fontId="78" fillId="0" borderId="173" xfId="10" applyNumberFormat="1" applyFont="1" applyBorder="1" applyAlignment="1">
      <alignment horizontal="center" vertical="center"/>
    </xf>
    <xf numFmtId="3" fontId="78" fillId="0" borderId="177" xfId="10" applyNumberFormat="1" applyFont="1" applyBorder="1" applyAlignment="1">
      <alignment horizontal="center" vertical="center"/>
    </xf>
    <xf numFmtId="3" fontId="78" fillId="0" borderId="183" xfId="10" applyNumberFormat="1" applyFont="1" applyBorder="1" applyAlignment="1">
      <alignment horizontal="center" vertical="center"/>
    </xf>
    <xf numFmtId="3" fontId="78" fillId="0" borderId="195" xfId="10" applyNumberFormat="1" applyFont="1" applyBorder="1" applyAlignment="1">
      <alignment horizontal="center" vertical="center"/>
    </xf>
    <xf numFmtId="3" fontId="78" fillId="0" borderId="181" xfId="10" applyNumberFormat="1" applyFont="1" applyBorder="1" applyAlignment="1">
      <alignment horizontal="center" vertical="center"/>
    </xf>
    <xf numFmtId="3" fontId="78" fillId="0" borderId="196" xfId="10" applyNumberFormat="1" applyFont="1" applyBorder="1" applyAlignment="1">
      <alignment horizontal="center" vertical="center"/>
    </xf>
    <xf numFmtId="3" fontId="78" fillId="0" borderId="178" xfId="10" applyNumberFormat="1" applyFont="1" applyBorder="1" applyAlignment="1">
      <alignment horizontal="center" vertical="center"/>
    </xf>
    <xf numFmtId="3" fontId="78" fillId="0" borderId="197" xfId="10" applyNumberFormat="1" applyFont="1" applyBorder="1" applyAlignment="1">
      <alignment horizontal="center" vertical="center"/>
    </xf>
    <xf numFmtId="3" fontId="78" fillId="0" borderId="186" xfId="10" applyNumberFormat="1" applyFont="1" applyBorder="1" applyAlignment="1">
      <alignment horizontal="center" vertical="center"/>
    </xf>
    <xf numFmtId="3" fontId="78" fillId="0" borderId="198" xfId="10" applyNumberFormat="1" applyFont="1" applyBorder="1" applyAlignment="1">
      <alignment horizontal="center" vertical="center"/>
    </xf>
    <xf numFmtId="10" fontId="77" fillId="0" borderId="199" xfId="10" applyNumberFormat="1" applyFont="1" applyBorder="1" applyAlignment="1">
      <alignment horizontal="center" vertical="center"/>
    </xf>
    <xf numFmtId="41" fontId="77" fillId="0" borderId="200" xfId="11" applyFont="1" applyBorder="1" applyAlignment="1">
      <alignment horizontal="center" vertical="center"/>
    </xf>
    <xf numFmtId="10" fontId="77" fillId="0" borderId="201" xfId="10" applyNumberFormat="1" applyFont="1" applyBorder="1" applyAlignment="1">
      <alignment horizontal="center" vertical="center"/>
    </xf>
    <xf numFmtId="41" fontId="77" fillId="0" borderId="202" xfId="11" applyFont="1" applyBorder="1" applyAlignment="1">
      <alignment horizontal="center" vertical="center"/>
    </xf>
    <xf numFmtId="10" fontId="77" fillId="0" borderId="203" xfId="10" applyNumberFormat="1" applyFont="1" applyBorder="1" applyAlignment="1">
      <alignment horizontal="center" vertical="center"/>
    </xf>
    <xf numFmtId="41" fontId="77" fillId="0" borderId="204" xfId="11" applyFont="1" applyBorder="1" applyAlignment="1">
      <alignment horizontal="center" vertical="center"/>
    </xf>
    <xf numFmtId="10" fontId="77" fillId="0" borderId="179" xfId="10" applyNumberFormat="1" applyFont="1" applyBorder="1" applyAlignment="1">
      <alignment horizontal="center" vertical="center"/>
    </xf>
    <xf numFmtId="3" fontId="77" fillId="0" borderId="205" xfId="10" applyNumberFormat="1" applyFont="1" applyBorder="1" applyAlignment="1">
      <alignment horizontal="center" vertical="center" readingOrder="1"/>
    </xf>
    <xf numFmtId="3" fontId="77" fillId="0" borderId="206" xfId="10" applyNumberFormat="1" applyFont="1" applyBorder="1" applyAlignment="1">
      <alignment horizontal="center" vertical="center" readingOrder="1"/>
    </xf>
    <xf numFmtId="3" fontId="77" fillId="0" borderId="207" xfId="10" applyNumberFormat="1" applyFont="1" applyBorder="1" applyAlignment="1">
      <alignment horizontal="center" vertical="center" readingOrder="1"/>
    </xf>
    <xf numFmtId="14" fontId="77" fillId="0" borderId="179" xfId="10" applyNumberFormat="1" applyFont="1" applyBorder="1" applyAlignment="1">
      <alignment horizontal="center" vertical="center"/>
    </xf>
    <xf numFmtId="41" fontId="77" fillId="0" borderId="187" xfId="11" applyFont="1" applyBorder="1" applyAlignment="1">
      <alignment horizontal="center" vertical="center"/>
    </xf>
    <xf numFmtId="14" fontId="77" fillId="0" borderId="205" xfId="10" applyNumberFormat="1" applyFont="1" applyBorder="1" applyAlignment="1">
      <alignment horizontal="center" vertical="center"/>
    </xf>
    <xf numFmtId="14" fontId="77" fillId="0" borderId="206" xfId="10" applyNumberFormat="1" applyFont="1" applyBorder="1" applyAlignment="1">
      <alignment horizontal="center" vertical="center"/>
    </xf>
    <xf numFmtId="3" fontId="77" fillId="0" borderId="178" xfId="10" applyNumberFormat="1" applyFont="1" applyBorder="1" applyAlignment="1">
      <alignment horizontal="center" vertical="center"/>
    </xf>
    <xf numFmtId="14" fontId="77" fillId="0" borderId="209" xfId="10" applyNumberFormat="1" applyFont="1" applyBorder="1" applyAlignment="1">
      <alignment horizontal="center" vertical="center"/>
    </xf>
    <xf numFmtId="10" fontId="77" fillId="0" borderId="187" xfId="10" applyNumberFormat="1" applyFont="1" applyBorder="1" applyAlignment="1">
      <alignment horizontal="center" vertical="center"/>
    </xf>
    <xf numFmtId="14" fontId="77" fillId="0" borderId="187" xfId="10" applyNumberFormat="1" applyFont="1" applyBorder="1" applyAlignment="1">
      <alignment horizontal="center" vertical="center"/>
    </xf>
    <xf numFmtId="3" fontId="77" fillId="0" borderId="186" xfId="10" applyNumberFormat="1" applyFont="1" applyBorder="1" applyAlignment="1">
      <alignment horizontal="center" vertical="center"/>
    </xf>
    <xf numFmtId="10" fontId="77" fillId="8" borderId="201" xfId="10" applyNumberFormat="1" applyFont="1" applyFill="1" applyBorder="1" applyAlignment="1">
      <alignment horizontal="center" vertical="center"/>
    </xf>
    <xf numFmtId="10" fontId="77" fillId="0" borderId="182" xfId="10" applyNumberFormat="1" applyFont="1" applyBorder="1" applyAlignment="1">
      <alignment horizontal="center" vertical="center"/>
    </xf>
    <xf numFmtId="14" fontId="77" fillId="0" borderId="182" xfId="10" applyNumberFormat="1" applyFont="1" applyBorder="1" applyAlignment="1">
      <alignment horizontal="center" vertical="center"/>
    </xf>
    <xf numFmtId="3" fontId="77" fillId="0" borderId="181" xfId="10" applyNumberFormat="1" applyFont="1" applyBorder="1" applyAlignment="1">
      <alignment horizontal="center" vertical="center"/>
    </xf>
    <xf numFmtId="0" fontId="79" fillId="0" borderId="0" xfId="10" applyFont="1" applyAlignment="1">
      <alignment vertical="center" readingOrder="1"/>
    </xf>
    <xf numFmtId="14" fontId="77" fillId="0" borderId="210" xfId="10" applyNumberFormat="1" applyFont="1" applyBorder="1" applyAlignment="1">
      <alignment horizontal="center" vertical="center"/>
    </xf>
    <xf numFmtId="14" fontId="77" fillId="0" borderId="211" xfId="10" applyNumberFormat="1" applyFont="1" applyBorder="1" applyAlignment="1">
      <alignment horizontal="center" vertical="center"/>
    </xf>
    <xf numFmtId="10" fontId="77" fillId="0" borderId="213" xfId="10" applyNumberFormat="1" applyFont="1" applyBorder="1" applyAlignment="1">
      <alignment horizontal="center" vertical="center"/>
    </xf>
    <xf numFmtId="3" fontId="78" fillId="0" borderId="213" xfId="10" applyNumberFormat="1" applyFont="1" applyBorder="1" applyAlignment="1">
      <alignment horizontal="center" vertical="center"/>
    </xf>
    <xf numFmtId="3" fontId="78" fillId="0" borderId="214" xfId="10" applyNumberFormat="1" applyFont="1" applyBorder="1" applyAlignment="1">
      <alignment horizontal="center" vertical="center"/>
    </xf>
    <xf numFmtId="3" fontId="77" fillId="0" borderId="217" xfId="10" applyNumberFormat="1" applyFont="1" applyBorder="1" applyAlignment="1">
      <alignment horizontal="center" vertical="center" readingOrder="1"/>
    </xf>
    <xf numFmtId="10" fontId="77" fillId="0" borderId="218" xfId="10" applyNumberFormat="1" applyFont="1" applyBorder="1" applyAlignment="1">
      <alignment horizontal="center" vertical="center"/>
    </xf>
    <xf numFmtId="10" fontId="77" fillId="0" borderId="215" xfId="10" applyNumberFormat="1" applyFont="1" applyBorder="1" applyAlignment="1">
      <alignment horizontal="center" vertical="center"/>
    </xf>
    <xf numFmtId="14" fontId="77" fillId="0" borderId="215" xfId="10" applyNumberFormat="1" applyFont="1" applyBorder="1" applyAlignment="1">
      <alignment horizontal="center" vertical="center"/>
    </xf>
    <xf numFmtId="3" fontId="77" fillId="0" borderId="213" xfId="10" applyNumberFormat="1" applyFont="1" applyBorder="1" applyAlignment="1">
      <alignment horizontal="center" vertical="center"/>
    </xf>
    <xf numFmtId="14" fontId="77" fillId="0" borderId="219" xfId="10" applyNumberFormat="1" applyFont="1" applyBorder="1" applyAlignment="1">
      <alignment horizontal="center" vertical="center"/>
    </xf>
    <xf numFmtId="14" fontId="79" fillId="22" borderId="221" xfId="10" applyNumberFormat="1" applyFont="1" applyFill="1" applyBorder="1" applyAlignment="1">
      <alignment horizontal="center" vertical="center" wrapText="1" readingOrder="1"/>
    </xf>
    <xf numFmtId="14" fontId="79" fillId="22" borderId="70" xfId="10" applyNumberFormat="1" applyFont="1" applyFill="1" applyBorder="1" applyAlignment="1">
      <alignment horizontal="center" vertical="center" wrapText="1" readingOrder="1"/>
    </xf>
    <xf numFmtId="0" fontId="4" fillId="0" borderId="173" xfId="10" applyBorder="1">
      <alignment vertical="center"/>
    </xf>
    <xf numFmtId="3" fontId="77" fillId="0" borderId="222" xfId="10" applyNumberFormat="1" applyFont="1" applyBorder="1" applyAlignment="1">
      <alignment horizontal="center" vertical="center"/>
    </xf>
    <xf numFmtId="3" fontId="77" fillId="0" borderId="223" xfId="10" applyNumberFormat="1" applyFont="1" applyBorder="1" applyAlignment="1">
      <alignment horizontal="center" vertical="center"/>
    </xf>
    <xf numFmtId="3" fontId="77" fillId="0" borderId="224" xfId="10" applyNumberFormat="1" applyFont="1" applyBorder="1" applyAlignment="1">
      <alignment horizontal="center" vertical="center"/>
    </xf>
    <xf numFmtId="3" fontId="77" fillId="0" borderId="225" xfId="10" applyNumberFormat="1" applyFont="1" applyBorder="1" applyAlignment="1">
      <alignment horizontal="center" vertical="center"/>
    </xf>
    <xf numFmtId="3" fontId="77" fillId="0" borderId="226" xfId="10" applyNumberFormat="1" applyFont="1" applyBorder="1" applyAlignment="1">
      <alignment horizontal="center" vertical="center"/>
    </xf>
    <xf numFmtId="3" fontId="77" fillId="0" borderId="214" xfId="10" applyNumberFormat="1" applyFont="1" applyBorder="1" applyAlignment="1">
      <alignment horizontal="center" vertical="center"/>
    </xf>
    <xf numFmtId="0" fontId="22" fillId="8" borderId="19" xfId="0" applyFont="1" applyFill="1" applyBorder="1" applyAlignment="1" applyProtection="1">
      <alignment horizontal="left" vertical="center"/>
      <protection locked="0"/>
    </xf>
    <xf numFmtId="0" fontId="22" fillId="8" borderId="19" xfId="0" applyFont="1" applyFill="1" applyBorder="1">
      <alignment vertical="center"/>
    </xf>
    <xf numFmtId="0" fontId="8" fillId="8" borderId="19" xfId="0" applyFont="1" applyFill="1" applyBorder="1">
      <alignment vertical="center"/>
    </xf>
    <xf numFmtId="177" fontId="8" fillId="8" borderId="19" xfId="0" applyNumberFormat="1" applyFont="1" applyFill="1" applyBorder="1" applyAlignment="1">
      <alignment horizontal="center" vertical="center"/>
    </xf>
    <xf numFmtId="14" fontId="8" fillId="8" borderId="19" xfId="0" applyNumberFormat="1" applyFont="1" applyFill="1" applyBorder="1" applyAlignment="1">
      <alignment horizontal="center" vertical="center"/>
    </xf>
    <xf numFmtId="0" fontId="8" fillId="8" borderId="19" xfId="0" applyFont="1" applyFill="1" applyBorder="1" applyAlignment="1">
      <alignment horizontal="center" vertical="center"/>
    </xf>
    <xf numFmtId="38" fontId="8" fillId="8" borderId="19" xfId="1" applyNumberFormat="1" applyFont="1" applyFill="1" applyBorder="1">
      <alignment vertical="center"/>
    </xf>
    <xf numFmtId="38" fontId="13" fillId="8" borderId="19" xfId="0" applyNumberFormat="1" applyFont="1" applyFill="1" applyBorder="1">
      <alignment vertical="center"/>
    </xf>
    <xf numFmtId="38" fontId="8" fillId="8" borderId="19" xfId="1" applyNumberFormat="1" applyFont="1" applyFill="1" applyBorder="1" applyAlignment="1">
      <alignment horizontal="center" vertical="center"/>
    </xf>
    <xf numFmtId="38" fontId="8" fillId="8" borderId="19" xfId="2" applyFont="1" applyFill="1" applyBorder="1" applyAlignment="1">
      <alignment horizontal="center" vertical="center"/>
    </xf>
    <xf numFmtId="0" fontId="8" fillId="8" borderId="19" xfId="0" applyFont="1" applyFill="1" applyBorder="1" applyAlignment="1">
      <alignment horizontal="right" vertical="center"/>
    </xf>
    <xf numFmtId="0" fontId="22" fillId="8" borderId="64" xfId="0" applyFont="1" applyFill="1" applyBorder="1">
      <alignment vertical="center"/>
    </xf>
    <xf numFmtId="0" fontId="13" fillId="8" borderId="0" xfId="0" applyFont="1" applyFill="1" applyAlignment="1">
      <alignment horizontal="center" vertical="center"/>
    </xf>
    <xf numFmtId="38" fontId="14" fillId="8" borderId="0" xfId="1" applyNumberFormat="1" applyFont="1" applyFill="1" applyAlignment="1">
      <alignment horizontal="right" vertical="center"/>
    </xf>
    <xf numFmtId="38" fontId="13" fillId="8" borderId="0" xfId="0" applyNumberFormat="1" applyFont="1" applyFill="1" applyAlignment="1">
      <alignment horizontal="right" vertical="center"/>
    </xf>
    <xf numFmtId="38" fontId="13" fillId="8" borderId="0" xfId="2" applyFont="1" applyFill="1">
      <alignment vertical="center"/>
    </xf>
    <xf numFmtId="38" fontId="14" fillId="8" borderId="0" xfId="1" applyNumberFormat="1" applyFont="1" applyFill="1" applyAlignment="1">
      <alignment horizontal="center" vertical="center"/>
    </xf>
    <xf numFmtId="0" fontId="8" fillId="8" borderId="0" xfId="0" applyFont="1" applyFill="1" applyAlignment="1">
      <alignment horizontal="left" vertical="center"/>
    </xf>
    <xf numFmtId="2" fontId="24" fillId="0" borderId="119" xfId="0" applyNumberFormat="1" applyFont="1" applyBorder="1" applyAlignment="1">
      <alignment horizontal="right" vertical="center"/>
    </xf>
    <xf numFmtId="40" fontId="24" fillId="0" borderId="119" xfId="2" applyNumberFormat="1" applyFont="1" applyBorder="1" applyAlignment="1">
      <alignment horizontal="right" vertical="center"/>
    </xf>
    <xf numFmtId="40" fontId="24" fillId="0" borderId="123" xfId="2" applyNumberFormat="1" applyFont="1" applyBorder="1" applyAlignment="1">
      <alignment horizontal="right" vertical="center"/>
    </xf>
    <xf numFmtId="40" fontId="24" fillId="0" borderId="121" xfId="2" applyNumberFormat="1" applyFont="1" applyBorder="1" applyAlignment="1">
      <alignment horizontal="right" vertical="center"/>
    </xf>
    <xf numFmtId="177" fontId="8" fillId="0" borderId="0" xfId="0" applyNumberFormat="1" applyFont="1" applyAlignment="1">
      <alignment horizontal="right" vertical="center"/>
    </xf>
    <xf numFmtId="177" fontId="6" fillId="0" borderId="0" xfId="0" applyNumberFormat="1" applyFont="1" applyAlignment="1">
      <alignment horizontal="right" vertical="center"/>
    </xf>
    <xf numFmtId="0" fontId="6" fillId="0" borderId="0" xfId="0" applyFont="1" applyAlignment="1">
      <alignment horizontal="right" vertical="center"/>
    </xf>
    <xf numFmtId="177" fontId="65" fillId="0" borderId="0" xfId="0" applyNumberFormat="1" applyFont="1" applyAlignment="1">
      <alignment horizontal="right" vertical="center"/>
    </xf>
    <xf numFmtId="0" fontId="98" fillId="0" borderId="19" xfId="0" applyFont="1" applyBorder="1">
      <alignment vertical="center"/>
    </xf>
    <xf numFmtId="0" fontId="75" fillId="4" borderId="0" xfId="0" applyFont="1" applyFill="1" applyAlignment="1">
      <alignment horizontal="left" vertical="center"/>
    </xf>
    <xf numFmtId="0" fontId="22" fillId="4" borderId="0" xfId="0" applyFont="1" applyFill="1" applyAlignment="1">
      <alignment horizontal="center" vertical="center" wrapText="1"/>
    </xf>
    <xf numFmtId="0" fontId="79" fillId="22" borderId="82" xfId="10" applyFont="1" applyFill="1" applyBorder="1" applyAlignment="1">
      <alignment horizontal="center" vertical="center" wrapText="1" readingOrder="1"/>
    </xf>
    <xf numFmtId="0" fontId="79" fillId="22" borderId="80" xfId="10" applyFont="1" applyFill="1" applyBorder="1" applyAlignment="1">
      <alignment horizontal="center" vertical="center" wrapText="1" readingOrder="1"/>
    </xf>
    <xf numFmtId="0" fontId="22" fillId="0" borderId="0" xfId="0" applyFont="1" applyAlignment="1">
      <alignment horizontal="left" vertical="center"/>
    </xf>
    <xf numFmtId="0" fontId="111" fillId="0" borderId="0" xfId="0" applyFont="1" applyAlignment="1">
      <alignment horizontal="left" indent="7"/>
    </xf>
    <xf numFmtId="10" fontId="77" fillId="0" borderId="227" xfId="10" applyNumberFormat="1" applyFont="1" applyBorder="1" applyAlignment="1">
      <alignment horizontal="center" vertical="center"/>
    </xf>
    <xf numFmtId="41" fontId="77" fillId="0" borderId="228" xfId="11" applyFont="1" applyBorder="1" applyAlignment="1">
      <alignment horizontal="center" vertical="center"/>
    </xf>
    <xf numFmtId="3" fontId="77" fillId="0" borderId="229" xfId="10" applyNumberFormat="1" applyFont="1" applyBorder="1" applyAlignment="1">
      <alignment horizontal="center" vertical="center" readingOrder="1"/>
    </xf>
    <xf numFmtId="0" fontId="79" fillId="22" borderId="80" xfId="10" applyFont="1" applyFill="1" applyBorder="1" applyAlignment="1">
      <alignment vertical="center" wrapText="1" readingOrder="1"/>
    </xf>
    <xf numFmtId="0" fontId="24" fillId="0" borderId="98" xfId="0" applyFont="1" applyBorder="1" applyAlignment="1">
      <alignment vertical="center" wrapText="1"/>
    </xf>
    <xf numFmtId="0" fontId="22" fillId="4" borderId="98" xfId="0" applyFont="1" applyFill="1" applyBorder="1">
      <alignment vertical="center"/>
    </xf>
    <xf numFmtId="40" fontId="24" fillId="0" borderId="98" xfId="2" applyNumberFormat="1" applyFont="1" applyBorder="1" applyAlignment="1">
      <alignment horizontal="center" vertical="center"/>
    </xf>
    <xf numFmtId="10" fontId="22" fillId="4" borderId="102" xfId="14" applyNumberFormat="1" applyFont="1" applyFill="1" applyBorder="1" applyAlignment="1" applyProtection="1">
      <alignment horizontal="center" vertical="center"/>
      <protection locked="0"/>
    </xf>
    <xf numFmtId="41" fontId="77" fillId="0" borderId="179" xfId="11" applyFont="1" applyBorder="1" applyAlignment="1">
      <alignment horizontal="center" vertical="center"/>
    </xf>
    <xf numFmtId="14" fontId="77" fillId="0" borderId="229" xfId="10" applyNumberFormat="1" applyFont="1" applyBorder="1" applyAlignment="1">
      <alignment horizontal="center" vertical="center"/>
    </xf>
    <xf numFmtId="14" fontId="77" fillId="0" borderId="209" xfId="10" applyNumberFormat="1" applyFont="1" applyBorder="1" applyAlignment="1">
      <alignment vertical="center" readingOrder="1"/>
    </xf>
    <xf numFmtId="14" fontId="78" fillId="0" borderId="179" xfId="10" applyNumberFormat="1" applyFont="1" applyBorder="1" applyAlignment="1">
      <alignment horizontal="center" vertical="center"/>
    </xf>
    <xf numFmtId="41" fontId="77" fillId="0" borderId="231" xfId="11" applyFont="1" applyBorder="1" applyAlignment="1">
      <alignment horizontal="center" vertical="center"/>
    </xf>
    <xf numFmtId="3" fontId="77" fillId="0" borderId="198" xfId="10" applyNumberFormat="1" applyFont="1" applyBorder="1" applyAlignment="1">
      <alignment horizontal="center" vertical="center"/>
    </xf>
    <xf numFmtId="3" fontId="77" fillId="0" borderId="196" xfId="10" applyNumberFormat="1" applyFont="1" applyBorder="1" applyAlignment="1">
      <alignment horizontal="center" vertical="center"/>
    </xf>
    <xf numFmtId="3" fontId="77" fillId="0" borderId="197" xfId="10" applyNumberFormat="1" applyFont="1" applyBorder="1" applyAlignment="1">
      <alignment horizontal="center" vertical="center"/>
    </xf>
    <xf numFmtId="10" fontId="77" fillId="0" borderId="181" xfId="10" applyNumberFormat="1" applyFont="1" applyBorder="1" applyAlignment="1">
      <alignment horizontal="center" vertical="center"/>
    </xf>
    <xf numFmtId="3" fontId="78" fillId="0" borderId="172" xfId="10" applyNumberFormat="1" applyFont="1" applyBorder="1" applyAlignment="1">
      <alignment horizontal="center" vertical="center"/>
    </xf>
    <xf numFmtId="3" fontId="78" fillId="0" borderId="174" xfId="10" applyNumberFormat="1" applyFont="1" applyBorder="1" applyAlignment="1">
      <alignment horizontal="center" vertical="center"/>
    </xf>
    <xf numFmtId="3" fontId="78" fillId="0" borderId="202" xfId="10" applyNumberFormat="1" applyFont="1" applyBorder="1" applyAlignment="1">
      <alignment horizontal="center" vertical="center"/>
    </xf>
    <xf numFmtId="3" fontId="78" fillId="0" borderId="204" xfId="10" applyNumberFormat="1" applyFont="1" applyBorder="1" applyAlignment="1">
      <alignment horizontal="center" vertical="center"/>
    </xf>
    <xf numFmtId="10" fontId="22" fillId="4" borderId="110" xfId="14" applyNumberFormat="1" applyFont="1" applyFill="1" applyBorder="1" applyAlignment="1">
      <alignment horizontal="center" vertical="center"/>
    </xf>
    <xf numFmtId="184" fontId="22" fillId="4" borderId="147" xfId="0" applyNumberFormat="1" applyFont="1" applyFill="1" applyBorder="1" applyAlignment="1">
      <alignment horizontal="left" vertical="center"/>
    </xf>
    <xf numFmtId="3" fontId="78" fillId="0" borderId="239" xfId="10" applyNumberFormat="1" applyFont="1" applyBorder="1" applyAlignment="1">
      <alignment horizontal="center" vertical="center"/>
    </xf>
    <xf numFmtId="3" fontId="78" fillId="0" borderId="228" xfId="10" applyNumberFormat="1" applyFont="1" applyBorder="1" applyAlignment="1">
      <alignment horizontal="center" vertical="center"/>
    </xf>
    <xf numFmtId="38" fontId="24" fillId="0" borderId="240" xfId="2" applyFont="1" applyBorder="1" applyAlignment="1">
      <alignment horizontal="center" vertical="center"/>
    </xf>
    <xf numFmtId="10" fontId="77" fillId="0" borderId="177" xfId="10" applyNumberFormat="1" applyFont="1" applyBorder="1" applyAlignment="1">
      <alignment horizontal="center" vertical="center"/>
    </xf>
    <xf numFmtId="10" fontId="77" fillId="0" borderId="195" xfId="10" applyNumberFormat="1" applyFont="1" applyBorder="1" applyAlignment="1">
      <alignment horizontal="center" vertical="center"/>
    </xf>
    <xf numFmtId="3" fontId="78" fillId="0" borderId="199" xfId="10" applyNumberFormat="1" applyFont="1" applyBorder="1" applyAlignment="1">
      <alignment horizontal="center" vertical="center"/>
    </xf>
    <xf numFmtId="3" fontId="78" fillId="0" borderId="200" xfId="10" applyNumberFormat="1" applyFont="1" applyBorder="1" applyAlignment="1">
      <alignment horizontal="center" vertical="center"/>
    </xf>
    <xf numFmtId="3" fontId="78" fillId="0" borderId="201" xfId="10" applyNumberFormat="1" applyFont="1" applyBorder="1" applyAlignment="1">
      <alignment horizontal="center" vertical="center"/>
    </xf>
    <xf numFmtId="3" fontId="78" fillId="0" borderId="203" xfId="10" applyNumberFormat="1" applyFont="1" applyBorder="1" applyAlignment="1">
      <alignment horizontal="center" vertical="center"/>
    </xf>
    <xf numFmtId="10" fontId="77" fillId="0" borderId="241" xfId="10" applyNumberFormat="1" applyFont="1" applyBorder="1" applyAlignment="1">
      <alignment horizontal="center" vertical="center"/>
    </xf>
    <xf numFmtId="10" fontId="77" fillId="0" borderId="242" xfId="10" applyNumberFormat="1" applyFont="1" applyBorder="1" applyAlignment="1">
      <alignment horizontal="center" vertical="center"/>
    </xf>
    <xf numFmtId="3" fontId="78" fillId="0" borderId="243" xfId="10" applyNumberFormat="1" applyFont="1" applyBorder="1" applyAlignment="1">
      <alignment horizontal="center" vertical="center"/>
    </xf>
    <xf numFmtId="10" fontId="77" fillId="0" borderId="244" xfId="10" applyNumberFormat="1" applyFont="1" applyBorder="1" applyAlignment="1">
      <alignment horizontal="center" vertical="center"/>
    </xf>
    <xf numFmtId="3" fontId="78" fillId="0" borderId="245" xfId="10" applyNumberFormat="1" applyFont="1" applyBorder="1" applyAlignment="1">
      <alignment horizontal="center" vertical="center"/>
    </xf>
    <xf numFmtId="10" fontId="77" fillId="0" borderId="197" xfId="10" applyNumberFormat="1" applyFont="1" applyBorder="1" applyAlignment="1">
      <alignment horizontal="center" vertical="center"/>
    </xf>
    <xf numFmtId="3" fontId="78" fillId="0" borderId="227" xfId="10" applyNumberFormat="1" applyFont="1" applyBorder="1" applyAlignment="1">
      <alignment horizontal="center" vertical="center"/>
    </xf>
    <xf numFmtId="0" fontId="22" fillId="0" borderId="180" xfId="0" applyFont="1" applyBorder="1" applyAlignment="1" applyProtection="1">
      <alignment horizontal="left" vertical="center"/>
      <protection locked="0"/>
    </xf>
    <xf numFmtId="0" fontId="22" fillId="0" borderId="119" xfId="0" applyFont="1" applyBorder="1">
      <alignment vertical="center"/>
    </xf>
    <xf numFmtId="0" fontId="22" fillId="0" borderId="123" xfId="0" applyFont="1" applyBorder="1">
      <alignment vertical="center"/>
    </xf>
    <xf numFmtId="0" fontId="108" fillId="0" borderId="0" xfId="0" applyFont="1" applyAlignment="1">
      <alignment horizontal="left" vertical="center"/>
    </xf>
    <xf numFmtId="0" fontId="22" fillId="4" borderId="147" xfId="0" applyFont="1" applyFill="1" applyBorder="1" applyAlignment="1">
      <alignment horizontal="left" vertical="center"/>
    </xf>
    <xf numFmtId="0" fontId="22" fillId="4" borderId="148" xfId="0" applyFont="1" applyFill="1" applyBorder="1" applyAlignment="1">
      <alignment horizontal="left" vertical="center"/>
    </xf>
    <xf numFmtId="0" fontId="22" fillId="4" borderId="149" xfId="0" applyFont="1" applyFill="1" applyBorder="1" applyAlignment="1">
      <alignment horizontal="left" vertical="center"/>
    </xf>
    <xf numFmtId="0" fontId="22" fillId="4" borderId="154" xfId="0" applyFont="1" applyFill="1" applyBorder="1" applyAlignment="1">
      <alignment horizontal="left" vertical="center"/>
    </xf>
    <xf numFmtId="3" fontId="24" fillId="4" borderId="0" xfId="0" applyNumberFormat="1" applyFont="1" applyFill="1" applyAlignment="1">
      <alignment horizontal="center" vertical="center"/>
    </xf>
    <xf numFmtId="177" fontId="22" fillId="4" borderId="122" xfId="0" applyNumberFormat="1" applyFont="1" applyFill="1" applyBorder="1" applyAlignment="1" applyProtection="1">
      <alignment horizontal="center" vertical="center"/>
      <protection locked="0"/>
    </xf>
    <xf numFmtId="9" fontId="0" fillId="0" borderId="89" xfId="10" applyNumberFormat="1" applyFont="1" applyBorder="1" applyAlignment="1">
      <alignment horizontal="center" vertical="center"/>
    </xf>
    <xf numFmtId="9" fontId="0" fillId="0" borderId="163" xfId="10" applyNumberFormat="1" applyFont="1" applyBorder="1" applyAlignment="1">
      <alignment horizontal="center" vertical="center"/>
    </xf>
    <xf numFmtId="0" fontId="15" fillId="3" borderId="5" xfId="0" applyFont="1" applyFill="1" applyBorder="1" applyAlignment="1">
      <alignment horizontal="left" vertical="center"/>
    </xf>
    <xf numFmtId="0" fontId="22" fillId="4" borderId="113" xfId="0" applyFont="1" applyFill="1" applyBorder="1" applyAlignment="1">
      <alignment horizontal="left" vertical="center"/>
    </xf>
    <xf numFmtId="38" fontId="22" fillId="4" borderId="114" xfId="1" applyNumberFormat="1" applyFont="1" applyFill="1" applyBorder="1" applyAlignment="1">
      <alignment horizontal="left" vertical="center"/>
    </xf>
    <xf numFmtId="38" fontId="22" fillId="4" borderId="113" xfId="1" applyNumberFormat="1" applyFont="1" applyFill="1" applyBorder="1" applyAlignment="1">
      <alignment horizontal="left" vertical="center"/>
    </xf>
    <xf numFmtId="0" fontId="22" fillId="4" borderId="116" xfId="0" applyFont="1" applyFill="1" applyBorder="1" applyAlignment="1">
      <alignment horizontal="left" vertical="center"/>
    </xf>
    <xf numFmtId="0" fontId="22" fillId="4" borderId="115" xfId="0" applyFont="1" applyFill="1" applyBorder="1" applyAlignment="1">
      <alignment horizontal="left" vertical="center"/>
    </xf>
    <xf numFmtId="38" fontId="22" fillId="4" borderId="115" xfId="1" applyNumberFormat="1" applyFont="1" applyFill="1" applyBorder="1" applyAlignment="1">
      <alignment horizontal="left" vertical="center"/>
    </xf>
    <xf numFmtId="38" fontId="22" fillId="4" borderId="110" xfId="1" applyNumberFormat="1" applyFont="1" applyFill="1" applyBorder="1" applyAlignment="1">
      <alignment horizontal="left" vertical="center"/>
    </xf>
    <xf numFmtId="179" fontId="22" fillId="0" borderId="96" xfId="0" applyNumberFormat="1" applyFont="1" applyBorder="1" applyAlignment="1">
      <alignment horizontal="center" vertical="center"/>
    </xf>
    <xf numFmtId="3" fontId="24" fillId="0" borderId="113" xfId="0" applyNumberFormat="1" applyFont="1" applyBorder="1" applyAlignment="1">
      <alignment horizontal="center" vertical="center"/>
    </xf>
    <xf numFmtId="3" fontId="24" fillId="0" borderId="110" xfId="0" applyNumberFormat="1" applyFont="1" applyBorder="1" applyAlignment="1">
      <alignment horizontal="center" vertical="center"/>
    </xf>
    <xf numFmtId="3" fontId="24" fillId="0" borderId="116" xfId="0" applyNumberFormat="1" applyFont="1" applyBorder="1" applyAlignment="1">
      <alignment horizontal="center" vertical="center"/>
    </xf>
    <xf numFmtId="177" fontId="22" fillId="4" borderId="96" xfId="0" applyNumberFormat="1" applyFont="1" applyFill="1" applyBorder="1" applyAlignment="1">
      <alignment horizontal="right" vertical="center"/>
    </xf>
    <xf numFmtId="177" fontId="22" fillId="4" borderId="97" xfId="0" applyNumberFormat="1" applyFont="1" applyFill="1" applyBorder="1" applyAlignment="1">
      <alignment horizontal="right" vertical="center"/>
    </xf>
    <xf numFmtId="38" fontId="22" fillId="4" borderId="113" xfId="0" applyNumberFormat="1" applyFont="1" applyFill="1" applyBorder="1" applyAlignment="1">
      <alignment horizontal="center" vertical="center"/>
    </xf>
    <xf numFmtId="38" fontId="22" fillId="0" borderId="113" xfId="0" applyNumberFormat="1" applyFont="1" applyBorder="1" applyAlignment="1">
      <alignment horizontal="center" vertical="center"/>
    </xf>
    <xf numFmtId="38" fontId="22" fillId="0" borderId="116" xfId="0" applyNumberFormat="1" applyFont="1" applyBorder="1" applyAlignment="1">
      <alignment horizontal="center" vertical="center"/>
    </xf>
    <xf numFmtId="0" fontId="31" fillId="0" borderId="0" xfId="0" applyFont="1" applyAlignment="1">
      <alignment horizontal="center" vertical="center"/>
    </xf>
    <xf numFmtId="14" fontId="31" fillId="0" borderId="0" xfId="0" applyNumberFormat="1" applyFont="1" applyAlignment="1">
      <alignment horizontal="center" vertical="center"/>
    </xf>
    <xf numFmtId="40" fontId="106" fillId="0" borderId="72" xfId="10" applyNumberFormat="1" applyFont="1" applyBorder="1" applyAlignment="1">
      <alignment horizontal="center" vertical="center" readingOrder="1"/>
    </xf>
    <xf numFmtId="186" fontId="119" fillId="4" borderId="113" xfId="0" applyNumberFormat="1" applyFont="1" applyFill="1" applyBorder="1" applyAlignment="1">
      <alignment horizontal="center" vertical="center"/>
    </xf>
    <xf numFmtId="186" fontId="22" fillId="4" borderId="113" xfId="0" applyNumberFormat="1" applyFont="1" applyFill="1" applyBorder="1" applyAlignment="1">
      <alignment horizontal="center" vertical="center"/>
    </xf>
    <xf numFmtId="186" fontId="22" fillId="0" borderId="113" xfId="0" applyNumberFormat="1" applyFont="1" applyBorder="1" applyAlignment="1">
      <alignment horizontal="center" vertical="center"/>
    </xf>
    <xf numFmtId="186" fontId="22" fillId="0" borderId="116" xfId="0" applyNumberFormat="1" applyFont="1" applyBorder="1" applyAlignment="1">
      <alignment horizontal="center" vertical="center"/>
    </xf>
    <xf numFmtId="186" fontId="22" fillId="4" borderId="115" xfId="0" applyNumberFormat="1" applyFont="1" applyFill="1" applyBorder="1" applyAlignment="1">
      <alignment horizontal="center" vertical="center"/>
    </xf>
    <xf numFmtId="186" fontId="22" fillId="4" borderId="110" xfId="0" applyNumberFormat="1" applyFont="1" applyFill="1" applyBorder="1" applyAlignment="1">
      <alignment horizontal="center" vertical="center"/>
    </xf>
    <xf numFmtId="0" fontId="22" fillId="0" borderId="64" xfId="0" applyFont="1" applyBorder="1" applyAlignment="1">
      <alignment horizontal="center" vertical="center"/>
    </xf>
    <xf numFmtId="0" fontId="31" fillId="0" borderId="64" xfId="0" applyFont="1" applyBorder="1" applyAlignment="1">
      <alignment horizontal="center" vertical="center"/>
    </xf>
    <xf numFmtId="14" fontId="31" fillId="0" borderId="64" xfId="0" applyNumberFormat="1" applyFont="1" applyBorder="1" applyAlignment="1">
      <alignment horizontal="center" vertical="center"/>
    </xf>
    <xf numFmtId="40" fontId="22" fillId="4" borderId="0" xfId="0" applyNumberFormat="1" applyFont="1" applyFill="1">
      <alignment vertical="center"/>
    </xf>
    <xf numFmtId="40" fontId="22" fillId="4" borderId="129" xfId="0" applyNumberFormat="1" applyFont="1" applyFill="1" applyBorder="1">
      <alignment vertical="center"/>
    </xf>
    <xf numFmtId="189" fontId="51" fillId="4" borderId="0" xfId="0" applyNumberFormat="1" applyFont="1" applyFill="1">
      <alignment vertical="center"/>
    </xf>
    <xf numFmtId="14" fontId="51" fillId="4" borderId="0" xfId="0" applyNumberFormat="1" applyFont="1" applyFill="1">
      <alignment vertical="center"/>
    </xf>
    <xf numFmtId="14" fontId="51" fillId="4" borderId="17" xfId="0" applyNumberFormat="1" applyFont="1" applyFill="1" applyBorder="1">
      <alignment vertical="center"/>
    </xf>
    <xf numFmtId="14" fontId="22" fillId="4" borderId="0" xfId="0" applyNumberFormat="1" applyFont="1" applyFill="1">
      <alignment vertical="center"/>
    </xf>
    <xf numFmtId="14" fontId="22" fillId="4" borderId="17" xfId="0" applyNumberFormat="1" applyFont="1" applyFill="1" applyBorder="1">
      <alignment vertical="center"/>
    </xf>
    <xf numFmtId="191" fontId="8" fillId="0" borderId="0" xfId="0" applyNumberFormat="1" applyFont="1" applyAlignment="1">
      <alignment horizontal="center" vertical="center"/>
    </xf>
    <xf numFmtId="3" fontId="22" fillId="4" borderId="133" xfId="0" applyNumberFormat="1" applyFont="1" applyFill="1" applyBorder="1" applyAlignment="1">
      <alignment horizontal="center" vertical="center"/>
    </xf>
    <xf numFmtId="3" fontId="22" fillId="4" borderId="135" xfId="0" applyNumberFormat="1" applyFont="1" applyFill="1" applyBorder="1" applyAlignment="1">
      <alignment horizontal="center" vertical="center"/>
    </xf>
    <xf numFmtId="3" fontId="22" fillId="4" borderId="155" xfId="0" applyNumberFormat="1" applyFont="1" applyFill="1" applyBorder="1" applyAlignment="1">
      <alignment horizontal="center" vertical="center"/>
    </xf>
    <xf numFmtId="0" fontId="111" fillId="0" borderId="0" xfId="0" applyFont="1" applyAlignment="1">
      <alignment horizontal="right" vertical="center" wrapText="1"/>
    </xf>
    <xf numFmtId="0" fontId="108" fillId="0" borderId="0" xfId="0" applyFont="1" applyAlignment="1">
      <alignment horizontal="right" vertical="center"/>
    </xf>
    <xf numFmtId="3" fontId="22" fillId="4" borderId="147" xfId="0" applyNumberFormat="1" applyFont="1" applyFill="1" applyBorder="1" applyAlignment="1">
      <alignment horizontal="right" vertical="center"/>
    </xf>
    <xf numFmtId="38" fontId="6" fillId="0" borderId="0" xfId="2" applyFont="1" applyAlignment="1">
      <alignment horizontal="right" vertical="center"/>
    </xf>
    <xf numFmtId="3" fontId="24" fillId="4" borderId="156" xfId="0" applyNumberFormat="1" applyFont="1" applyFill="1" applyBorder="1" applyAlignment="1">
      <alignment horizontal="right" vertical="center"/>
    </xf>
    <xf numFmtId="3" fontId="24" fillId="4" borderId="134" xfId="0" applyNumberFormat="1" applyFont="1" applyFill="1" applyBorder="1" applyAlignment="1">
      <alignment horizontal="right" vertical="center"/>
    </xf>
    <xf numFmtId="3" fontId="24" fillId="4" borderId="136" xfId="0" applyNumberFormat="1" applyFont="1" applyFill="1" applyBorder="1" applyAlignment="1">
      <alignment horizontal="right" vertical="center"/>
    </xf>
    <xf numFmtId="38" fontId="65" fillId="0" borderId="0" xfId="2" applyFont="1" applyAlignment="1">
      <alignment horizontal="right" vertical="center"/>
    </xf>
    <xf numFmtId="3" fontId="22" fillId="4" borderId="148" xfId="0" applyNumberFormat="1" applyFont="1" applyFill="1" applyBorder="1" applyAlignment="1">
      <alignment horizontal="right" vertical="center"/>
    </xf>
    <xf numFmtId="0" fontId="120" fillId="0" borderId="254" xfId="0" applyFont="1" applyBorder="1" applyAlignment="1">
      <alignment vertical="center" readingOrder="1"/>
    </xf>
    <xf numFmtId="0" fontId="120" fillId="0" borderId="255" xfId="0" applyFont="1" applyBorder="1" applyAlignment="1">
      <alignment vertical="center" readingOrder="1"/>
    </xf>
    <xf numFmtId="40" fontId="24" fillId="0" borderId="19" xfId="2" applyNumberFormat="1" applyFont="1" applyBorder="1" applyAlignment="1">
      <alignment horizontal="right" vertical="center"/>
    </xf>
    <xf numFmtId="177" fontId="22" fillId="4" borderId="258" xfId="0" applyNumberFormat="1" applyFont="1" applyFill="1" applyBorder="1" applyAlignment="1" applyProtection="1">
      <alignment horizontal="center" vertical="center"/>
      <protection locked="0"/>
    </xf>
    <xf numFmtId="0" fontId="22" fillId="0" borderId="131" xfId="0" applyFont="1" applyBorder="1" applyAlignment="1" applyProtection="1">
      <alignment horizontal="left" vertical="center" indent="1"/>
      <protection locked="0"/>
    </xf>
    <xf numFmtId="0" fontId="22" fillId="0" borderId="131" xfId="0" applyFont="1" applyBorder="1">
      <alignment vertical="center"/>
    </xf>
    <xf numFmtId="0" fontId="22" fillId="0" borderId="131" xfId="0" applyFont="1" applyBorder="1" applyAlignment="1">
      <alignment horizontal="center" vertical="center"/>
    </xf>
    <xf numFmtId="14" fontId="22" fillId="0" borderId="131" xfId="0" applyNumberFormat="1" applyFont="1" applyBorder="1" applyAlignment="1">
      <alignment horizontal="center" vertical="center"/>
    </xf>
    <xf numFmtId="10" fontId="22" fillId="0" borderId="131" xfId="0" applyNumberFormat="1" applyFont="1" applyBorder="1" applyAlignment="1">
      <alignment horizontal="center" vertical="center"/>
    </xf>
    <xf numFmtId="40" fontId="22" fillId="0" borderId="131" xfId="0" applyNumberFormat="1" applyFont="1" applyBorder="1">
      <alignment vertical="center"/>
    </xf>
    <xf numFmtId="1" fontId="22" fillId="0" borderId="131" xfId="0" applyNumberFormat="1" applyFont="1" applyBorder="1" applyAlignment="1">
      <alignment horizontal="center" vertical="center"/>
    </xf>
    <xf numFmtId="2" fontId="22" fillId="0" borderId="131" xfId="0" applyNumberFormat="1" applyFont="1" applyBorder="1" applyAlignment="1">
      <alignment horizontal="center" vertical="center"/>
    </xf>
    <xf numFmtId="180" fontId="22" fillId="0" borderId="131" xfId="0" applyNumberFormat="1" applyFont="1" applyBorder="1" applyAlignment="1">
      <alignment horizontal="center" vertical="center"/>
    </xf>
    <xf numFmtId="182" fontId="22" fillId="0" borderId="131" xfId="0" applyNumberFormat="1" applyFont="1" applyBorder="1" applyAlignment="1">
      <alignment horizontal="center" vertical="center"/>
    </xf>
    <xf numFmtId="38" fontId="22" fillId="0" borderId="131" xfId="1" applyNumberFormat="1" applyFont="1" applyFill="1" applyBorder="1" applyAlignment="1">
      <alignment horizontal="center" vertical="center"/>
    </xf>
    <xf numFmtId="38" fontId="24" fillId="0" borderId="131" xfId="1" applyNumberFormat="1" applyFont="1" applyFill="1" applyBorder="1" applyAlignment="1">
      <alignment horizontal="center" vertical="center"/>
    </xf>
    <xf numFmtId="38" fontId="23" fillId="0" borderId="131" xfId="0" applyNumberFormat="1" applyFont="1" applyBorder="1" applyAlignment="1">
      <alignment horizontal="center" vertical="center"/>
    </xf>
    <xf numFmtId="14" fontId="34" fillId="0" borderId="131" xfId="0" applyNumberFormat="1" applyFont="1" applyBorder="1" applyAlignment="1">
      <alignment horizontal="center" vertical="center"/>
    </xf>
    <xf numFmtId="40" fontId="22" fillId="0" borderId="0" xfId="0" applyNumberFormat="1" applyFont="1">
      <alignment vertical="center"/>
    </xf>
    <xf numFmtId="1" fontId="22" fillId="0" borderId="0" xfId="0" applyNumberFormat="1" applyFont="1" applyAlignment="1">
      <alignment horizontal="center" vertical="center"/>
    </xf>
    <xf numFmtId="2" fontId="22" fillId="0" borderId="0" xfId="0" applyNumberFormat="1" applyFont="1" applyAlignment="1">
      <alignment horizontal="center" vertical="center"/>
    </xf>
    <xf numFmtId="180" fontId="22" fillId="0" borderId="0" xfId="0" applyNumberFormat="1" applyFont="1" applyAlignment="1">
      <alignment horizontal="center" vertical="center"/>
    </xf>
    <xf numFmtId="38" fontId="22" fillId="0" borderId="0" xfId="1" applyNumberFormat="1" applyFont="1" applyFill="1" applyBorder="1" applyAlignment="1">
      <alignment horizontal="center" vertical="center"/>
    </xf>
    <xf numFmtId="38" fontId="23" fillId="0" borderId="0" xfId="0" applyNumberFormat="1" applyFont="1" applyAlignment="1">
      <alignment horizontal="center" vertical="center" wrapText="1"/>
    </xf>
    <xf numFmtId="14" fontId="34" fillId="0" borderId="0" xfId="0" applyNumberFormat="1" applyFont="1" applyAlignment="1">
      <alignment horizontal="center" vertical="center"/>
    </xf>
    <xf numFmtId="0" fontId="24" fillId="0" borderId="131" xfId="0" applyFont="1" applyBorder="1">
      <alignment vertical="center"/>
    </xf>
    <xf numFmtId="188" fontId="22" fillId="0" borderId="131" xfId="0" applyNumberFormat="1" applyFont="1" applyBorder="1" applyAlignment="1">
      <alignment horizontal="center" vertical="center"/>
    </xf>
    <xf numFmtId="38" fontId="24" fillId="0" borderId="131" xfId="2" applyFont="1" applyFill="1" applyBorder="1" applyAlignment="1">
      <alignment horizontal="center" vertical="center"/>
    </xf>
    <xf numFmtId="3" fontId="24" fillId="0" borderId="131" xfId="0" applyNumberFormat="1" applyFont="1" applyBorder="1" applyAlignment="1">
      <alignment horizontal="center" vertical="center"/>
    </xf>
    <xf numFmtId="0" fontId="24" fillId="0" borderId="131" xfId="0" applyFont="1" applyBorder="1" applyAlignment="1">
      <alignment horizontal="center" vertical="center"/>
    </xf>
    <xf numFmtId="37" fontId="22" fillId="0" borderId="131" xfId="1" applyNumberFormat="1" applyFont="1" applyFill="1" applyBorder="1" applyAlignment="1">
      <alignment horizontal="center" vertical="center"/>
    </xf>
    <xf numFmtId="17" fontId="22" fillId="0" borderId="0" xfId="0" applyNumberFormat="1" applyFont="1" applyAlignment="1">
      <alignment horizontal="center" vertical="center"/>
    </xf>
    <xf numFmtId="17" fontId="22" fillId="0" borderId="19" xfId="0" applyNumberFormat="1" applyFont="1" applyBorder="1" applyAlignment="1">
      <alignment horizontal="center" vertical="center"/>
    </xf>
    <xf numFmtId="182" fontId="34" fillId="4" borderId="0" xfId="0" applyNumberFormat="1" applyFont="1" applyFill="1" applyAlignment="1">
      <alignment horizontal="center" vertical="center"/>
    </xf>
    <xf numFmtId="182" fontId="34" fillId="4" borderId="129" xfId="0" applyNumberFormat="1" applyFont="1" applyFill="1" applyBorder="1" applyAlignment="1">
      <alignment horizontal="center" vertical="center"/>
    </xf>
    <xf numFmtId="3" fontId="24" fillId="4" borderId="147" xfId="0" applyNumberFormat="1" applyFont="1" applyFill="1" applyBorder="1" applyAlignment="1">
      <alignment horizontal="right" vertical="center"/>
    </xf>
    <xf numFmtId="0" fontId="22" fillId="4" borderId="110" xfId="0" applyFont="1" applyFill="1" applyBorder="1" applyAlignment="1">
      <alignment horizontal="left" vertical="center"/>
    </xf>
    <xf numFmtId="17" fontId="34" fillId="28" borderId="0" xfId="0" applyNumberFormat="1" applyFont="1" applyFill="1" applyAlignment="1">
      <alignment horizontal="center" vertical="center"/>
    </xf>
    <xf numFmtId="17" fontId="34" fillId="28" borderId="19" xfId="0" applyNumberFormat="1" applyFont="1" applyFill="1" applyBorder="1" applyAlignment="1">
      <alignment horizontal="center" vertical="center"/>
    </xf>
    <xf numFmtId="14" fontId="78" fillId="0" borderId="259" xfId="10" applyNumberFormat="1" applyFont="1" applyBorder="1" applyAlignment="1">
      <alignment horizontal="center" vertical="center"/>
    </xf>
    <xf numFmtId="188" fontId="22" fillId="0" borderId="131" xfId="0" applyNumberFormat="1" applyFont="1" applyBorder="1" applyAlignment="1">
      <alignment horizontal="left" vertical="center"/>
    </xf>
    <xf numFmtId="3" fontId="24" fillId="4" borderId="138" xfId="0" applyNumberFormat="1" applyFont="1" applyFill="1" applyBorder="1" applyAlignment="1">
      <alignment horizontal="right" vertical="center"/>
    </xf>
    <xf numFmtId="3" fontId="24" fillId="4" borderId="148" xfId="0" applyNumberFormat="1" applyFont="1" applyFill="1" applyBorder="1" applyAlignment="1">
      <alignment horizontal="right" vertical="center"/>
    </xf>
    <xf numFmtId="38" fontId="22" fillId="4" borderId="134" xfId="2" applyFont="1" applyFill="1" applyBorder="1" applyAlignment="1">
      <alignment horizontal="right" vertical="center"/>
    </xf>
    <xf numFmtId="40" fontId="22" fillId="0" borderId="147" xfId="2" applyNumberFormat="1" applyFont="1" applyBorder="1" applyAlignment="1">
      <alignment horizontal="right" vertical="center"/>
    </xf>
    <xf numFmtId="40" fontId="22" fillId="0" borderId="148" xfId="2" applyNumberFormat="1" applyFont="1" applyBorder="1" applyAlignment="1">
      <alignment horizontal="right" vertical="center"/>
    </xf>
    <xf numFmtId="10" fontId="22" fillId="4" borderId="101" xfId="14" applyNumberFormat="1" applyFont="1" applyFill="1" applyBorder="1" applyAlignment="1" applyProtection="1">
      <alignment horizontal="center" vertical="center"/>
      <protection locked="0"/>
    </xf>
    <xf numFmtId="190" fontId="24" fillId="0" borderId="119" xfId="2" applyNumberFormat="1" applyFont="1" applyBorder="1" applyAlignment="1">
      <alignment horizontal="right" vertical="center"/>
    </xf>
    <xf numFmtId="190" fontId="24" fillId="0" borderId="123" xfId="2" applyNumberFormat="1" applyFont="1" applyBorder="1" applyAlignment="1">
      <alignment horizontal="right" vertical="center"/>
    </xf>
    <xf numFmtId="0" fontId="67" fillId="3" borderId="260" xfId="0" applyFont="1" applyFill="1" applyBorder="1">
      <alignment vertical="center"/>
    </xf>
    <xf numFmtId="190" fontId="24" fillId="0" borderId="113" xfId="2" applyNumberFormat="1" applyFont="1" applyBorder="1" applyAlignment="1">
      <alignment horizontal="right" vertical="center"/>
    </xf>
    <xf numFmtId="3" fontId="24" fillId="0" borderId="148" xfId="0" applyNumberFormat="1" applyFont="1" applyBorder="1" applyAlignment="1">
      <alignment horizontal="right" vertical="center"/>
    </xf>
    <xf numFmtId="3" fontId="22" fillId="0" borderId="148" xfId="0" applyNumberFormat="1" applyFont="1" applyBorder="1" applyAlignment="1">
      <alignment horizontal="right" vertical="center"/>
    </xf>
    <xf numFmtId="3" fontId="22" fillId="0" borderId="147" xfId="0" applyNumberFormat="1" applyFont="1" applyBorder="1" applyAlignment="1">
      <alignment horizontal="right" vertical="center"/>
    </xf>
    <xf numFmtId="40" fontId="62" fillId="0" borderId="146" xfId="2" applyNumberFormat="1" applyFont="1" applyFill="1" applyBorder="1" applyAlignment="1">
      <alignment vertical="top" wrapText="1"/>
    </xf>
    <xf numFmtId="0" fontId="62" fillId="0" borderId="263" xfId="0" applyFont="1" applyBorder="1" applyAlignment="1">
      <alignment vertical="center" wrapText="1"/>
    </xf>
    <xf numFmtId="40" fontId="62" fillId="0" borderId="150" xfId="2" applyNumberFormat="1" applyFont="1" applyFill="1" applyBorder="1" applyAlignment="1">
      <alignment horizontal="center" vertical="top" wrapText="1"/>
    </xf>
    <xf numFmtId="38" fontId="24" fillId="0" borderId="264" xfId="2" applyFont="1" applyBorder="1" applyAlignment="1">
      <alignment horizontal="center" vertical="center"/>
    </xf>
    <xf numFmtId="0" fontId="22" fillId="0" borderId="264" xfId="0" applyFont="1" applyBorder="1" applyAlignment="1" applyProtection="1">
      <alignment horizontal="left" vertical="center" indent="1"/>
      <protection locked="0"/>
    </xf>
    <xf numFmtId="0" fontId="22" fillId="0" borderId="265" xfId="0" applyFont="1" applyBorder="1">
      <alignment vertical="center"/>
    </xf>
    <xf numFmtId="0" fontId="24" fillId="0" borderId="265" xfId="0" applyFont="1" applyBorder="1" applyAlignment="1">
      <alignment vertical="center" wrapText="1"/>
    </xf>
    <xf numFmtId="0" fontId="22" fillId="4" borderId="265" xfId="0" applyFont="1" applyFill="1" applyBorder="1">
      <alignment vertical="center"/>
    </xf>
    <xf numFmtId="0" fontId="22" fillId="4" borderId="264" xfId="0" applyFont="1" applyFill="1" applyBorder="1" applyAlignment="1">
      <alignment horizontal="left" vertical="center"/>
    </xf>
    <xf numFmtId="40" fontId="24" fillId="0" borderId="265" xfId="2" applyNumberFormat="1" applyFont="1" applyBorder="1" applyAlignment="1">
      <alignment horizontal="center" vertical="center"/>
    </xf>
    <xf numFmtId="40" fontId="24" fillId="0" borderId="264" xfId="2" applyNumberFormat="1" applyFont="1" applyBorder="1" applyAlignment="1">
      <alignment horizontal="center" vertical="center"/>
    </xf>
    <xf numFmtId="40" fontId="24" fillId="0" borderId="264" xfId="2" applyNumberFormat="1" applyFont="1" applyBorder="1" applyAlignment="1">
      <alignment horizontal="right" vertical="center"/>
    </xf>
    <xf numFmtId="176" fontId="22" fillId="4" borderId="265" xfId="0" applyNumberFormat="1" applyFont="1" applyFill="1" applyBorder="1" applyAlignment="1">
      <alignment horizontal="center" vertical="center"/>
    </xf>
    <xf numFmtId="10" fontId="22" fillId="4" borderId="264" xfId="0" applyNumberFormat="1" applyFont="1" applyFill="1" applyBorder="1" applyAlignment="1">
      <alignment horizontal="center" vertical="center"/>
    </xf>
    <xf numFmtId="182" fontId="22" fillId="4" borderId="264" xfId="0" applyNumberFormat="1" applyFont="1" applyFill="1" applyBorder="1" applyAlignment="1">
      <alignment horizontal="center" vertical="center"/>
    </xf>
    <xf numFmtId="3" fontId="24" fillId="4" borderId="264" xfId="0" applyNumberFormat="1" applyFont="1" applyFill="1" applyBorder="1" applyAlignment="1">
      <alignment horizontal="right" vertical="center"/>
    </xf>
    <xf numFmtId="3" fontId="22" fillId="4" borderId="264" xfId="0" applyNumberFormat="1" applyFont="1" applyFill="1" applyBorder="1" applyAlignment="1">
      <alignment horizontal="right" vertical="center"/>
    </xf>
    <xf numFmtId="3" fontId="24" fillId="4" borderId="266" xfId="0" applyNumberFormat="1" applyFont="1" applyFill="1" applyBorder="1" applyAlignment="1">
      <alignment horizontal="right" vertical="center"/>
    </xf>
    <xf numFmtId="190" fontId="8" fillId="0" borderId="0" xfId="2" applyNumberFormat="1" applyFont="1" applyAlignment="1">
      <alignment horizontal="right" vertical="center"/>
    </xf>
    <xf numFmtId="190" fontId="68" fillId="2" borderId="104" xfId="2" applyNumberFormat="1" applyFont="1" applyFill="1" applyBorder="1" applyAlignment="1">
      <alignment horizontal="center" vertical="center" wrapText="1"/>
    </xf>
    <xf numFmtId="190" fontId="24" fillId="0" borderId="110" xfId="2" applyNumberFormat="1" applyFont="1" applyBorder="1" applyAlignment="1">
      <alignment horizontal="right" vertical="center"/>
    </xf>
    <xf numFmtId="190" fontId="24" fillId="0" borderId="115" xfId="2" applyNumberFormat="1" applyFont="1" applyBorder="1" applyAlignment="1">
      <alignment horizontal="right" vertical="center"/>
    </xf>
    <xf numFmtId="190" fontId="6" fillId="0" borderId="0" xfId="2" applyNumberFormat="1" applyFont="1" applyAlignment="1">
      <alignment horizontal="right" vertical="center"/>
    </xf>
    <xf numFmtId="190" fontId="65" fillId="0" borderId="0" xfId="2" applyNumberFormat="1" applyFont="1" applyAlignment="1">
      <alignment horizontal="right" vertical="center"/>
    </xf>
    <xf numFmtId="40" fontId="117" fillId="0" borderId="0" xfId="2" applyNumberFormat="1" applyFont="1">
      <alignment vertical="center"/>
    </xf>
    <xf numFmtId="0" fontId="62" fillId="0" borderId="145" xfId="0" applyFont="1" applyBorder="1" applyAlignment="1">
      <alignment vertical="center" wrapText="1"/>
    </xf>
    <xf numFmtId="0" fontId="62" fillId="0" borderId="144" xfId="0" applyFont="1" applyBorder="1">
      <alignment vertical="center"/>
    </xf>
    <xf numFmtId="0" fontId="75" fillId="4" borderId="0" xfId="0" applyFont="1" applyFill="1" applyAlignment="1">
      <alignment horizontal="center" vertical="center"/>
    </xf>
    <xf numFmtId="40" fontId="28" fillId="0" borderId="147" xfId="2" applyNumberFormat="1" applyFont="1" applyBorder="1" applyAlignment="1">
      <alignment horizontal="right" vertical="center"/>
    </xf>
    <xf numFmtId="3" fontId="24" fillId="4" borderId="147" xfId="0" applyNumberFormat="1" applyFont="1" applyFill="1" applyBorder="1" applyAlignment="1">
      <alignment horizontal="right" vertical="center" indent="1"/>
    </xf>
    <xf numFmtId="3" fontId="22" fillId="4" borderId="147" xfId="0" applyNumberFormat="1" applyFont="1" applyFill="1" applyBorder="1" applyAlignment="1">
      <alignment horizontal="right" vertical="center" indent="1"/>
    </xf>
    <xf numFmtId="3" fontId="24" fillId="4" borderId="138" xfId="0" applyNumberFormat="1" applyFont="1" applyFill="1" applyBorder="1" applyAlignment="1">
      <alignment horizontal="right" vertical="center" indent="1"/>
    </xf>
    <xf numFmtId="3" fontId="22" fillId="4" borderId="264" xfId="0" applyNumberFormat="1" applyFont="1" applyFill="1" applyBorder="1" applyAlignment="1">
      <alignment horizontal="right" vertical="center" indent="1"/>
    </xf>
    <xf numFmtId="3" fontId="24" fillId="4" borderId="266" xfId="0" applyNumberFormat="1" applyFont="1" applyFill="1" applyBorder="1" applyAlignment="1">
      <alignment horizontal="right" vertical="center" indent="1"/>
    </xf>
    <xf numFmtId="3" fontId="22" fillId="4" borderId="0" xfId="0" applyNumberFormat="1" applyFont="1" applyFill="1" applyAlignment="1">
      <alignment horizontal="right" vertical="center" indent="1"/>
    </xf>
    <xf numFmtId="0" fontId="113" fillId="27" borderId="269" xfId="0" applyFont="1" applyFill="1" applyBorder="1" applyAlignment="1">
      <alignment horizontal="center" vertical="center" wrapText="1" readingOrder="1"/>
    </xf>
    <xf numFmtId="0" fontId="113" fillId="27" borderId="269" xfId="0" applyFont="1" applyFill="1" applyBorder="1" applyAlignment="1">
      <alignment horizontal="left" vertical="center" wrapText="1" readingOrder="1"/>
    </xf>
    <xf numFmtId="0" fontId="113" fillId="27" borderId="269" xfId="0" applyFont="1" applyFill="1" applyBorder="1" applyAlignment="1">
      <alignment horizontal="left" vertical="center" wrapText="1" indent="1" readingOrder="1"/>
    </xf>
    <xf numFmtId="0" fontId="81" fillId="29" borderId="271" xfId="0" applyFont="1" applyFill="1" applyBorder="1" applyAlignment="1">
      <alignment horizontal="center" vertical="center" wrapText="1" readingOrder="1"/>
    </xf>
    <xf numFmtId="0" fontId="24" fillId="29" borderId="271" xfId="0" applyFont="1" applyFill="1" applyBorder="1" applyAlignment="1">
      <alignment horizontal="left" vertical="center" wrapText="1" readingOrder="1"/>
    </xf>
    <xf numFmtId="0" fontId="81" fillId="29" borderId="273" xfId="0" applyFont="1" applyFill="1" applyBorder="1" applyAlignment="1">
      <alignment horizontal="center" vertical="center" wrapText="1" readingOrder="1"/>
    </xf>
    <xf numFmtId="0" fontId="24" fillId="29" borderId="273" xfId="0" applyFont="1" applyFill="1" applyBorder="1" applyAlignment="1">
      <alignment horizontal="left" vertical="center" wrapText="1" readingOrder="1"/>
    </xf>
    <xf numFmtId="0" fontId="81" fillId="29" borderId="272" xfId="0" applyFont="1" applyFill="1" applyBorder="1" applyAlignment="1">
      <alignment horizontal="center" vertical="center" wrapText="1" readingOrder="1"/>
    </xf>
    <xf numFmtId="0" fontId="24" fillId="29" borderId="272" xfId="0" applyFont="1" applyFill="1" applyBorder="1" applyAlignment="1">
      <alignment horizontal="left" vertical="center" wrapText="1" readingOrder="1"/>
    </xf>
    <xf numFmtId="0" fontId="81" fillId="29" borderId="274" xfId="0" applyFont="1" applyFill="1" applyBorder="1" applyAlignment="1">
      <alignment horizontal="center" vertical="center" wrapText="1" readingOrder="1"/>
    </xf>
    <xf numFmtId="0" fontId="24" fillId="29" borderId="274" xfId="0" applyFont="1" applyFill="1" applyBorder="1" applyAlignment="1">
      <alignment horizontal="left" vertical="center" wrapText="1" readingOrder="1"/>
    </xf>
    <xf numFmtId="0" fontId="125" fillId="29" borderId="274" xfId="0" applyFont="1" applyFill="1" applyBorder="1" applyAlignment="1">
      <alignment horizontal="center" vertical="center" wrapText="1" readingOrder="1"/>
    </xf>
    <xf numFmtId="0" fontId="124" fillId="29" borderId="274" xfId="0" applyFont="1" applyFill="1" applyBorder="1" applyAlignment="1">
      <alignment horizontal="center" vertical="center" wrapText="1" readingOrder="1"/>
    </xf>
    <xf numFmtId="0" fontId="123" fillId="29" borderId="275" xfId="0" applyFont="1" applyFill="1" applyBorder="1" applyAlignment="1">
      <alignment horizontal="center" vertical="center" wrapText="1" readingOrder="1"/>
    </xf>
    <xf numFmtId="0" fontId="81" fillId="29" borderId="275" xfId="0" applyFont="1" applyFill="1" applyBorder="1" applyAlignment="1">
      <alignment horizontal="center" vertical="center" wrapText="1" readingOrder="1"/>
    </xf>
    <xf numFmtId="0" fontId="24" fillId="29" borderId="275" xfId="0" applyFont="1" applyFill="1" applyBorder="1" applyAlignment="1">
      <alignment horizontal="left" vertical="center" wrapText="1" readingOrder="1"/>
    </xf>
    <xf numFmtId="0" fontId="81" fillId="29" borderId="276" xfId="0" applyFont="1" applyFill="1" applyBorder="1" applyAlignment="1">
      <alignment horizontal="center" vertical="center" wrapText="1" readingOrder="1"/>
    </xf>
    <xf numFmtId="0" fontId="24" fillId="29" borderId="276" xfId="0" applyFont="1" applyFill="1" applyBorder="1" applyAlignment="1">
      <alignment horizontal="left" vertical="center" wrapText="1" readingOrder="1"/>
    </xf>
    <xf numFmtId="0" fontId="24" fillId="29" borderId="275" xfId="0" applyFont="1" applyFill="1" applyBorder="1" applyAlignment="1">
      <alignment horizontal="left" vertical="center" wrapText="1" indent="1" readingOrder="1"/>
    </xf>
    <xf numFmtId="0" fontId="24" fillId="29" borderId="274" xfId="0" applyFont="1" applyFill="1" applyBorder="1" applyAlignment="1">
      <alignment horizontal="left" vertical="center" wrapText="1" indent="1" readingOrder="1"/>
    </xf>
    <xf numFmtId="40" fontId="0" fillId="0" borderId="0" xfId="2" applyNumberFormat="1" applyFont="1">
      <alignment vertical="center"/>
    </xf>
    <xf numFmtId="40" fontId="24" fillId="29" borderId="275" xfId="2" applyNumberFormat="1" applyFont="1" applyFill="1" applyBorder="1" applyAlignment="1">
      <alignment horizontal="right" vertical="center" wrapText="1" indent="1" readingOrder="1"/>
    </xf>
    <xf numFmtId="40" fontId="24" fillId="29" borderId="274" xfId="2" applyNumberFormat="1" applyFont="1" applyFill="1" applyBorder="1" applyAlignment="1">
      <alignment horizontal="right" vertical="center" wrapText="1" indent="1" readingOrder="1"/>
    </xf>
    <xf numFmtId="40" fontId="24" fillId="29" borderId="271" xfId="2" applyNumberFormat="1" applyFont="1" applyFill="1" applyBorder="1" applyAlignment="1">
      <alignment horizontal="right" vertical="center" wrapText="1" indent="1" readingOrder="1"/>
    </xf>
    <xf numFmtId="40" fontId="24" fillId="29" borderId="273" xfId="2" applyNumberFormat="1" applyFont="1" applyFill="1" applyBorder="1" applyAlignment="1">
      <alignment horizontal="right" vertical="center" wrapText="1" indent="1" readingOrder="1"/>
    </xf>
    <xf numFmtId="40" fontId="24" fillId="29" borderId="272" xfId="2" applyNumberFormat="1" applyFont="1" applyFill="1" applyBorder="1" applyAlignment="1">
      <alignment horizontal="right" vertical="center" wrapText="1" indent="1" readingOrder="1"/>
    </xf>
    <xf numFmtId="40" fontId="24" fillId="29" borderId="276" xfId="2" applyNumberFormat="1" applyFont="1" applyFill="1" applyBorder="1" applyAlignment="1">
      <alignment horizontal="right" vertical="center" wrapText="1" indent="1" readingOrder="1"/>
    </xf>
    <xf numFmtId="0" fontId="24" fillId="29" borderId="275" xfId="0" applyFont="1" applyFill="1" applyBorder="1" applyAlignment="1">
      <alignment horizontal="right" vertical="center" wrapText="1" readingOrder="1"/>
    </xf>
    <xf numFmtId="0" fontId="24" fillId="29" borderId="274" xfId="0" applyFont="1" applyFill="1" applyBorder="1" applyAlignment="1">
      <alignment horizontal="right" vertical="center" wrapText="1" readingOrder="1"/>
    </xf>
    <xf numFmtId="0" fontId="24" fillId="29" borderId="271" xfId="0" applyFont="1" applyFill="1" applyBorder="1" applyAlignment="1">
      <alignment horizontal="right" vertical="center" wrapText="1" readingOrder="1"/>
    </xf>
    <xf numFmtId="0" fontId="24" fillId="29" borderId="273" xfId="0" applyFont="1" applyFill="1" applyBorder="1" applyAlignment="1">
      <alignment horizontal="right" vertical="center" wrapText="1" readingOrder="1"/>
    </xf>
    <xf numFmtId="0" fontId="24" fillId="29" borderId="272" xfId="0" applyFont="1" applyFill="1" applyBorder="1" applyAlignment="1">
      <alignment horizontal="right" vertical="center" wrapText="1" readingOrder="1"/>
    </xf>
    <xf numFmtId="0" fontId="24" fillId="29" borderId="276" xfId="0" applyFont="1" applyFill="1" applyBorder="1" applyAlignment="1">
      <alignment horizontal="right" vertical="center" wrapText="1" readingOrder="1"/>
    </xf>
    <xf numFmtId="40" fontId="24" fillId="0" borderId="264" xfId="2" applyNumberFormat="1" applyFont="1" applyBorder="1" applyAlignment="1">
      <alignment horizontal="left" vertical="center"/>
    </xf>
    <xf numFmtId="10" fontId="28" fillId="4" borderId="147" xfId="0" applyNumberFormat="1" applyFont="1" applyFill="1" applyBorder="1" applyAlignment="1">
      <alignment horizontal="center" vertical="center"/>
    </xf>
    <xf numFmtId="182" fontId="22" fillId="4" borderId="148" xfId="0" applyNumberFormat="1" applyFont="1" applyFill="1" applyBorder="1" applyAlignment="1">
      <alignment horizontal="right" vertical="center" indent="1"/>
    </xf>
    <xf numFmtId="182" fontId="22" fillId="4" borderId="264" xfId="0" applyNumberFormat="1" applyFont="1" applyFill="1" applyBorder="1" applyAlignment="1">
      <alignment horizontal="right" vertical="center" indent="1"/>
    </xf>
    <xf numFmtId="40" fontId="6" fillId="0" borderId="0" xfId="2" applyNumberFormat="1" applyFont="1">
      <alignment vertical="center"/>
    </xf>
    <xf numFmtId="0" fontId="22" fillId="0" borderId="113" xfId="0" applyFont="1" applyBorder="1" applyAlignment="1">
      <alignment horizontal="right" vertical="center" indent="1"/>
    </xf>
    <xf numFmtId="0" fontId="22" fillId="0" borderId="116" xfId="0" applyFont="1" applyBorder="1" applyAlignment="1">
      <alignment horizontal="right" vertical="center" indent="1"/>
    </xf>
    <xf numFmtId="188" fontId="22" fillId="0" borderId="113" xfId="0" applyNumberFormat="1" applyFont="1" applyBorder="1" applyAlignment="1">
      <alignment horizontal="right" vertical="center" indent="1"/>
    </xf>
    <xf numFmtId="0" fontId="22" fillId="0" borderId="115" xfId="0" applyFont="1" applyBorder="1" applyAlignment="1">
      <alignment horizontal="right" vertical="center" indent="1"/>
    </xf>
    <xf numFmtId="0" fontId="22" fillId="0" borderId="110" xfId="0" applyFont="1" applyBorder="1" applyAlignment="1">
      <alignment horizontal="right" vertical="center" indent="1"/>
    </xf>
    <xf numFmtId="38" fontId="8" fillId="0" borderId="0" xfId="2" applyFont="1" applyFill="1" applyAlignment="1">
      <alignment horizontal="right" vertical="center"/>
    </xf>
    <xf numFmtId="38" fontId="6" fillId="0" borderId="0" xfId="2" applyFont="1" applyFill="1" applyAlignment="1">
      <alignment horizontal="right" vertical="center"/>
    </xf>
    <xf numFmtId="0" fontId="15" fillId="3" borderId="3" xfId="0" applyFont="1" applyFill="1" applyBorder="1" applyAlignment="1">
      <alignment horizontal="right" vertical="center"/>
    </xf>
    <xf numFmtId="0" fontId="118" fillId="2" borderId="104" xfId="0" applyFont="1" applyFill="1" applyBorder="1" applyAlignment="1">
      <alignment horizontal="center" vertical="center" wrapText="1"/>
    </xf>
    <xf numFmtId="3" fontId="22" fillId="4" borderId="22" xfId="0" applyNumberFormat="1" applyFont="1" applyFill="1" applyBorder="1" applyAlignment="1">
      <alignment horizontal="right" vertical="center" indent="1"/>
    </xf>
    <xf numFmtId="0" fontId="21" fillId="0" borderId="51" xfId="0" applyFont="1" applyBorder="1">
      <alignment vertical="center"/>
    </xf>
    <xf numFmtId="3" fontId="22" fillId="4" borderId="93" xfId="0" applyNumberFormat="1" applyFont="1" applyFill="1" applyBorder="1" applyAlignment="1">
      <alignment horizontal="right" vertical="center" indent="1"/>
    </xf>
    <xf numFmtId="0" fontId="21" fillId="0" borderId="33" xfId="0" applyFont="1" applyBorder="1">
      <alignment vertical="center"/>
    </xf>
    <xf numFmtId="4" fontId="6" fillId="0" borderId="0" xfId="0" applyNumberFormat="1" applyFont="1">
      <alignment vertical="center"/>
    </xf>
    <xf numFmtId="190" fontId="22" fillId="0" borderId="148" xfId="2" applyNumberFormat="1" applyFont="1" applyBorder="1" applyAlignment="1">
      <alignment horizontal="right" vertical="center" indent="1"/>
    </xf>
    <xf numFmtId="190" fontId="24" fillId="0" borderId="264" xfId="2" applyNumberFormat="1" applyFont="1" applyBorder="1" applyAlignment="1">
      <alignment horizontal="right" vertical="center" indent="1"/>
    </xf>
    <xf numFmtId="184" fontId="22" fillId="4" borderId="151" xfId="0" applyNumberFormat="1" applyFont="1" applyFill="1" applyBorder="1" applyAlignment="1">
      <alignment horizontal="center" vertical="center"/>
    </xf>
    <xf numFmtId="4" fontId="0" fillId="0" borderId="0" xfId="0" applyNumberFormat="1">
      <alignment vertical="center"/>
    </xf>
    <xf numFmtId="40" fontId="62" fillId="0" borderId="146" xfId="2" applyNumberFormat="1" applyFont="1" applyFill="1" applyBorder="1" applyAlignment="1">
      <alignment horizontal="center" vertical="center" wrapText="1"/>
    </xf>
    <xf numFmtId="40" fontId="28" fillId="0" borderId="147" xfId="2" applyNumberFormat="1" applyFont="1" applyBorder="1" applyAlignment="1">
      <alignment horizontal="center" vertical="center"/>
    </xf>
    <xf numFmtId="0" fontId="22" fillId="0" borderId="278" xfId="0" applyFont="1" applyBorder="1">
      <alignment vertical="center"/>
    </xf>
    <xf numFmtId="0" fontId="24" fillId="0" borderId="278" xfId="0" applyFont="1" applyBorder="1" applyAlignment="1">
      <alignment vertical="center" wrapText="1"/>
    </xf>
    <xf numFmtId="0" fontId="22" fillId="4" borderId="278" xfId="0" applyFont="1" applyFill="1" applyBorder="1">
      <alignment vertical="center"/>
    </xf>
    <xf numFmtId="40" fontId="22" fillId="4" borderId="278" xfId="2" applyNumberFormat="1" applyFont="1" applyFill="1" applyBorder="1" applyAlignment="1">
      <alignment horizontal="center" vertical="center"/>
    </xf>
    <xf numFmtId="190" fontId="22" fillId="0" borderId="151" xfId="2" applyNumberFormat="1" applyFont="1" applyBorder="1" applyAlignment="1">
      <alignment horizontal="right" vertical="center" indent="1"/>
    </xf>
    <xf numFmtId="38" fontId="24" fillId="0" borderId="151" xfId="2" applyFont="1" applyBorder="1" applyAlignment="1">
      <alignment horizontal="center" vertical="center"/>
    </xf>
    <xf numFmtId="176" fontId="22" fillId="4" borderId="278" xfId="0" applyNumberFormat="1" applyFont="1" applyFill="1" applyBorder="1" applyAlignment="1">
      <alignment horizontal="center" vertical="center"/>
    </xf>
    <xf numFmtId="10" fontId="22" fillId="4" borderId="151" xfId="0" applyNumberFormat="1" applyFont="1" applyFill="1" applyBorder="1" applyAlignment="1">
      <alignment horizontal="center" vertical="center"/>
    </xf>
    <xf numFmtId="182" fontId="22" fillId="4" borderId="151" xfId="0" applyNumberFormat="1" applyFont="1" applyFill="1" applyBorder="1" applyAlignment="1">
      <alignment horizontal="right" vertical="center" indent="1"/>
    </xf>
    <xf numFmtId="182" fontId="22" fillId="0" borderId="148" xfId="0" applyNumberFormat="1" applyFont="1" applyBorder="1" applyAlignment="1">
      <alignment horizontal="right" vertical="center" indent="1"/>
    </xf>
    <xf numFmtId="182" fontId="22" fillId="0" borderId="151" xfId="0" applyNumberFormat="1" applyFont="1" applyBorder="1" applyAlignment="1">
      <alignment horizontal="right" vertical="center" indent="1"/>
    </xf>
    <xf numFmtId="182" fontId="22" fillId="0" borderId="264" xfId="0" applyNumberFormat="1" applyFont="1" applyBorder="1" applyAlignment="1">
      <alignment horizontal="right" vertical="center" indent="1"/>
    </xf>
    <xf numFmtId="3" fontId="22" fillId="4" borderId="279" xfId="0" applyNumberFormat="1" applyFont="1" applyFill="1" applyBorder="1" applyAlignment="1">
      <alignment horizontal="right" vertical="center"/>
    </xf>
    <xf numFmtId="3" fontId="22" fillId="4" borderId="280" xfId="0" applyNumberFormat="1" applyFont="1" applyFill="1" applyBorder="1" applyAlignment="1">
      <alignment horizontal="right" vertical="center"/>
    </xf>
    <xf numFmtId="3" fontId="22" fillId="4" borderId="281" xfId="0" applyNumberFormat="1" applyFont="1" applyFill="1" applyBorder="1" applyAlignment="1">
      <alignment horizontal="right" vertical="center"/>
    </xf>
    <xf numFmtId="38" fontId="24" fillId="0" borderId="283" xfId="2" applyFont="1" applyBorder="1" applyAlignment="1">
      <alignment horizontal="center" vertical="center"/>
    </xf>
    <xf numFmtId="0" fontId="22" fillId="0" borderId="283" xfId="0" applyFont="1" applyBorder="1" applyAlignment="1" applyProtection="1">
      <alignment horizontal="left" vertical="center" indent="1"/>
      <protection locked="0"/>
    </xf>
    <xf numFmtId="0" fontId="22" fillId="4" borderId="283" xfId="0" applyFont="1" applyFill="1" applyBorder="1" applyAlignment="1">
      <alignment horizontal="left" vertical="center"/>
    </xf>
    <xf numFmtId="40" fontId="22" fillId="4" borderId="98" xfId="2" applyNumberFormat="1" applyFont="1" applyFill="1" applyBorder="1" applyAlignment="1">
      <alignment horizontal="center" vertical="center"/>
    </xf>
    <xf numFmtId="184" fontId="22" fillId="4" borderId="283" xfId="0" applyNumberFormat="1" applyFont="1" applyFill="1" applyBorder="1" applyAlignment="1">
      <alignment horizontal="center" vertical="center"/>
    </xf>
    <xf numFmtId="40" fontId="22" fillId="0" borderId="283" xfId="2" applyNumberFormat="1" applyFont="1" applyBorder="1" applyAlignment="1">
      <alignment horizontal="right" vertical="center"/>
    </xf>
    <xf numFmtId="176" fontId="22" fillId="4" borderId="98" xfId="0" applyNumberFormat="1" applyFont="1" applyFill="1" applyBorder="1" applyAlignment="1">
      <alignment horizontal="center" vertical="center"/>
    </xf>
    <xf numFmtId="10" fontId="22" fillId="4" borderId="283" xfId="0" applyNumberFormat="1" applyFont="1" applyFill="1" applyBorder="1" applyAlignment="1">
      <alignment horizontal="center" vertical="center"/>
    </xf>
    <xf numFmtId="182" fontId="22" fillId="4" borderId="283" xfId="0" applyNumberFormat="1" applyFont="1" applyFill="1" applyBorder="1" applyAlignment="1">
      <alignment horizontal="center" vertical="center"/>
    </xf>
    <xf numFmtId="3" fontId="24" fillId="4" borderId="283" xfId="0" applyNumberFormat="1" applyFont="1" applyFill="1" applyBorder="1" applyAlignment="1">
      <alignment horizontal="right" vertical="center"/>
    </xf>
    <xf numFmtId="3" fontId="22" fillId="4" borderId="283" xfId="0" applyNumberFormat="1" applyFont="1" applyFill="1" applyBorder="1" applyAlignment="1">
      <alignment horizontal="right" vertical="center"/>
    </xf>
    <xf numFmtId="3" fontId="24" fillId="4" borderId="100" xfId="0" applyNumberFormat="1" applyFont="1" applyFill="1" applyBorder="1" applyAlignment="1">
      <alignment horizontal="right" vertical="center"/>
    </xf>
    <xf numFmtId="176" fontId="62" fillId="0" borderId="286" xfId="0" applyNumberFormat="1" applyFont="1" applyBorder="1" applyAlignment="1">
      <alignment wrapText="1"/>
    </xf>
    <xf numFmtId="190" fontId="22" fillId="0" borderId="154" xfId="2" applyNumberFormat="1" applyFont="1" applyBorder="1" applyAlignment="1">
      <alignment horizontal="right" vertical="center" indent="1"/>
    </xf>
    <xf numFmtId="182" fontId="22" fillId="4" borderId="154" xfId="0" applyNumberFormat="1" applyFont="1" applyFill="1" applyBorder="1" applyAlignment="1">
      <alignment horizontal="right" vertical="center" indent="1"/>
    </xf>
    <xf numFmtId="182" fontId="22" fillId="0" borderId="154" xfId="0" applyNumberFormat="1" applyFont="1" applyBorder="1" applyAlignment="1">
      <alignment horizontal="right" vertical="center" indent="1"/>
    </xf>
    <xf numFmtId="3" fontId="24" fillId="4" borderId="154" xfId="0" applyNumberFormat="1" applyFont="1" applyFill="1" applyBorder="1" applyAlignment="1">
      <alignment horizontal="right" vertical="center" indent="1"/>
    </xf>
    <xf numFmtId="3" fontId="22" fillId="4" borderId="154" xfId="0" applyNumberFormat="1" applyFont="1" applyFill="1" applyBorder="1" applyAlignment="1">
      <alignment horizontal="right" vertical="center" indent="1"/>
    </xf>
    <xf numFmtId="3" fontId="24" fillId="4" borderId="156" xfId="0" applyNumberFormat="1" applyFont="1" applyFill="1" applyBorder="1" applyAlignment="1">
      <alignment horizontal="right" vertical="center" indent="1"/>
    </xf>
    <xf numFmtId="177" fontId="77" fillId="0" borderId="215" xfId="10" applyNumberFormat="1" applyFont="1" applyBorder="1" applyAlignment="1">
      <alignment horizontal="center" vertical="center"/>
    </xf>
    <xf numFmtId="183" fontId="62" fillId="0" borderId="0" xfId="2" applyNumberFormat="1" applyFont="1" applyFill="1" applyBorder="1" applyAlignment="1">
      <alignment horizontal="center" vertical="center" wrapText="1"/>
    </xf>
    <xf numFmtId="10" fontId="77" fillId="0" borderId="287" xfId="10" applyNumberFormat="1" applyFont="1" applyBorder="1" applyAlignment="1">
      <alignment horizontal="center" vertical="center"/>
    </xf>
    <xf numFmtId="14" fontId="77" fillId="0" borderId="287" xfId="10" applyNumberFormat="1" applyFont="1" applyBorder="1" applyAlignment="1">
      <alignment horizontal="center" vertical="center"/>
    </xf>
    <xf numFmtId="3" fontId="77" fillId="0" borderId="183" xfId="10" applyNumberFormat="1" applyFont="1" applyBorder="1" applyAlignment="1">
      <alignment horizontal="center" vertical="center"/>
    </xf>
    <xf numFmtId="14" fontId="77" fillId="0" borderId="288" xfId="10" applyNumberFormat="1" applyFont="1" applyBorder="1" applyAlignment="1">
      <alignment horizontal="center" vertical="center"/>
    </xf>
    <xf numFmtId="10" fontId="77" fillId="0" borderId="243" xfId="10" applyNumberFormat="1" applyFont="1" applyBorder="1" applyAlignment="1">
      <alignment horizontal="center" vertical="center"/>
    </xf>
    <xf numFmtId="41" fontId="77" fillId="0" borderId="239" xfId="11" applyFont="1" applyBorder="1" applyAlignment="1">
      <alignment horizontal="center" vertical="center"/>
    </xf>
    <xf numFmtId="0" fontId="77" fillId="0" borderId="289" xfId="10" applyFont="1" applyBorder="1" applyAlignment="1">
      <alignment horizontal="center" vertical="center" wrapText="1" readingOrder="1"/>
    </xf>
    <xf numFmtId="14" fontId="77" fillId="0" borderId="205" xfId="10" applyNumberFormat="1" applyFont="1" applyBorder="1" applyAlignment="1">
      <alignment vertical="center" readingOrder="1"/>
    </xf>
    <xf numFmtId="14" fontId="77" fillId="0" borderId="206" xfId="10" applyNumberFormat="1" applyFont="1" applyBorder="1" applyAlignment="1">
      <alignment vertical="center" readingOrder="1"/>
    </xf>
    <xf numFmtId="0" fontId="77" fillId="0" borderId="19" xfId="10" applyFont="1" applyBorder="1" applyAlignment="1">
      <alignment horizontal="center" vertical="center" wrapText="1" readingOrder="1"/>
    </xf>
    <xf numFmtId="14" fontId="77" fillId="0" borderId="207" xfId="10" applyNumberFormat="1" applyFont="1" applyBorder="1" applyAlignment="1">
      <alignment horizontal="center" vertical="center"/>
    </xf>
    <xf numFmtId="192" fontId="22" fillId="4" borderId="147" xfId="0" applyNumberFormat="1" applyFont="1" applyFill="1" applyBorder="1" applyAlignment="1">
      <alignment horizontal="center" vertical="center"/>
    </xf>
    <xf numFmtId="38" fontId="22" fillId="4" borderId="147" xfId="2" applyFont="1" applyFill="1" applyBorder="1" applyAlignment="1">
      <alignment horizontal="center" vertical="center"/>
    </xf>
    <xf numFmtId="38" fontId="24" fillId="4" borderId="147" xfId="2" applyFont="1" applyFill="1" applyBorder="1" applyAlignment="1">
      <alignment horizontal="right" vertical="center"/>
    </xf>
    <xf numFmtId="38" fontId="22" fillId="4" borderId="147" xfId="2" applyFont="1" applyFill="1" applyBorder="1" applyAlignment="1">
      <alignment horizontal="right" vertical="center"/>
    </xf>
    <xf numFmtId="44" fontId="128" fillId="0" borderId="0" xfId="0" applyNumberFormat="1" applyFont="1">
      <alignment vertical="center"/>
    </xf>
    <xf numFmtId="0" fontId="128" fillId="0" borderId="0" xfId="0" applyFont="1">
      <alignment vertical="center"/>
    </xf>
    <xf numFmtId="44" fontId="128" fillId="0" borderId="72" xfId="0" applyNumberFormat="1" applyFont="1" applyBorder="1">
      <alignment vertical="center"/>
    </xf>
    <xf numFmtId="0" fontId="22" fillId="4" borderId="19" xfId="0" applyFont="1" applyFill="1" applyBorder="1" applyAlignment="1">
      <alignment horizontal="center" vertical="center"/>
    </xf>
    <xf numFmtId="177" fontId="22" fillId="4" borderId="120" xfId="0" applyNumberFormat="1" applyFont="1" applyFill="1" applyBorder="1" applyAlignment="1" applyProtection="1">
      <alignment horizontal="center" vertical="center"/>
      <protection locked="0"/>
    </xf>
    <xf numFmtId="40" fontId="22" fillId="0" borderId="147" xfId="2" applyNumberFormat="1" applyFont="1" applyBorder="1" applyAlignment="1">
      <alignment horizontal="center" vertical="center"/>
    </xf>
    <xf numFmtId="0" fontId="22" fillId="4" borderId="293" xfId="0" applyFont="1" applyFill="1" applyBorder="1" applyAlignment="1">
      <alignment horizontal="left" vertical="center"/>
    </xf>
    <xf numFmtId="38" fontId="24" fillId="0" borderId="293" xfId="2" applyFont="1" applyBorder="1" applyAlignment="1">
      <alignment horizontal="center" vertical="center"/>
    </xf>
    <xf numFmtId="40" fontId="22" fillId="0" borderId="293" xfId="2" applyNumberFormat="1" applyFont="1" applyBorder="1" applyAlignment="1">
      <alignment horizontal="center" vertical="center"/>
    </xf>
    <xf numFmtId="184" fontId="22" fillId="4" borderId="293" xfId="0" applyNumberFormat="1" applyFont="1" applyFill="1" applyBorder="1" applyAlignment="1">
      <alignment horizontal="center" vertical="center"/>
    </xf>
    <xf numFmtId="38" fontId="24" fillId="0" borderId="294" xfId="2" applyFont="1" applyBorder="1" applyAlignment="1">
      <alignment horizontal="center" vertical="center"/>
    </xf>
    <xf numFmtId="192" fontId="22" fillId="4" borderId="283" xfId="0" applyNumberFormat="1" applyFont="1" applyFill="1" applyBorder="1" applyAlignment="1">
      <alignment horizontal="center" vertical="center"/>
    </xf>
    <xf numFmtId="38" fontId="22" fillId="4" borderId="283" xfId="2" applyFont="1" applyFill="1" applyBorder="1" applyAlignment="1">
      <alignment horizontal="center" vertical="center"/>
    </xf>
    <xf numFmtId="38" fontId="24" fillId="4" borderId="283" xfId="2" applyFont="1" applyFill="1" applyBorder="1" applyAlignment="1">
      <alignment horizontal="right" vertical="center"/>
    </xf>
    <xf numFmtId="38" fontId="22" fillId="4" borderId="283" xfId="2" applyFont="1" applyFill="1" applyBorder="1" applyAlignment="1">
      <alignment horizontal="right" vertical="center"/>
    </xf>
    <xf numFmtId="0" fontId="22" fillId="0" borderId="129" xfId="0" applyFont="1" applyBorder="1" applyAlignment="1">
      <alignment vertical="center" wrapText="1"/>
    </xf>
    <xf numFmtId="10" fontId="22" fillId="4" borderId="296" xfId="14" applyNumberFormat="1" applyFont="1" applyFill="1" applyBorder="1" applyAlignment="1" applyProtection="1">
      <alignment horizontal="center" vertical="center"/>
      <protection locked="0"/>
    </xf>
    <xf numFmtId="10" fontId="22" fillId="4" borderId="297" xfId="14" applyNumberFormat="1" applyFont="1" applyFill="1" applyBorder="1" applyAlignment="1" applyProtection="1">
      <alignment horizontal="center" vertical="center"/>
      <protection locked="0"/>
    </xf>
    <xf numFmtId="0" fontId="22" fillId="6" borderId="110" xfId="0" applyFont="1" applyFill="1" applyBorder="1" applyAlignment="1">
      <alignment horizontal="center" vertical="center"/>
    </xf>
    <xf numFmtId="38" fontId="22" fillId="4" borderId="110" xfId="0" applyNumberFormat="1" applyFont="1" applyFill="1" applyBorder="1" applyAlignment="1">
      <alignment horizontal="center" vertical="center"/>
    </xf>
    <xf numFmtId="0" fontId="68" fillId="2" borderId="298" xfId="0" applyFont="1" applyFill="1" applyBorder="1" applyAlignment="1">
      <alignment horizontal="center" vertical="center" wrapText="1"/>
    </xf>
    <xf numFmtId="0" fontId="22" fillId="0" borderId="117" xfId="0" applyFont="1" applyBorder="1" applyAlignment="1" applyProtection="1">
      <alignment horizontal="left" vertical="center"/>
      <protection locked="0"/>
    </xf>
    <xf numFmtId="0" fontId="22" fillId="0" borderId="119" xfId="0" applyFont="1" applyBorder="1" applyAlignment="1" applyProtection="1">
      <alignment horizontal="left" vertical="center"/>
      <protection locked="0"/>
    </xf>
    <xf numFmtId="0" fontId="22" fillId="0" borderId="119" xfId="0" applyFont="1" applyBorder="1" applyAlignment="1" applyProtection="1">
      <alignment horizontal="left" vertical="center" wrapText="1"/>
      <protection locked="0"/>
    </xf>
    <xf numFmtId="0" fontId="22" fillId="0" borderId="261" xfId="0" applyFont="1" applyBorder="1" applyAlignment="1" applyProtection="1">
      <alignment horizontal="left" vertical="center"/>
      <protection locked="0"/>
    </xf>
    <xf numFmtId="40" fontId="22" fillId="4" borderId="0" xfId="2" applyNumberFormat="1" applyFont="1" applyFill="1" applyBorder="1" applyAlignment="1">
      <alignment horizontal="center" vertical="center"/>
    </xf>
    <xf numFmtId="182" fontId="22" fillId="4" borderId="293" xfId="0" applyNumberFormat="1" applyFont="1" applyFill="1" applyBorder="1" applyAlignment="1">
      <alignment horizontal="center" vertical="center"/>
    </xf>
    <xf numFmtId="40" fontId="62" fillId="0" borderId="293" xfId="2" applyNumberFormat="1" applyFont="1" applyFill="1" applyBorder="1" applyAlignment="1">
      <alignment vertical="top" wrapText="1"/>
    </xf>
    <xf numFmtId="38" fontId="24" fillId="0" borderId="304" xfId="2" applyFont="1" applyBorder="1" applyAlignment="1">
      <alignment horizontal="center" vertical="center"/>
    </xf>
    <xf numFmtId="0" fontId="22" fillId="0" borderId="293" xfId="0" applyFont="1" applyBorder="1" applyAlignment="1" applyProtection="1">
      <alignment horizontal="left" vertical="center" indent="1"/>
      <protection locked="0"/>
    </xf>
    <xf numFmtId="38" fontId="108" fillId="0" borderId="0" xfId="2" applyFont="1">
      <alignment vertical="center"/>
    </xf>
    <xf numFmtId="0" fontId="24" fillId="0" borderId="98" xfId="0" applyFont="1" applyBorder="1">
      <alignment vertical="center"/>
    </xf>
    <xf numFmtId="0" fontId="22" fillId="0" borderId="123" xfId="0" applyFont="1" applyBorder="1" applyAlignment="1" applyProtection="1">
      <alignment horizontal="left" vertical="center" wrapText="1"/>
      <protection locked="0"/>
    </xf>
    <xf numFmtId="0" fontId="24" fillId="0" borderId="129" xfId="0" applyFont="1" applyBorder="1">
      <alignment vertical="center"/>
    </xf>
    <xf numFmtId="0" fontId="22" fillId="4" borderId="0" xfId="0" applyFont="1" applyFill="1" applyAlignment="1">
      <alignment horizontal="left" vertical="center"/>
    </xf>
    <xf numFmtId="0" fontId="15" fillId="3" borderId="13" xfId="0" applyFont="1" applyFill="1" applyBorder="1" applyAlignment="1">
      <alignment horizontal="center" vertical="center"/>
    </xf>
    <xf numFmtId="0" fontId="22" fillId="0" borderId="116" xfId="0" applyFont="1" applyBorder="1" applyAlignment="1">
      <alignment horizontal="center" vertical="center"/>
    </xf>
    <xf numFmtId="188" fontId="22" fillId="0" borderId="113" xfId="0" applyNumberFormat="1" applyFont="1" applyBorder="1" applyAlignment="1">
      <alignment horizontal="center" vertical="center"/>
    </xf>
    <xf numFmtId="0" fontId="22" fillId="4" borderId="69" xfId="0" applyFont="1" applyFill="1" applyBorder="1" applyAlignment="1" applyProtection="1">
      <alignment horizontal="left" vertical="center"/>
      <protection locked="0"/>
    </xf>
    <xf numFmtId="0" fontId="22" fillId="4" borderId="180" xfId="0" applyFont="1" applyFill="1" applyBorder="1" applyAlignment="1" applyProtection="1">
      <alignment horizontal="left" vertical="center"/>
      <protection locked="0"/>
    </xf>
    <xf numFmtId="40" fontId="34" fillId="0" borderId="119" xfId="2" applyNumberFormat="1" applyFont="1" applyBorder="1" applyAlignment="1">
      <alignment horizontal="right" vertical="center"/>
    </xf>
    <xf numFmtId="38" fontId="34" fillId="0" borderId="118" xfId="2" applyFont="1" applyBorder="1" applyAlignment="1">
      <alignment horizontal="center" vertical="center"/>
    </xf>
    <xf numFmtId="0" fontId="97" fillId="0" borderId="19" xfId="0" applyFont="1" applyBorder="1">
      <alignment vertical="center"/>
    </xf>
    <xf numFmtId="0" fontId="97" fillId="0" borderId="0" xfId="0" applyFont="1">
      <alignment vertical="center"/>
    </xf>
    <xf numFmtId="38" fontId="22" fillId="4" borderId="97" xfId="2" applyFont="1" applyFill="1" applyBorder="1" applyAlignment="1">
      <alignment horizontal="center" vertical="center"/>
    </xf>
    <xf numFmtId="179" fontId="22" fillId="4" borderId="306" xfId="0" applyNumberFormat="1" applyFont="1" applyFill="1" applyBorder="1" applyAlignment="1">
      <alignment horizontal="center" vertical="center"/>
    </xf>
    <xf numFmtId="3" fontId="24" fillId="4" borderId="112" xfId="0" applyNumberFormat="1" applyFont="1" applyFill="1" applyBorder="1" applyAlignment="1">
      <alignment horizontal="center" vertical="center"/>
    </xf>
    <xf numFmtId="186" fontId="22" fillId="4" borderId="120" xfId="0" applyNumberFormat="1" applyFont="1" applyFill="1" applyBorder="1" applyAlignment="1">
      <alignment horizontal="center" vertical="center"/>
    </xf>
    <xf numFmtId="38" fontId="22" fillId="4" borderId="112" xfId="2" applyFont="1" applyFill="1" applyBorder="1" applyAlignment="1">
      <alignment horizontal="center" vertical="center"/>
    </xf>
    <xf numFmtId="177" fontId="24" fillId="4" borderId="112" xfId="0" applyNumberFormat="1" applyFont="1" applyFill="1" applyBorder="1" applyAlignment="1">
      <alignment horizontal="center" vertical="center"/>
    </xf>
    <xf numFmtId="0" fontId="131" fillId="0" borderId="0" xfId="0" applyFont="1">
      <alignment vertical="center"/>
    </xf>
    <xf numFmtId="176" fontId="131" fillId="0" borderId="0" xfId="0" applyNumberFormat="1" applyFont="1">
      <alignment vertical="center"/>
    </xf>
    <xf numFmtId="190" fontId="134" fillId="0" borderId="113" xfId="2" applyNumberFormat="1" applyFont="1" applyBorder="1" applyAlignment="1">
      <alignment horizontal="right" vertical="center"/>
    </xf>
    <xf numFmtId="0" fontId="135" fillId="0" borderId="144" xfId="0" applyFont="1" applyBorder="1" applyAlignment="1">
      <alignment vertical="center" wrapText="1"/>
    </xf>
    <xf numFmtId="40" fontId="135" fillId="0" borderId="0" xfId="2" applyNumberFormat="1" applyFont="1" applyFill="1" applyBorder="1" applyAlignment="1">
      <alignment horizontal="center" vertical="top" wrapText="1"/>
    </xf>
    <xf numFmtId="38" fontId="129" fillId="0" borderId="148" xfId="2" applyFont="1" applyBorder="1" applyAlignment="1">
      <alignment horizontal="center" vertical="center"/>
    </xf>
    <xf numFmtId="0" fontId="129" fillId="0" borderId="133" xfId="0" applyFont="1" applyBorder="1">
      <alignment vertical="center"/>
    </xf>
    <xf numFmtId="0" fontId="129" fillId="0" borderId="133" xfId="0" applyFont="1" applyBorder="1" applyAlignment="1">
      <alignment vertical="center" wrapText="1"/>
    </xf>
    <xf numFmtId="0" fontId="129" fillId="4" borderId="148" xfId="0" applyFont="1" applyFill="1" applyBorder="1" applyAlignment="1">
      <alignment horizontal="left" vertical="center"/>
    </xf>
    <xf numFmtId="40" fontId="129" fillId="4" borderId="133" xfId="2" applyNumberFormat="1" applyFont="1" applyFill="1" applyBorder="1" applyAlignment="1">
      <alignment horizontal="center" vertical="center"/>
    </xf>
    <xf numFmtId="184" fontId="129" fillId="4" borderId="148" xfId="0" applyNumberFormat="1" applyFont="1" applyFill="1" applyBorder="1" applyAlignment="1">
      <alignment horizontal="center" vertical="center"/>
    </xf>
    <xf numFmtId="40" fontId="129" fillId="0" borderId="148" xfId="2" applyNumberFormat="1" applyFont="1" applyBorder="1" applyAlignment="1">
      <alignment horizontal="right" vertical="center"/>
    </xf>
    <xf numFmtId="176" fontId="129" fillId="4" borderId="133" xfId="0" applyNumberFormat="1" applyFont="1" applyFill="1" applyBorder="1" applyAlignment="1">
      <alignment horizontal="center" vertical="center"/>
    </xf>
    <xf numFmtId="10" fontId="129" fillId="4" borderId="148" xfId="0" applyNumberFormat="1" applyFont="1" applyFill="1" applyBorder="1" applyAlignment="1">
      <alignment horizontal="center" vertical="center"/>
    </xf>
    <xf numFmtId="182" fontId="129" fillId="4" borderId="148" xfId="0" applyNumberFormat="1" applyFont="1" applyFill="1" applyBorder="1" applyAlignment="1">
      <alignment horizontal="center" vertical="center"/>
    </xf>
    <xf numFmtId="3" fontId="129" fillId="0" borderId="148" xfId="0" applyNumberFormat="1" applyFont="1" applyBorder="1" applyAlignment="1">
      <alignment horizontal="right" vertical="center"/>
    </xf>
    <xf numFmtId="3" fontId="129" fillId="0" borderId="147" xfId="0" applyNumberFormat="1" applyFont="1" applyBorder="1" applyAlignment="1">
      <alignment horizontal="right" vertical="center"/>
    </xf>
    <xf numFmtId="3" fontId="129" fillId="4" borderId="134" xfId="0" applyNumberFormat="1" applyFont="1" applyFill="1" applyBorder="1" applyAlignment="1">
      <alignment horizontal="right" vertical="center"/>
    </xf>
    <xf numFmtId="38" fontId="136" fillId="4" borderId="64" xfId="0" applyNumberFormat="1" applyFont="1" applyFill="1" applyBorder="1" applyAlignment="1">
      <alignment horizontal="center" vertical="center"/>
    </xf>
    <xf numFmtId="3" fontId="129" fillId="6" borderId="148" xfId="0" applyNumberFormat="1" applyFont="1" applyFill="1" applyBorder="1" applyAlignment="1">
      <alignment horizontal="right" vertical="center"/>
    </xf>
    <xf numFmtId="176" fontId="137" fillId="0" borderId="0" xfId="0" applyNumberFormat="1" applyFont="1">
      <alignment vertical="center"/>
    </xf>
    <xf numFmtId="0" fontId="137" fillId="0" borderId="0" xfId="0" applyFont="1">
      <alignment vertical="center"/>
    </xf>
    <xf numFmtId="4" fontId="138" fillId="0" borderId="255" xfId="0" applyNumberFormat="1" applyFont="1" applyBorder="1" applyAlignment="1">
      <alignment vertical="center" readingOrder="1"/>
    </xf>
    <xf numFmtId="3" fontId="131" fillId="0" borderId="0" xfId="0" applyNumberFormat="1" applyFont="1">
      <alignment vertical="center"/>
    </xf>
    <xf numFmtId="3" fontId="129" fillId="4" borderId="148" xfId="0" applyNumberFormat="1" applyFont="1" applyFill="1" applyBorder="1" applyAlignment="1">
      <alignment horizontal="right" vertical="center"/>
    </xf>
    <xf numFmtId="0" fontId="138" fillId="0" borderId="255" xfId="0" applyFont="1" applyBorder="1" applyAlignment="1">
      <alignment vertical="center" readingOrder="1"/>
    </xf>
    <xf numFmtId="3" fontId="129" fillId="4" borderId="147" xfId="0" applyNumberFormat="1" applyFont="1" applyFill="1" applyBorder="1" applyAlignment="1">
      <alignment horizontal="right" vertical="center"/>
    </xf>
    <xf numFmtId="176" fontId="62" fillId="20" borderId="21" xfId="0" applyNumberFormat="1" applyFont="1" applyFill="1" applyBorder="1" applyAlignment="1">
      <alignment vertical="center" wrapText="1"/>
    </xf>
    <xf numFmtId="193" fontId="62" fillId="6" borderId="21" xfId="2" applyNumberFormat="1" applyFont="1" applyFill="1" applyBorder="1" applyAlignment="1">
      <alignment horizontal="center" vertical="center" wrapText="1"/>
    </xf>
    <xf numFmtId="0" fontId="22" fillId="0" borderId="307" xfId="0" applyFont="1" applyBorder="1" applyAlignment="1" applyProtection="1">
      <alignment horizontal="left" vertical="center" wrapText="1"/>
      <protection locked="0"/>
    </xf>
    <xf numFmtId="0" fontId="22" fillId="0" borderId="131" xfId="0" applyFont="1" applyBorder="1" applyAlignment="1">
      <alignment vertical="center" wrapText="1"/>
    </xf>
    <xf numFmtId="0" fontId="22" fillId="4" borderId="131" xfId="0" applyFont="1" applyFill="1" applyBorder="1" applyAlignment="1">
      <alignment horizontal="left" vertical="center"/>
    </xf>
    <xf numFmtId="0" fontId="22" fillId="4" borderId="131" xfId="0" applyFont="1" applyFill="1" applyBorder="1" applyAlignment="1">
      <alignment horizontal="center" vertical="center"/>
    </xf>
    <xf numFmtId="10" fontId="22" fillId="4" borderId="131" xfId="14" applyNumberFormat="1" applyFont="1" applyFill="1" applyBorder="1" applyAlignment="1" applyProtection="1">
      <alignment horizontal="center" vertical="center"/>
      <protection locked="0"/>
    </xf>
    <xf numFmtId="190" fontId="24" fillId="0" borderId="131" xfId="2" applyNumberFormat="1" applyFont="1" applyBorder="1" applyAlignment="1">
      <alignment horizontal="right" vertical="center"/>
    </xf>
    <xf numFmtId="177" fontId="22" fillId="4" borderId="131" xfId="0" applyNumberFormat="1" applyFont="1" applyFill="1" applyBorder="1" applyAlignment="1" applyProtection="1">
      <alignment horizontal="center" vertical="center"/>
      <protection locked="0"/>
    </xf>
    <xf numFmtId="176" fontId="22" fillId="4" borderId="131" xfId="0" applyNumberFormat="1" applyFont="1" applyFill="1" applyBorder="1" applyAlignment="1">
      <alignment horizontal="center" vertical="center"/>
    </xf>
    <xf numFmtId="14" fontId="22" fillId="4" borderId="131" xfId="0" applyNumberFormat="1" applyFont="1" applyFill="1" applyBorder="1" applyAlignment="1">
      <alignment horizontal="center" vertical="center"/>
    </xf>
    <xf numFmtId="182" fontId="22" fillId="4" borderId="131" xfId="0" applyNumberFormat="1" applyFont="1" applyFill="1" applyBorder="1" applyAlignment="1">
      <alignment horizontal="center" vertical="center"/>
    </xf>
    <xf numFmtId="0" fontId="22" fillId="4" borderId="131" xfId="0" applyFont="1" applyFill="1" applyBorder="1">
      <alignment vertical="center"/>
    </xf>
    <xf numFmtId="38" fontId="22" fillId="4" borderId="131" xfId="1" applyNumberFormat="1" applyFont="1" applyFill="1" applyBorder="1" applyAlignment="1">
      <alignment horizontal="center" vertical="center"/>
    </xf>
    <xf numFmtId="0" fontId="22" fillId="0" borderId="131" xfId="0" applyFont="1" applyBorder="1" applyAlignment="1">
      <alignment horizontal="right" vertical="center" indent="1"/>
    </xf>
    <xf numFmtId="4" fontId="22" fillId="4" borderId="131" xfId="0" applyNumberFormat="1" applyFont="1" applyFill="1" applyBorder="1" applyAlignment="1">
      <alignment horizontal="center" vertical="center"/>
    </xf>
    <xf numFmtId="3" fontId="24" fillId="4" borderId="131" xfId="0" applyNumberFormat="1" applyFont="1" applyFill="1" applyBorder="1" applyAlignment="1">
      <alignment horizontal="center" vertical="center"/>
    </xf>
    <xf numFmtId="186" fontId="22" fillId="4" borderId="131" xfId="0" applyNumberFormat="1" applyFont="1" applyFill="1" applyBorder="1" applyAlignment="1">
      <alignment horizontal="center" vertical="center"/>
    </xf>
    <xf numFmtId="38" fontId="22" fillId="4" borderId="131" xfId="0" applyNumberFormat="1" applyFont="1" applyFill="1" applyBorder="1" applyAlignment="1">
      <alignment horizontal="center" vertical="center"/>
    </xf>
    <xf numFmtId="3" fontId="24" fillId="4" borderId="130" xfId="0" applyNumberFormat="1" applyFont="1" applyFill="1" applyBorder="1" applyAlignment="1">
      <alignment horizontal="left" vertical="center"/>
    </xf>
    <xf numFmtId="0" fontId="22" fillId="0" borderId="93" xfId="0" applyFont="1" applyBorder="1" applyAlignment="1" applyProtection="1">
      <alignment horizontal="left" vertical="center" wrapText="1"/>
      <protection locked="0"/>
    </xf>
    <xf numFmtId="0" fontId="22" fillId="0" borderId="19" xfId="0" applyFont="1" applyBorder="1" applyAlignment="1">
      <alignment vertical="center" wrapText="1"/>
    </xf>
    <xf numFmtId="0" fontId="22" fillId="4" borderId="19" xfId="0" applyFont="1" applyFill="1" applyBorder="1" applyAlignment="1">
      <alignment horizontal="left" vertical="center"/>
    </xf>
    <xf numFmtId="10" fontId="22" fillId="4" borderId="19" xfId="14" applyNumberFormat="1" applyFont="1" applyFill="1" applyBorder="1" applyAlignment="1" applyProtection="1">
      <alignment horizontal="center" vertical="center"/>
      <protection locked="0"/>
    </xf>
    <xf numFmtId="190" fontId="24" fillId="0" borderId="19" xfId="2" applyNumberFormat="1" applyFont="1" applyBorder="1" applyAlignment="1">
      <alignment horizontal="right" vertical="center"/>
    </xf>
    <xf numFmtId="177" fontId="22" fillId="4" borderId="19" xfId="0" applyNumberFormat="1" applyFont="1" applyFill="1" applyBorder="1" applyAlignment="1" applyProtection="1">
      <alignment horizontal="center" vertical="center"/>
      <protection locked="0"/>
    </xf>
    <xf numFmtId="176" fontId="22" fillId="4" borderId="19" xfId="0" applyNumberFormat="1" applyFont="1" applyFill="1" applyBorder="1" applyAlignment="1">
      <alignment horizontal="center" vertical="center"/>
    </xf>
    <xf numFmtId="182" fontId="22" fillId="4" borderId="19" xfId="0" applyNumberFormat="1" applyFont="1" applyFill="1" applyBorder="1" applyAlignment="1">
      <alignment horizontal="center" vertical="center"/>
    </xf>
    <xf numFmtId="38" fontId="22" fillId="4" borderId="19" xfId="1" applyNumberFormat="1" applyFont="1" applyFill="1" applyBorder="1" applyAlignment="1">
      <alignment horizontal="center" vertical="center"/>
    </xf>
    <xf numFmtId="0" fontId="22" fillId="0" borderId="19" xfId="0" applyFont="1" applyBorder="1" applyAlignment="1">
      <alignment horizontal="right" vertical="center" indent="1"/>
    </xf>
    <xf numFmtId="4" fontId="22" fillId="4" borderId="19" xfId="0" applyNumberFormat="1" applyFont="1" applyFill="1" applyBorder="1" applyAlignment="1">
      <alignment horizontal="center" vertical="center"/>
    </xf>
    <xf numFmtId="3" fontId="24" fillId="0" borderId="19" xfId="0" applyNumberFormat="1" applyFont="1" applyBorder="1" applyAlignment="1">
      <alignment horizontal="center" vertical="center"/>
    </xf>
    <xf numFmtId="3" fontId="24" fillId="4" borderId="19" xfId="0" applyNumberFormat="1" applyFont="1" applyFill="1" applyBorder="1" applyAlignment="1">
      <alignment horizontal="center" vertical="center"/>
    </xf>
    <xf numFmtId="186" fontId="22" fillId="4" borderId="19" xfId="0" applyNumberFormat="1" applyFont="1" applyFill="1" applyBorder="1" applyAlignment="1">
      <alignment horizontal="center" vertical="center"/>
    </xf>
    <xf numFmtId="38" fontId="22" fillId="4" borderId="19" xfId="0" applyNumberFormat="1" applyFont="1" applyFill="1" applyBorder="1" applyAlignment="1">
      <alignment horizontal="center" vertical="center"/>
    </xf>
    <xf numFmtId="3" fontId="24" fillId="4" borderId="121" xfId="0" applyNumberFormat="1" applyFont="1" applyFill="1" applyBorder="1" applyAlignment="1">
      <alignment horizontal="left" vertical="center"/>
    </xf>
    <xf numFmtId="186" fontId="28" fillId="4" borderId="113" xfId="0" applyNumberFormat="1" applyFont="1" applyFill="1" applyBorder="1" applyAlignment="1">
      <alignment horizontal="center" vertical="center"/>
    </xf>
    <xf numFmtId="10" fontId="22" fillId="30" borderId="96" xfId="14" applyNumberFormat="1" applyFont="1" applyFill="1" applyBorder="1" applyAlignment="1" applyProtection="1">
      <alignment horizontal="center" vertical="center"/>
      <protection locked="0"/>
    </xf>
    <xf numFmtId="0" fontId="140" fillId="30" borderId="69" xfId="0" applyFont="1" applyFill="1" applyBorder="1" applyAlignment="1" applyProtection="1">
      <alignment horizontal="left" vertical="center"/>
      <protection locked="0"/>
    </xf>
    <xf numFmtId="0" fontId="129" fillId="8" borderId="119" xfId="0" applyFont="1" applyFill="1" applyBorder="1" applyAlignment="1" applyProtection="1">
      <alignment horizontal="left" vertical="center"/>
      <protection locked="0"/>
    </xf>
    <xf numFmtId="0" fontId="129" fillId="8" borderId="0" xfId="0" applyFont="1" applyFill="1">
      <alignment vertical="center"/>
    </xf>
    <xf numFmtId="0" fontId="129" fillId="8" borderId="0" xfId="0" applyFont="1" applyFill="1" applyAlignment="1">
      <alignment vertical="center" wrapText="1"/>
    </xf>
    <xf numFmtId="0" fontId="129" fillId="8" borderId="113" xfId="0" applyFont="1" applyFill="1" applyBorder="1" applyAlignment="1">
      <alignment horizontal="left" vertical="center"/>
    </xf>
    <xf numFmtId="0" fontId="129" fillId="8" borderId="0" xfId="0" applyFont="1" applyFill="1" applyAlignment="1">
      <alignment horizontal="center" vertical="center"/>
    </xf>
    <xf numFmtId="10" fontId="129" fillId="8" borderId="96" xfId="14" applyNumberFormat="1" applyFont="1" applyFill="1" applyBorder="1" applyAlignment="1" applyProtection="1">
      <alignment horizontal="center" vertical="center"/>
      <protection locked="0"/>
    </xf>
    <xf numFmtId="40" fontId="129" fillId="8" borderId="119" xfId="2" applyNumberFormat="1" applyFont="1" applyFill="1" applyBorder="1" applyAlignment="1">
      <alignment horizontal="right" vertical="center"/>
    </xf>
    <xf numFmtId="177" fontId="129" fillId="8" borderId="118" xfId="0" applyNumberFormat="1" applyFont="1" applyFill="1" applyBorder="1" applyAlignment="1" applyProtection="1">
      <alignment horizontal="center" vertical="center"/>
      <protection locked="0"/>
    </xf>
    <xf numFmtId="176" fontId="129" fillId="8" borderId="119" xfId="0" applyNumberFormat="1" applyFont="1" applyFill="1" applyBorder="1" applyAlignment="1">
      <alignment horizontal="center" vertical="center"/>
    </xf>
    <xf numFmtId="14" fontId="129" fillId="8" borderId="0" xfId="0" applyNumberFormat="1" applyFont="1" applyFill="1" applyAlignment="1">
      <alignment horizontal="center" vertical="center"/>
    </xf>
    <xf numFmtId="190" fontId="129" fillId="8" borderId="113" xfId="2" applyNumberFormat="1" applyFont="1" applyFill="1" applyBorder="1" applyAlignment="1">
      <alignment horizontal="right" vertical="center"/>
    </xf>
    <xf numFmtId="14" fontId="129" fillId="8" borderId="113" xfId="0" applyNumberFormat="1" applyFont="1" applyFill="1" applyBorder="1" applyAlignment="1">
      <alignment horizontal="center" vertical="center"/>
    </xf>
    <xf numFmtId="182" fontId="129" fillId="8" borderId="113" xfId="0" applyNumberFormat="1" applyFont="1" applyFill="1" applyBorder="1" applyAlignment="1">
      <alignment horizontal="center" vertical="center"/>
    </xf>
    <xf numFmtId="0" fontId="129" fillId="8" borderId="113" xfId="0" applyFont="1" applyFill="1" applyBorder="1">
      <alignment vertical="center"/>
    </xf>
    <xf numFmtId="0" fontId="129" fillId="8" borderId="113" xfId="0" applyFont="1" applyFill="1" applyBorder="1" applyAlignment="1">
      <alignment horizontal="center" vertical="center"/>
    </xf>
    <xf numFmtId="38" fontId="129" fillId="8" borderId="113" xfId="2" applyFont="1" applyFill="1" applyBorder="1" applyAlignment="1">
      <alignment horizontal="center" vertical="center"/>
    </xf>
    <xf numFmtId="38" fontId="129" fillId="8" borderId="113" xfId="1" applyNumberFormat="1" applyFont="1" applyFill="1" applyBorder="1" applyAlignment="1">
      <alignment horizontal="center" vertical="center"/>
    </xf>
    <xf numFmtId="0" fontId="129" fillId="8" borderId="113" xfId="0" applyFont="1" applyFill="1" applyBorder="1" applyAlignment="1">
      <alignment horizontal="right" vertical="center" indent="1"/>
    </xf>
    <xf numFmtId="4" fontId="129" fillId="8" borderId="113" xfId="0" applyNumberFormat="1" applyFont="1" applyFill="1" applyBorder="1" applyAlignment="1">
      <alignment horizontal="center" vertical="center"/>
    </xf>
    <xf numFmtId="179" fontId="129" fillId="8" borderId="96" xfId="0" applyNumberFormat="1" applyFont="1" applyFill="1" applyBorder="1" applyAlignment="1">
      <alignment horizontal="center" vertical="center"/>
    </xf>
    <xf numFmtId="3" fontId="129" fillId="8" borderId="113" xfId="0" applyNumberFormat="1" applyFont="1" applyFill="1" applyBorder="1" applyAlignment="1">
      <alignment horizontal="center" vertical="center"/>
    </xf>
    <xf numFmtId="186" fontId="129" fillId="8" borderId="113" xfId="0" applyNumberFormat="1" applyFont="1" applyFill="1" applyBorder="1" applyAlignment="1">
      <alignment horizontal="center" vertical="center"/>
    </xf>
    <xf numFmtId="38" fontId="129" fillId="8" borderId="113" xfId="0" applyNumberFormat="1" applyFont="1" applyFill="1" applyBorder="1" applyAlignment="1">
      <alignment horizontal="center" vertical="center"/>
    </xf>
    <xf numFmtId="3" fontId="134" fillId="8" borderId="113" xfId="0" applyNumberFormat="1" applyFont="1" applyFill="1" applyBorder="1" applyAlignment="1">
      <alignment horizontal="left" vertical="center"/>
    </xf>
    <xf numFmtId="0" fontId="129" fillId="8" borderId="119" xfId="0" applyFont="1" applyFill="1" applyBorder="1" applyAlignment="1" applyProtection="1">
      <alignment horizontal="left" vertical="center" wrapText="1"/>
      <protection locked="0"/>
    </xf>
    <xf numFmtId="10" fontId="129" fillId="8" borderId="101" xfId="14" applyNumberFormat="1" applyFont="1" applyFill="1" applyBorder="1" applyAlignment="1" applyProtection="1">
      <alignment horizontal="center" vertical="center"/>
      <protection locked="0"/>
    </xf>
    <xf numFmtId="190" fontId="129" fillId="8" borderId="119" xfId="2" applyNumberFormat="1" applyFont="1" applyFill="1" applyBorder="1" applyAlignment="1">
      <alignment horizontal="right" vertical="center"/>
    </xf>
    <xf numFmtId="38" fontId="129" fillId="8" borderId="113" xfId="1" applyNumberFormat="1" applyFont="1" applyFill="1" applyBorder="1" applyAlignment="1">
      <alignment horizontal="left" vertical="center"/>
    </xf>
    <xf numFmtId="3" fontId="129" fillId="8" borderId="0" xfId="0" applyNumberFormat="1" applyFont="1" applyFill="1" applyAlignment="1">
      <alignment horizontal="center" vertical="center"/>
    </xf>
    <xf numFmtId="0" fontId="129" fillId="8" borderId="69" xfId="0" applyFont="1" applyFill="1" applyBorder="1" applyAlignment="1" applyProtection="1">
      <alignment horizontal="left" vertical="center"/>
      <protection locked="0"/>
    </xf>
    <xf numFmtId="38" fontId="129" fillId="8" borderId="118" xfId="2" applyFont="1" applyFill="1" applyBorder="1" applyAlignment="1">
      <alignment horizontal="center" vertical="center"/>
    </xf>
    <xf numFmtId="180" fontId="129" fillId="8" borderId="113" xfId="0" applyNumberFormat="1" applyFont="1" applyFill="1" applyBorder="1" applyAlignment="1">
      <alignment horizontal="center" vertical="center"/>
    </xf>
    <xf numFmtId="177" fontId="129" fillId="8" borderId="113" xfId="0" applyNumberFormat="1" applyFont="1" applyFill="1" applyBorder="1" applyAlignment="1">
      <alignment horizontal="center" vertical="center"/>
    </xf>
    <xf numFmtId="0" fontId="129" fillId="8" borderId="69" xfId="0" applyFont="1" applyFill="1" applyBorder="1" applyAlignment="1" applyProtection="1">
      <alignment horizontal="left" vertical="center" wrapText="1"/>
      <protection locked="0"/>
    </xf>
    <xf numFmtId="182" fontId="129" fillId="8" borderId="113" xfId="0" applyNumberFormat="1" applyFont="1" applyFill="1" applyBorder="1" applyAlignment="1">
      <alignment horizontal="right" vertical="center" indent="1"/>
    </xf>
    <xf numFmtId="0" fontId="140" fillId="30" borderId="180" xfId="0" applyFont="1" applyFill="1" applyBorder="1" applyAlignment="1" applyProtection="1">
      <alignment horizontal="left" vertical="center"/>
      <protection locked="0"/>
    </xf>
    <xf numFmtId="10" fontId="22" fillId="30" borderId="109" xfId="14" applyNumberFormat="1" applyFont="1" applyFill="1" applyBorder="1" applyAlignment="1" applyProtection="1">
      <alignment horizontal="center" vertical="center"/>
      <protection locked="0"/>
    </xf>
    <xf numFmtId="0" fontId="99" fillId="0" borderId="0" xfId="0" applyFont="1">
      <alignment vertical="center"/>
    </xf>
    <xf numFmtId="0" fontId="75" fillId="4" borderId="19" xfId="0" applyFont="1" applyFill="1" applyBorder="1" applyAlignment="1">
      <alignment horizontal="center" vertical="center"/>
    </xf>
    <xf numFmtId="179" fontId="22" fillId="4" borderId="109" xfId="0" applyNumberFormat="1" applyFont="1" applyFill="1" applyBorder="1" applyAlignment="1">
      <alignment horizontal="center" vertical="center"/>
    </xf>
    <xf numFmtId="193" fontId="62" fillId="20" borderId="21" xfId="0" applyNumberFormat="1" applyFont="1" applyFill="1" applyBorder="1" applyAlignment="1">
      <alignment horizontal="center" vertical="center" wrapText="1"/>
    </xf>
    <xf numFmtId="176" fontId="22" fillId="0" borderId="96" xfId="0" applyNumberFormat="1" applyFont="1" applyBorder="1" applyAlignment="1">
      <alignment horizontal="center" vertical="center"/>
    </xf>
    <xf numFmtId="176" fontId="22" fillId="0" borderId="97" xfId="0" applyNumberFormat="1" applyFont="1" applyBorder="1" applyAlignment="1">
      <alignment horizontal="center" vertical="center"/>
    </xf>
    <xf numFmtId="176" fontId="62" fillId="20" borderId="21" xfId="0" applyNumberFormat="1" applyFont="1" applyFill="1" applyBorder="1" applyAlignment="1">
      <alignment horizontal="center" vertical="center" wrapText="1"/>
    </xf>
    <xf numFmtId="0" fontId="64" fillId="0" borderId="0" xfId="0" applyFont="1" applyAlignment="1">
      <alignment horizontal="center" vertical="center"/>
    </xf>
    <xf numFmtId="176" fontId="62" fillId="20" borderId="300" xfId="0" applyNumberFormat="1" applyFont="1" applyFill="1" applyBorder="1" applyAlignment="1">
      <alignment horizontal="center" vertical="center" wrapText="1"/>
    </xf>
    <xf numFmtId="176" fontId="62" fillId="20" borderId="302" xfId="0" applyNumberFormat="1" applyFont="1" applyFill="1" applyBorder="1" applyAlignment="1">
      <alignment horizontal="center" vertical="center" wrapText="1"/>
    </xf>
    <xf numFmtId="176" fontId="62" fillId="20" borderId="35" xfId="0" applyNumberFormat="1" applyFont="1" applyFill="1" applyBorder="1" applyAlignment="1">
      <alignment horizontal="center" vertical="center" wrapText="1"/>
    </xf>
    <xf numFmtId="176" fontId="62" fillId="20" borderId="299" xfId="0" applyNumberFormat="1" applyFont="1" applyFill="1" applyBorder="1" applyAlignment="1">
      <alignment vertical="center" wrapText="1"/>
    </xf>
    <xf numFmtId="176" fontId="62" fillId="20" borderId="301" xfId="0" applyNumberFormat="1" applyFont="1" applyFill="1" applyBorder="1" applyAlignment="1">
      <alignment vertical="center" wrapText="1"/>
    </xf>
    <xf numFmtId="0" fontId="75" fillId="4" borderId="0" xfId="0" applyFont="1" applyFill="1">
      <alignment vertical="center"/>
    </xf>
    <xf numFmtId="190" fontId="28" fillId="0" borderId="147" xfId="2" applyNumberFormat="1" applyFont="1" applyBorder="1" applyAlignment="1">
      <alignment horizontal="center" vertical="center"/>
    </xf>
    <xf numFmtId="38" fontId="24" fillId="0" borderId="308" xfId="2" applyFont="1" applyBorder="1" applyAlignment="1">
      <alignment horizontal="center" vertical="center"/>
    </xf>
    <xf numFmtId="40" fontId="22" fillId="0" borderId="308" xfId="2" applyNumberFormat="1" applyFont="1" applyBorder="1" applyAlignment="1">
      <alignment horizontal="right" vertical="center"/>
    </xf>
    <xf numFmtId="182" fontId="22" fillId="4" borderId="308" xfId="0" applyNumberFormat="1" applyFont="1" applyFill="1" applyBorder="1" applyAlignment="1">
      <alignment horizontal="right" vertical="center" indent="1"/>
    </xf>
    <xf numFmtId="182" fontId="22" fillId="4" borderId="309" xfId="0" applyNumberFormat="1" applyFont="1" applyFill="1" applyBorder="1" applyAlignment="1">
      <alignment horizontal="right" vertical="center" indent="1"/>
    </xf>
    <xf numFmtId="3" fontId="24" fillId="4" borderId="310" xfId="0" applyNumberFormat="1" applyFont="1" applyFill="1" applyBorder="1" applyAlignment="1">
      <alignment horizontal="right" vertical="center" indent="1"/>
    </xf>
    <xf numFmtId="0" fontId="24" fillId="0" borderId="155" xfId="0" applyFont="1" applyBorder="1" applyAlignment="1">
      <alignment horizontal="center" vertical="center" wrapText="1"/>
    </xf>
    <xf numFmtId="0" fontId="24" fillId="0" borderId="133" xfId="0" applyFont="1" applyBorder="1" applyAlignment="1">
      <alignment horizontal="center" vertical="center" wrapText="1"/>
    </xf>
    <xf numFmtId="0" fontId="129" fillId="0" borderId="133" xfId="0" applyFont="1" applyBorder="1" applyAlignment="1">
      <alignment horizontal="center" vertical="center" wrapText="1"/>
    </xf>
    <xf numFmtId="0" fontId="24" fillId="0" borderId="278" xfId="0" applyFont="1" applyBorder="1" applyAlignment="1">
      <alignment horizontal="center" vertical="center" wrapText="1"/>
    </xf>
    <xf numFmtId="0" fontId="24" fillId="0" borderId="265" xfId="0" applyFont="1" applyBorder="1" applyAlignment="1">
      <alignment horizontal="center" vertical="center" wrapText="1"/>
    </xf>
    <xf numFmtId="0" fontId="129" fillId="0" borderId="148" xfId="0" applyFont="1" applyBorder="1" applyAlignment="1" applyProtection="1">
      <alignment horizontal="left" vertical="center" indent="1"/>
      <protection locked="0"/>
    </xf>
    <xf numFmtId="0" fontId="22" fillId="0" borderId="151" xfId="0" applyFont="1" applyBorder="1" applyAlignment="1" applyProtection="1">
      <alignment horizontal="left" vertical="center" indent="1"/>
      <protection locked="0"/>
    </xf>
    <xf numFmtId="0" fontId="6" fillId="0" borderId="144" xfId="0" applyFont="1" applyBorder="1">
      <alignment vertical="center"/>
    </xf>
    <xf numFmtId="10" fontId="77" fillId="31" borderId="174" xfId="10" applyNumberFormat="1" applyFont="1" applyFill="1" applyBorder="1" applyAlignment="1">
      <alignment horizontal="center" vertical="center"/>
    </xf>
    <xf numFmtId="41" fontId="77" fillId="31" borderId="174" xfId="10" applyNumberFormat="1" applyFont="1" applyFill="1" applyBorder="1" applyAlignment="1">
      <alignment horizontal="center" vertical="center"/>
    </xf>
    <xf numFmtId="14" fontId="77" fillId="31" borderId="174" xfId="10" applyNumberFormat="1" applyFont="1" applyFill="1" applyBorder="1" applyAlignment="1">
      <alignment horizontal="center" vertical="center"/>
    </xf>
    <xf numFmtId="0" fontId="67" fillId="3" borderId="5" xfId="0" applyFont="1" applyFill="1" applyBorder="1" applyAlignment="1">
      <alignment horizontal="right" vertical="center" indent="1"/>
    </xf>
    <xf numFmtId="38" fontId="68" fillId="2" borderId="65" xfId="2" applyFont="1" applyFill="1" applyBorder="1" applyAlignment="1">
      <alignment horizontal="right" vertical="center" wrapText="1" indent="1"/>
    </xf>
    <xf numFmtId="38" fontId="22" fillId="4" borderId="113" xfId="2" applyFont="1" applyFill="1" applyBorder="1" applyAlignment="1">
      <alignment horizontal="right" vertical="center" indent="1"/>
    </xf>
    <xf numFmtId="38" fontId="129" fillId="8" borderId="113" xfId="2" applyFont="1" applyFill="1" applyBorder="1" applyAlignment="1">
      <alignment horizontal="right" vertical="center" indent="1"/>
    </xf>
    <xf numFmtId="38" fontId="22" fillId="4" borderId="110" xfId="2" applyFont="1" applyFill="1" applyBorder="1" applyAlignment="1">
      <alignment horizontal="right" vertical="center" indent="1"/>
    </xf>
    <xf numFmtId="38" fontId="22" fillId="4" borderId="131" xfId="2" applyFont="1" applyFill="1" applyBorder="1" applyAlignment="1">
      <alignment horizontal="right" vertical="center" indent="1"/>
    </xf>
    <xf numFmtId="38" fontId="22" fillId="4" borderId="19" xfId="2" applyFont="1" applyFill="1" applyBorder="1" applyAlignment="1">
      <alignment horizontal="right" vertical="center" indent="1"/>
    </xf>
    <xf numFmtId="38" fontId="22" fillId="4" borderId="115" xfId="2" applyFont="1" applyFill="1" applyBorder="1" applyAlignment="1">
      <alignment horizontal="right" vertical="center" indent="1"/>
    </xf>
    <xf numFmtId="0" fontId="8" fillId="4" borderId="0" xfId="0" applyFont="1" applyFill="1" applyAlignment="1">
      <alignment horizontal="right" vertical="center" indent="1"/>
    </xf>
    <xf numFmtId="0" fontId="65" fillId="0" borderId="0" xfId="0" applyFont="1" applyAlignment="1">
      <alignment horizontal="right" vertical="center" indent="1"/>
    </xf>
    <xf numFmtId="194" fontId="22" fillId="4" borderId="0" xfId="0" applyNumberFormat="1" applyFont="1" applyFill="1" applyAlignment="1">
      <alignment horizontal="center" vertical="center"/>
    </xf>
    <xf numFmtId="0" fontId="120" fillId="0" borderId="0" xfId="0" applyFont="1" applyAlignment="1">
      <alignment vertical="center" readingOrder="1"/>
    </xf>
    <xf numFmtId="40" fontId="62" fillId="0" borderId="230" xfId="2" applyNumberFormat="1" applyFont="1" applyFill="1" applyBorder="1" applyAlignment="1">
      <alignment wrapText="1"/>
    </xf>
    <xf numFmtId="40" fontId="62" fillId="0" borderId="146" xfId="2" applyNumberFormat="1" applyFont="1" applyFill="1" applyBorder="1" applyAlignment="1">
      <alignment wrapText="1"/>
    </xf>
    <xf numFmtId="40" fontId="62" fillId="0" borderId="262" xfId="2" applyNumberFormat="1" applyFont="1" applyBorder="1" applyAlignment="1">
      <alignment vertical="top" wrapText="1"/>
    </xf>
    <xf numFmtId="40" fontId="62" fillId="0" borderId="304" xfId="2" applyNumberFormat="1" applyFont="1" applyBorder="1" applyAlignment="1">
      <alignment vertical="top" wrapText="1"/>
    </xf>
    <xf numFmtId="0" fontId="0" fillId="0" borderId="0" xfId="0" applyAlignment="1">
      <alignment horizontal="right" vertical="center" indent="1"/>
    </xf>
    <xf numFmtId="0" fontId="8" fillId="8" borderId="64" xfId="0" applyFont="1" applyFill="1" applyBorder="1" applyAlignment="1">
      <alignment horizontal="center" vertical="center"/>
    </xf>
    <xf numFmtId="0" fontId="22" fillId="8" borderId="19" xfId="0" applyFont="1" applyFill="1" applyBorder="1" applyAlignment="1">
      <alignment horizontal="center" vertical="center"/>
    </xf>
    <xf numFmtId="41" fontId="77" fillId="0" borderId="174" xfId="11" applyFont="1" applyFill="1" applyBorder="1" applyAlignment="1">
      <alignment horizontal="center" vertical="center"/>
    </xf>
    <xf numFmtId="177" fontId="4" fillId="0" borderId="0" xfId="10" applyNumberFormat="1">
      <alignment vertical="center"/>
    </xf>
    <xf numFmtId="38" fontId="14" fillId="0" borderId="0" xfId="2" applyFont="1" applyAlignment="1">
      <alignment horizontal="right" vertical="center"/>
    </xf>
    <xf numFmtId="0" fontId="22" fillId="8" borderId="69" xfId="0" applyFont="1" applyFill="1" applyBorder="1" applyAlignment="1" applyProtection="1">
      <alignment horizontal="left" vertical="center"/>
      <protection locked="0"/>
    </xf>
    <xf numFmtId="0" fontId="24" fillId="8" borderId="0" xfId="0" applyFont="1" applyFill="1" applyAlignment="1" applyProtection="1">
      <alignment horizontal="center" vertical="center"/>
      <protection locked="0"/>
    </xf>
    <xf numFmtId="14" fontId="24" fillId="8" borderId="0" xfId="0" applyNumberFormat="1" applyFont="1" applyFill="1" applyAlignment="1">
      <alignment horizontal="center" vertical="center"/>
    </xf>
    <xf numFmtId="182" fontId="22" fillId="8" borderId="0" xfId="0" applyNumberFormat="1" applyFont="1" applyFill="1" applyAlignment="1">
      <alignment horizontal="center" vertical="center"/>
    </xf>
    <xf numFmtId="14" fontId="22" fillId="8" borderId="0" xfId="0" applyNumberFormat="1" applyFont="1" applyFill="1">
      <alignment vertical="center"/>
    </xf>
    <xf numFmtId="14" fontId="28" fillId="8" borderId="0" xfId="0" applyNumberFormat="1" applyFont="1" applyFill="1">
      <alignment vertical="center"/>
    </xf>
    <xf numFmtId="177" fontId="22" fillId="8" borderId="0" xfId="0" applyNumberFormat="1" applyFont="1" applyFill="1">
      <alignment vertical="center"/>
    </xf>
    <xf numFmtId="187" fontId="22" fillId="8" borderId="0" xfId="0" applyNumberFormat="1" applyFont="1" applyFill="1">
      <alignment vertical="center"/>
    </xf>
    <xf numFmtId="0" fontId="33" fillId="8" borderId="0" xfId="0" applyFont="1" applyFill="1">
      <alignment vertical="center"/>
    </xf>
    <xf numFmtId="14" fontId="22" fillId="8" borderId="19" xfId="0" applyNumberFormat="1" applyFont="1" applyFill="1" applyBorder="1" applyAlignment="1">
      <alignment horizontal="center" vertical="center"/>
    </xf>
    <xf numFmtId="14" fontId="24" fillId="8" borderId="19" xfId="0" applyNumberFormat="1" applyFont="1" applyFill="1" applyBorder="1" applyAlignment="1">
      <alignment horizontal="center" vertical="center"/>
    </xf>
    <xf numFmtId="177" fontId="22" fillId="8" borderId="19" xfId="0" applyNumberFormat="1" applyFont="1" applyFill="1" applyBorder="1" applyAlignment="1">
      <alignment horizontal="center" vertical="center"/>
    </xf>
    <xf numFmtId="182" fontId="22" fillId="8" borderId="17" xfId="0" applyNumberFormat="1" applyFont="1" applyFill="1" applyBorder="1" applyAlignment="1">
      <alignment horizontal="center" vertical="center"/>
    </xf>
    <xf numFmtId="14" fontId="22" fillId="8" borderId="19" xfId="0" applyNumberFormat="1" applyFont="1" applyFill="1" applyBorder="1">
      <alignment vertical="center"/>
    </xf>
    <xf numFmtId="14" fontId="28" fillId="8" borderId="19" xfId="0" applyNumberFormat="1" applyFont="1" applyFill="1" applyBorder="1">
      <alignment vertical="center"/>
    </xf>
    <xf numFmtId="14" fontId="22" fillId="8" borderId="19" xfId="0" applyNumberFormat="1" applyFont="1" applyFill="1" applyBorder="1" applyAlignment="1">
      <alignment horizontal="right" vertical="center"/>
    </xf>
    <xf numFmtId="3" fontId="24" fillId="8" borderId="19" xfId="0" applyNumberFormat="1" applyFont="1" applyFill="1" applyBorder="1">
      <alignment vertical="center"/>
    </xf>
    <xf numFmtId="0" fontId="24" fillId="8" borderId="19" xfId="0" applyFont="1" applyFill="1" applyBorder="1">
      <alignment vertical="center"/>
    </xf>
    <xf numFmtId="177" fontId="22" fillId="8" borderId="19" xfId="0" applyNumberFormat="1" applyFont="1" applyFill="1" applyBorder="1">
      <alignment vertical="center"/>
    </xf>
    <xf numFmtId="0" fontId="33" fillId="8" borderId="19" xfId="0" applyFont="1" applyFill="1" applyBorder="1">
      <alignment vertical="center"/>
    </xf>
    <xf numFmtId="38" fontId="22" fillId="8" borderId="0" xfId="2" applyFont="1" applyFill="1">
      <alignment vertical="center"/>
    </xf>
    <xf numFmtId="0" fontId="0" fillId="8" borderId="0" xfId="0" applyFill="1">
      <alignment vertical="center"/>
    </xf>
    <xf numFmtId="14" fontId="8" fillId="8" borderId="0" xfId="0" applyNumberFormat="1" applyFont="1" applyFill="1">
      <alignment vertical="center"/>
    </xf>
    <xf numFmtId="14" fontId="18" fillId="8" borderId="0" xfId="0" applyNumberFormat="1" applyFont="1" applyFill="1">
      <alignment vertical="center"/>
    </xf>
    <xf numFmtId="0" fontId="22" fillId="8" borderId="180" xfId="0" applyFont="1" applyFill="1" applyBorder="1" applyAlignment="1" applyProtection="1">
      <alignment horizontal="left" vertical="center"/>
      <protection locked="0"/>
    </xf>
    <xf numFmtId="177" fontId="0" fillId="0" borderId="72" xfId="13" applyNumberFormat="1" applyFont="1" applyFill="1" applyBorder="1">
      <alignment vertical="center"/>
    </xf>
    <xf numFmtId="177" fontId="109" fillId="0" borderId="72" xfId="13" applyNumberFormat="1" applyFont="1" applyFill="1" applyBorder="1">
      <alignment vertical="center"/>
    </xf>
    <xf numFmtId="10" fontId="77" fillId="0" borderId="311" xfId="10" applyNumberFormat="1" applyFont="1" applyBorder="1" applyAlignment="1">
      <alignment horizontal="center" vertical="center"/>
    </xf>
    <xf numFmtId="3" fontId="78" fillId="0" borderId="311" xfId="10" applyNumberFormat="1" applyFont="1" applyBorder="1" applyAlignment="1">
      <alignment horizontal="center" vertical="center"/>
    </xf>
    <xf numFmtId="3" fontId="78" fillId="0" borderId="312" xfId="10" applyNumberFormat="1" applyFont="1" applyBorder="1" applyAlignment="1">
      <alignment horizontal="center" vertical="center"/>
    </xf>
    <xf numFmtId="3" fontId="78" fillId="0" borderId="233" xfId="10" applyNumberFormat="1" applyFont="1" applyBorder="1" applyAlignment="1">
      <alignment horizontal="center" vertical="center"/>
    </xf>
    <xf numFmtId="182" fontId="34" fillId="4" borderId="113" xfId="0" applyNumberFormat="1" applyFont="1" applyFill="1" applyBorder="1" applyAlignment="1">
      <alignment horizontal="center" vertical="center"/>
    </xf>
    <xf numFmtId="38" fontId="14" fillId="11" borderId="0" xfId="2" applyFont="1" applyFill="1">
      <alignment vertical="center"/>
    </xf>
    <xf numFmtId="40" fontId="77" fillId="0" borderId="158" xfId="2" applyNumberFormat="1" applyFont="1" applyBorder="1" applyAlignment="1">
      <alignment horizontal="center" vertical="center" readingOrder="1"/>
    </xf>
    <xf numFmtId="40" fontId="77" fillId="0" borderId="72" xfId="2" applyNumberFormat="1" applyFont="1" applyBorder="1" applyAlignment="1">
      <alignment horizontal="center" vertical="center" readingOrder="1"/>
    </xf>
    <xf numFmtId="10" fontId="77" fillId="0" borderId="315" xfId="10" applyNumberFormat="1" applyFont="1" applyBorder="1" applyAlignment="1">
      <alignment horizontal="center" vertical="center"/>
    </xf>
    <xf numFmtId="3" fontId="78" fillId="0" borderId="315" xfId="10" applyNumberFormat="1" applyFont="1" applyBorder="1" applyAlignment="1">
      <alignment horizontal="center" vertical="center"/>
    </xf>
    <xf numFmtId="3" fontId="78" fillId="0" borderId="316" xfId="10" applyNumberFormat="1" applyFont="1" applyBorder="1" applyAlignment="1">
      <alignment horizontal="center" vertical="center"/>
    </xf>
    <xf numFmtId="0" fontId="77" fillId="0" borderId="317" xfId="10" applyFont="1" applyBorder="1" applyAlignment="1">
      <alignment horizontal="center" vertical="center" wrapText="1" readingOrder="1"/>
    </xf>
    <xf numFmtId="10" fontId="77" fillId="0" borderId="318" xfId="10" applyNumberFormat="1" applyFont="1" applyBorder="1" applyAlignment="1">
      <alignment horizontal="center" vertical="center"/>
    </xf>
    <xf numFmtId="41" fontId="77" fillId="0" borderId="319" xfId="11" applyFont="1" applyBorder="1" applyAlignment="1">
      <alignment horizontal="center" vertical="center"/>
    </xf>
    <xf numFmtId="10" fontId="77" fillId="0" borderId="321" xfId="10" applyNumberFormat="1" applyFont="1" applyBorder="1" applyAlignment="1">
      <alignment horizontal="center" vertical="center"/>
    </xf>
    <xf numFmtId="41" fontId="77" fillId="0" borderId="321" xfId="11" applyFont="1" applyBorder="1" applyAlignment="1">
      <alignment horizontal="center" vertical="center"/>
    </xf>
    <xf numFmtId="14" fontId="78" fillId="0" borderId="321" xfId="10" applyNumberFormat="1" applyFont="1" applyBorder="1" applyAlignment="1">
      <alignment horizontal="center" vertical="center"/>
    </xf>
    <xf numFmtId="14" fontId="77" fillId="0" borderId="321" xfId="10" applyNumberFormat="1" applyFont="1" applyBorder="1" applyAlignment="1">
      <alignment horizontal="center" vertical="center"/>
    </xf>
    <xf numFmtId="3" fontId="77" fillId="0" borderId="315" xfId="10" applyNumberFormat="1" applyFont="1" applyBorder="1" applyAlignment="1">
      <alignment horizontal="center" vertical="center"/>
    </xf>
    <xf numFmtId="14" fontId="77" fillId="0" borderId="322" xfId="10" applyNumberFormat="1" applyFont="1" applyBorder="1" applyAlignment="1">
      <alignment horizontal="center" vertical="center"/>
    </xf>
    <xf numFmtId="14" fontId="77" fillId="0" borderId="323" xfId="10" applyNumberFormat="1" applyFont="1" applyBorder="1" applyAlignment="1">
      <alignment horizontal="center" vertical="center"/>
    </xf>
    <xf numFmtId="14" fontId="77" fillId="0" borderId="324" xfId="10" applyNumberFormat="1" applyFont="1" applyBorder="1" applyAlignment="1">
      <alignment horizontal="center" vertical="center"/>
    </xf>
    <xf numFmtId="14" fontId="77" fillId="0" borderId="325" xfId="10" applyNumberFormat="1" applyFont="1" applyBorder="1" applyAlignment="1">
      <alignment horizontal="center" vertical="center"/>
    </xf>
    <xf numFmtId="10" fontId="77" fillId="0" borderId="327" xfId="10" applyNumberFormat="1" applyFont="1" applyBorder="1" applyAlignment="1">
      <alignment horizontal="center" vertical="center"/>
    </xf>
    <xf numFmtId="3" fontId="78" fillId="0" borderId="327" xfId="10" applyNumberFormat="1" applyFont="1" applyBorder="1" applyAlignment="1">
      <alignment horizontal="center" vertical="center"/>
    </xf>
    <xf numFmtId="3" fontId="78" fillId="0" borderId="328" xfId="10" applyNumberFormat="1" applyFont="1" applyBorder="1" applyAlignment="1">
      <alignment horizontal="center" vertical="center"/>
    </xf>
    <xf numFmtId="0" fontId="77" fillId="0" borderId="329" xfId="10" applyFont="1" applyBorder="1" applyAlignment="1">
      <alignment horizontal="center" vertical="center" wrapText="1" readingOrder="1"/>
    </xf>
    <xf numFmtId="0" fontId="14" fillId="11" borderId="330" xfId="10" applyFont="1" applyFill="1" applyBorder="1">
      <alignment vertical="center"/>
    </xf>
    <xf numFmtId="0" fontId="14" fillId="11" borderId="331" xfId="10" applyFont="1" applyFill="1" applyBorder="1">
      <alignment vertical="center"/>
    </xf>
    <xf numFmtId="10" fontId="77" fillId="0" borderId="333" xfId="10" applyNumberFormat="1" applyFont="1" applyBorder="1" applyAlignment="1">
      <alignment horizontal="center" vertical="center"/>
    </xf>
    <xf numFmtId="177" fontId="77" fillId="0" borderId="330" xfId="10" applyNumberFormat="1" applyFont="1" applyBorder="1" applyAlignment="1">
      <alignment horizontal="center" vertical="center"/>
    </xf>
    <xf numFmtId="14" fontId="78" fillId="0" borderId="330" xfId="10" applyNumberFormat="1" applyFont="1" applyBorder="1" applyAlignment="1">
      <alignment horizontal="center" vertical="center"/>
    </xf>
    <xf numFmtId="10" fontId="77" fillId="0" borderId="330" xfId="10" applyNumberFormat="1" applyFont="1" applyBorder="1" applyAlignment="1">
      <alignment horizontal="center" vertical="center"/>
    </xf>
    <xf numFmtId="14" fontId="77" fillId="0" borderId="330" xfId="10" applyNumberFormat="1" applyFont="1" applyBorder="1" applyAlignment="1">
      <alignment horizontal="center" vertical="center"/>
    </xf>
    <xf numFmtId="3" fontId="77" fillId="0" borderId="327" xfId="10" applyNumberFormat="1" applyFont="1" applyBorder="1" applyAlignment="1">
      <alignment horizontal="center" vertical="center"/>
    </xf>
    <xf numFmtId="14" fontId="77" fillId="0" borderId="334" xfId="10" applyNumberFormat="1" applyFont="1" applyBorder="1" applyAlignment="1">
      <alignment horizontal="center" vertical="center"/>
    </xf>
    <xf numFmtId="14" fontId="77" fillId="0" borderId="335" xfId="10" applyNumberFormat="1" applyFont="1" applyBorder="1" applyAlignment="1">
      <alignment horizontal="center" vertical="center"/>
    </xf>
    <xf numFmtId="177" fontId="77" fillId="0" borderId="182" xfId="10" applyNumberFormat="1" applyFont="1" applyBorder="1" applyAlignment="1">
      <alignment horizontal="center" vertical="center"/>
    </xf>
    <xf numFmtId="41" fontId="4" fillId="0" borderId="0" xfId="10" applyNumberFormat="1">
      <alignment vertical="center"/>
    </xf>
    <xf numFmtId="38" fontId="22" fillId="4" borderId="0" xfId="2" applyFont="1" applyFill="1" applyAlignment="1">
      <alignment horizontal="center" vertical="center"/>
    </xf>
    <xf numFmtId="38" fontId="22" fillId="4" borderId="129" xfId="2" applyFont="1" applyFill="1" applyBorder="1" applyAlignment="1">
      <alignment horizontal="center" vertical="center"/>
    </xf>
    <xf numFmtId="0" fontId="40" fillId="11" borderId="86" xfId="10" applyFont="1" applyFill="1" applyBorder="1" applyAlignment="1">
      <alignment horizontal="center" vertical="center"/>
    </xf>
    <xf numFmtId="38" fontId="24" fillId="0" borderId="0" xfId="1" applyNumberFormat="1" applyFont="1" applyAlignment="1">
      <alignment horizontal="center" vertical="center"/>
    </xf>
    <xf numFmtId="38" fontId="8" fillId="0" borderId="0" xfId="0" applyNumberFormat="1" applyFont="1" applyAlignment="1">
      <alignment horizontal="center" vertical="center"/>
    </xf>
    <xf numFmtId="195" fontId="8" fillId="0" borderId="0" xfId="2" applyNumberFormat="1" applyFont="1" applyAlignment="1">
      <alignment horizontal="center" vertical="center"/>
    </xf>
    <xf numFmtId="0" fontId="62" fillId="26" borderId="0" xfId="0" applyFont="1" applyFill="1" applyAlignment="1">
      <alignment horizontal="center" vertical="center" wrapText="1"/>
    </xf>
    <xf numFmtId="4" fontId="63" fillId="26" borderId="0" xfId="0" applyNumberFormat="1" applyFont="1" applyFill="1" applyAlignment="1">
      <alignment horizontal="center" vertical="center" wrapText="1"/>
    </xf>
    <xf numFmtId="4" fontId="63" fillId="26" borderId="131" xfId="0" applyNumberFormat="1" applyFont="1" applyFill="1" applyBorder="1" applyAlignment="1">
      <alignment vertical="center" wrapText="1"/>
    </xf>
    <xf numFmtId="4" fontId="63" fillId="26" borderId="0" xfId="0" applyNumberFormat="1" applyFont="1" applyFill="1" applyAlignment="1">
      <alignment vertical="center" wrapText="1"/>
    </xf>
    <xf numFmtId="4" fontId="63" fillId="26" borderId="129" xfId="0" applyNumberFormat="1" applyFont="1" applyFill="1" applyBorder="1" applyAlignment="1">
      <alignment vertical="center" wrapText="1"/>
    </xf>
    <xf numFmtId="196" fontId="63" fillId="26" borderId="0" xfId="0" applyNumberFormat="1" applyFont="1" applyFill="1" applyAlignment="1">
      <alignment horizontal="center" vertical="center" wrapText="1"/>
    </xf>
    <xf numFmtId="0" fontId="62" fillId="26" borderId="0" xfId="0" applyFont="1" applyFill="1" applyAlignment="1">
      <alignment vertical="center" wrapText="1"/>
    </xf>
    <xf numFmtId="0" fontId="62" fillId="26" borderId="129" xfId="0" applyFont="1" applyFill="1" applyBorder="1" applyAlignment="1">
      <alignment vertical="center" wrapText="1"/>
    </xf>
    <xf numFmtId="190" fontId="22" fillId="0" borderId="113" xfId="2" applyNumberFormat="1" applyFont="1" applyBorder="1" applyAlignment="1">
      <alignment horizontal="right" vertical="center"/>
    </xf>
    <xf numFmtId="3" fontId="34" fillId="4" borderId="113" xfId="0" applyNumberFormat="1" applyFont="1" applyFill="1" applyBorder="1" applyAlignment="1">
      <alignment horizontal="left" vertical="center"/>
    </xf>
    <xf numFmtId="0" fontId="143" fillId="30" borderId="69" xfId="0" applyFont="1" applyFill="1" applyBorder="1" applyAlignment="1" applyProtection="1">
      <alignment horizontal="left" vertical="center"/>
      <protection locked="0"/>
    </xf>
    <xf numFmtId="0" fontId="141" fillId="0" borderId="113" xfId="0" applyFont="1" applyBorder="1" applyAlignment="1">
      <alignment horizontal="right" vertical="center" indent="1"/>
    </xf>
    <xf numFmtId="0" fontId="141" fillId="0" borderId="113" xfId="0" applyFont="1" applyBorder="1" applyAlignment="1">
      <alignment horizontal="right" vertical="center" wrapText="1" indent="1"/>
    </xf>
    <xf numFmtId="0" fontId="145" fillId="0" borderId="0" xfId="0" applyFont="1" applyAlignment="1">
      <alignment horizontal="right" vertical="center" wrapText="1" indent="1"/>
    </xf>
    <xf numFmtId="3" fontId="34" fillId="4" borderId="110" xfId="0" applyNumberFormat="1" applyFont="1" applyFill="1" applyBorder="1" applyAlignment="1">
      <alignment horizontal="left" vertical="center"/>
    </xf>
    <xf numFmtId="190" fontId="24" fillId="6" borderId="113" xfId="2" applyNumberFormat="1" applyFont="1" applyFill="1" applyBorder="1" applyAlignment="1">
      <alignment horizontal="right" vertical="center"/>
    </xf>
    <xf numFmtId="0" fontId="22" fillId="4" borderId="234" xfId="0" applyFont="1" applyFill="1" applyBorder="1" applyAlignment="1" applyProtection="1">
      <alignment horizontal="left" vertical="center"/>
      <protection locked="0"/>
    </xf>
    <xf numFmtId="188" fontId="22" fillId="0" borderId="115" xfId="0" applyNumberFormat="1" applyFont="1" applyBorder="1" applyAlignment="1">
      <alignment horizontal="right" vertical="center" indent="1"/>
    </xf>
    <xf numFmtId="188" fontId="22" fillId="0" borderId="115" xfId="0" applyNumberFormat="1" applyFont="1" applyBorder="1" applyAlignment="1">
      <alignment horizontal="center" vertical="center"/>
    </xf>
    <xf numFmtId="38" fontId="22" fillId="4" borderId="115" xfId="0" applyNumberFormat="1" applyFont="1" applyFill="1" applyBorder="1" applyAlignment="1">
      <alignment horizontal="center" vertical="center"/>
    </xf>
    <xf numFmtId="38" fontId="146" fillId="0" borderId="0" xfId="2" applyFont="1" applyFill="1" applyAlignment="1">
      <alignment horizontal="right" vertical="center"/>
    </xf>
    <xf numFmtId="38" fontId="77" fillId="0" borderId="72" xfId="2" applyFont="1" applyBorder="1" applyAlignment="1">
      <alignment horizontal="center" vertical="center"/>
    </xf>
    <xf numFmtId="0" fontId="79" fillId="22" borderId="75" xfId="10" applyFont="1" applyFill="1" applyBorder="1" applyAlignment="1">
      <alignment vertical="center" wrapText="1" readingOrder="1"/>
    </xf>
    <xf numFmtId="0" fontId="79" fillId="22" borderId="76" xfId="10" applyFont="1" applyFill="1" applyBorder="1" applyAlignment="1">
      <alignment vertical="center" wrapText="1" readingOrder="1"/>
    </xf>
    <xf numFmtId="0" fontId="147" fillId="22" borderId="192" xfId="10" applyFont="1" applyFill="1" applyBorder="1" applyAlignment="1">
      <alignment horizontal="center" vertical="center" wrapText="1" readingOrder="1"/>
    </xf>
    <xf numFmtId="0" fontId="147" fillId="22" borderId="77" xfId="10" applyFont="1" applyFill="1" applyBorder="1" applyAlignment="1">
      <alignment vertical="center" wrapText="1" readingOrder="1"/>
    </xf>
    <xf numFmtId="14" fontId="77" fillId="0" borderId="247" xfId="10" applyNumberFormat="1" applyFont="1" applyBorder="1" applyAlignment="1">
      <alignment horizontal="center" vertical="center"/>
    </xf>
    <xf numFmtId="14" fontId="77" fillId="0" borderId="338" xfId="10" applyNumberFormat="1" applyFont="1" applyBorder="1" applyAlignment="1">
      <alignment horizontal="center" vertical="center"/>
    </xf>
    <xf numFmtId="41" fontId="77" fillId="0" borderId="228" xfId="11" applyFont="1" applyFill="1" applyBorder="1" applyAlignment="1">
      <alignment horizontal="center" vertical="center"/>
    </xf>
    <xf numFmtId="41" fontId="77" fillId="0" borderId="64" xfId="11" applyFont="1" applyFill="1" applyBorder="1" applyAlignment="1">
      <alignment horizontal="center" vertical="center"/>
    </xf>
    <xf numFmtId="10" fontId="77" fillId="0" borderId="64" xfId="10" applyNumberFormat="1" applyFont="1" applyBorder="1" applyAlignment="1">
      <alignment horizontal="center" vertical="center"/>
    </xf>
    <xf numFmtId="0" fontId="79" fillId="22" borderId="72" xfId="10" applyFont="1" applyFill="1" applyBorder="1" applyAlignment="1">
      <alignment horizontal="center" vertical="center" wrapText="1" readingOrder="1"/>
    </xf>
    <xf numFmtId="41" fontId="77" fillId="0" borderId="248" xfId="11" applyFont="1" applyFill="1" applyBorder="1" applyAlignment="1">
      <alignment horizontal="center" vertical="center"/>
    </xf>
    <xf numFmtId="41" fontId="77" fillId="0" borderId="204" xfId="11" applyFont="1" applyFill="1" applyBorder="1" applyAlignment="1">
      <alignment horizontal="center" vertical="center"/>
    </xf>
    <xf numFmtId="38" fontId="77" fillId="0" borderId="89" xfId="2" applyFont="1" applyBorder="1" applyAlignment="1">
      <alignment horizontal="center" vertical="center"/>
    </xf>
    <xf numFmtId="10" fontId="77" fillId="0" borderId="340" xfId="10" applyNumberFormat="1" applyFont="1" applyBorder="1" applyAlignment="1">
      <alignment horizontal="center" vertical="center"/>
    </xf>
    <xf numFmtId="10" fontId="77" fillId="0" borderId="341" xfId="10" applyNumberFormat="1" applyFont="1" applyBorder="1" applyAlignment="1">
      <alignment horizontal="center" vertical="center"/>
    </xf>
    <xf numFmtId="3" fontId="78" fillId="0" borderId="246" xfId="10" applyNumberFormat="1" applyFont="1" applyBorder="1" applyAlignment="1">
      <alignment horizontal="center" vertical="center"/>
    </xf>
    <xf numFmtId="3" fontId="78" fillId="0" borderId="247" xfId="10" applyNumberFormat="1" applyFont="1" applyBorder="1" applyAlignment="1">
      <alignment horizontal="center" vertical="center"/>
    </xf>
    <xf numFmtId="3" fontId="78" fillId="0" borderId="248" xfId="10" applyNumberFormat="1" applyFont="1" applyBorder="1" applyAlignment="1">
      <alignment horizontal="center" vertical="center"/>
    </xf>
    <xf numFmtId="0" fontId="73" fillId="4" borderId="0" xfId="10" applyFont="1" applyFill="1">
      <alignment vertical="center"/>
    </xf>
    <xf numFmtId="0" fontId="73" fillId="0" borderId="0" xfId="10" applyFont="1">
      <alignment vertical="center"/>
    </xf>
    <xf numFmtId="0" fontId="81" fillId="11" borderId="0" xfId="10" applyFont="1" applyFill="1" applyAlignment="1">
      <alignment horizontal="center" vertical="center"/>
    </xf>
    <xf numFmtId="0" fontId="73" fillId="0" borderId="158" xfId="10" applyFont="1" applyBorder="1" applyAlignment="1">
      <alignment horizontal="center" vertical="center"/>
    </xf>
    <xf numFmtId="0" fontId="73" fillId="0" borderId="0" xfId="0" applyFont="1">
      <alignment vertical="center"/>
    </xf>
    <xf numFmtId="0" fontId="73" fillId="0" borderId="339" xfId="10" applyFont="1" applyBorder="1" applyAlignment="1">
      <alignment horizontal="center" vertical="center"/>
    </xf>
    <xf numFmtId="0" fontId="73" fillId="0" borderId="159" xfId="10" applyFont="1" applyBorder="1" applyAlignment="1">
      <alignment horizontal="center" vertical="center"/>
    </xf>
    <xf numFmtId="9" fontId="73" fillId="0" borderId="72" xfId="10" applyNumberFormat="1" applyFont="1" applyBorder="1" applyAlignment="1">
      <alignment horizontal="center" vertical="center"/>
    </xf>
    <xf numFmtId="9" fontId="73" fillId="0" borderId="23" xfId="10" applyNumberFormat="1" applyFont="1" applyBorder="1" applyAlignment="1">
      <alignment horizontal="center" vertical="center"/>
    </xf>
    <xf numFmtId="9" fontId="73" fillId="0" borderId="161" xfId="10" applyNumberFormat="1" applyFont="1" applyBorder="1" applyAlignment="1">
      <alignment horizontal="center" vertical="center"/>
    </xf>
    <xf numFmtId="0" fontId="73" fillId="0" borderId="72" xfId="10" applyFont="1" applyBorder="1" applyAlignment="1">
      <alignment horizontal="center" vertical="center"/>
    </xf>
    <xf numFmtId="0" fontId="73" fillId="0" borderId="23" xfId="10" applyFont="1" applyBorder="1" applyAlignment="1">
      <alignment horizontal="center" vertical="center"/>
    </xf>
    <xf numFmtId="14" fontId="73" fillId="0" borderId="0" xfId="10" applyNumberFormat="1" applyFont="1">
      <alignment vertical="center"/>
    </xf>
    <xf numFmtId="9" fontId="100" fillId="0" borderId="89" xfId="10" applyNumberFormat="1" applyFont="1" applyBorder="1" applyAlignment="1">
      <alignment horizontal="center" vertical="center"/>
    </xf>
    <xf numFmtId="9" fontId="73" fillId="0" borderId="89" xfId="10" applyNumberFormat="1" applyFont="1" applyBorder="1" applyAlignment="1">
      <alignment horizontal="center" vertical="center"/>
    </xf>
    <xf numFmtId="9" fontId="73" fillId="0" borderId="326" xfId="10" applyNumberFormat="1" applyFont="1" applyBorder="1" applyAlignment="1">
      <alignment horizontal="center" vertical="center"/>
    </xf>
    <xf numFmtId="9" fontId="73" fillId="0" borderId="163" xfId="10" applyNumberFormat="1" applyFont="1" applyBorder="1" applyAlignment="1">
      <alignment horizontal="center" vertical="center"/>
    </xf>
    <xf numFmtId="38" fontId="73" fillId="0" borderId="0" xfId="2" applyFont="1">
      <alignment vertical="center"/>
    </xf>
    <xf numFmtId="9" fontId="73" fillId="0" borderId="72" xfId="14" applyFont="1" applyBorder="1" applyAlignment="1">
      <alignment horizontal="center" vertical="center"/>
    </xf>
    <xf numFmtId="9" fontId="73" fillId="0" borderId="23" xfId="14" applyFont="1" applyBorder="1" applyAlignment="1">
      <alignment horizontal="center" vertical="center"/>
    </xf>
    <xf numFmtId="9" fontId="100" fillId="0" borderId="89" xfId="14" applyFont="1" applyBorder="1" applyAlignment="1">
      <alignment horizontal="center" vertical="center"/>
    </xf>
    <xf numFmtId="9" fontId="73" fillId="0" borderId="89" xfId="14" applyFont="1" applyBorder="1" applyAlignment="1">
      <alignment horizontal="center" vertical="center"/>
    </xf>
    <xf numFmtId="9" fontId="73" fillId="0" borderId="326" xfId="14" applyFont="1" applyBorder="1" applyAlignment="1">
      <alignment horizontal="center" vertical="center"/>
    </xf>
    <xf numFmtId="0" fontId="73" fillId="0" borderId="51" xfId="0" applyFont="1" applyBorder="1" applyAlignment="1">
      <alignment horizontal="center" vertical="center"/>
    </xf>
    <xf numFmtId="0" fontId="73" fillId="0" borderId="64" xfId="0" applyFont="1" applyBorder="1" applyAlignment="1">
      <alignment horizontal="center" vertical="center"/>
    </xf>
    <xf numFmtId="0" fontId="73" fillId="0" borderId="332" xfId="0" applyFont="1" applyBorder="1" applyAlignment="1">
      <alignment horizontal="center" vertical="center"/>
    </xf>
    <xf numFmtId="14" fontId="77" fillId="0" borderId="246" xfId="10" applyNumberFormat="1" applyFont="1" applyBorder="1" applyAlignment="1">
      <alignment horizontal="center" vertical="center"/>
    </xf>
    <xf numFmtId="14" fontId="78" fillId="0" borderId="247" xfId="10" applyNumberFormat="1" applyFont="1" applyBorder="1" applyAlignment="1">
      <alignment horizontal="center" vertical="center"/>
    </xf>
    <xf numFmtId="10" fontId="77" fillId="0" borderId="248" xfId="10" applyNumberFormat="1" applyFont="1" applyBorder="1" applyAlignment="1">
      <alignment horizontal="center" vertical="center"/>
    </xf>
    <xf numFmtId="3" fontId="78" fillId="0" borderId="72" xfId="10" applyNumberFormat="1" applyFont="1" applyBorder="1" applyAlignment="1">
      <alignment horizontal="center" vertical="center"/>
    </xf>
    <xf numFmtId="14" fontId="77" fillId="0" borderId="343" xfId="10" applyNumberFormat="1" applyFont="1" applyBorder="1" applyAlignment="1">
      <alignment horizontal="center" vertical="center"/>
    </xf>
    <xf numFmtId="10" fontId="77" fillId="0" borderId="343" xfId="10" applyNumberFormat="1" applyFont="1" applyBorder="1" applyAlignment="1">
      <alignment horizontal="center" vertical="center"/>
    </xf>
    <xf numFmtId="14" fontId="77" fillId="0" borderId="72" xfId="10" applyNumberFormat="1" applyFont="1" applyBorder="1" applyAlignment="1">
      <alignment horizontal="center" vertical="center"/>
    </xf>
    <xf numFmtId="41" fontId="77" fillId="0" borderId="72" xfId="11" applyFont="1" applyFill="1" applyBorder="1" applyAlignment="1">
      <alignment horizontal="center" vertical="center"/>
    </xf>
    <xf numFmtId="41" fontId="77" fillId="0" borderId="344" xfId="11" applyFont="1" applyFill="1" applyBorder="1" applyAlignment="1">
      <alignment horizontal="center" vertical="center"/>
    </xf>
    <xf numFmtId="197" fontId="77" fillId="0" borderId="72" xfId="10" applyNumberFormat="1" applyFont="1" applyBorder="1" applyAlignment="1">
      <alignment horizontal="center" vertical="center"/>
    </xf>
    <xf numFmtId="14" fontId="77" fillId="10" borderId="338" xfId="10" applyNumberFormat="1" applyFont="1" applyFill="1" applyBorder="1" applyAlignment="1">
      <alignment horizontal="center" vertical="center"/>
    </xf>
    <xf numFmtId="14" fontId="77" fillId="10" borderId="247" xfId="10" applyNumberFormat="1" applyFont="1" applyFill="1" applyBorder="1" applyAlignment="1">
      <alignment horizontal="center" vertical="center"/>
    </xf>
    <xf numFmtId="3" fontId="78" fillId="10" borderId="72" xfId="10" applyNumberFormat="1" applyFont="1" applyFill="1" applyBorder="1" applyAlignment="1">
      <alignment horizontal="center" vertical="center"/>
    </xf>
    <xf numFmtId="14" fontId="77" fillId="10" borderId="72" xfId="10" applyNumberFormat="1" applyFont="1" applyFill="1" applyBorder="1" applyAlignment="1">
      <alignment horizontal="center" vertical="center"/>
    </xf>
    <xf numFmtId="197" fontId="77" fillId="10" borderId="72" xfId="10" applyNumberFormat="1" applyFont="1" applyFill="1" applyBorder="1" applyAlignment="1">
      <alignment horizontal="center" vertical="center"/>
    </xf>
    <xf numFmtId="10" fontId="77" fillId="10" borderId="72" xfId="10" applyNumberFormat="1" applyFont="1" applyFill="1" applyBorder="1" applyAlignment="1">
      <alignment horizontal="center" vertical="center"/>
    </xf>
    <xf numFmtId="41" fontId="77" fillId="10" borderId="228" xfId="11" applyFont="1" applyFill="1" applyBorder="1" applyAlignment="1">
      <alignment horizontal="center" vertical="center"/>
    </xf>
    <xf numFmtId="41" fontId="77" fillId="10" borderId="248" xfId="11" applyFont="1" applyFill="1" applyBorder="1" applyAlignment="1">
      <alignment horizontal="center" vertical="center"/>
    </xf>
    <xf numFmtId="41" fontId="77" fillId="10" borderId="204" xfId="11" applyFont="1" applyFill="1" applyBorder="1" applyAlignment="1">
      <alignment horizontal="center" vertical="center"/>
    </xf>
    <xf numFmtId="41" fontId="77" fillId="10" borderId="72" xfId="11" applyFont="1" applyFill="1" applyBorder="1" applyAlignment="1">
      <alignment horizontal="center" vertical="center"/>
    </xf>
    <xf numFmtId="41" fontId="77" fillId="10" borderId="344" xfId="11" applyFont="1" applyFill="1" applyBorder="1" applyAlignment="1">
      <alignment horizontal="center" vertical="center"/>
    </xf>
    <xf numFmtId="0" fontId="79" fillId="0" borderId="0" xfId="10" applyFont="1" applyAlignment="1">
      <alignment horizontal="center" vertical="center" wrapText="1" readingOrder="1"/>
    </xf>
    <xf numFmtId="0" fontId="79" fillId="0" borderId="21" xfId="10" applyFont="1" applyBorder="1" applyAlignment="1">
      <alignment horizontal="center" vertical="center" wrapText="1" readingOrder="1"/>
    </xf>
    <xf numFmtId="0" fontId="150" fillId="11" borderId="0" xfId="10" applyFont="1" applyFill="1" applyAlignment="1">
      <alignment horizontal="right"/>
    </xf>
    <xf numFmtId="0" fontId="63" fillId="11" borderId="0" xfId="10" applyFont="1" applyFill="1">
      <alignment vertical="center"/>
    </xf>
    <xf numFmtId="0" fontId="63" fillId="0" borderId="0" xfId="10" applyFont="1">
      <alignment vertical="center"/>
    </xf>
    <xf numFmtId="3" fontId="73" fillId="0" borderId="0" xfId="10" applyNumberFormat="1" applyFont="1">
      <alignment vertical="center"/>
    </xf>
    <xf numFmtId="38" fontId="73" fillId="0" borderId="0" xfId="2" applyFont="1" applyFill="1" applyBorder="1">
      <alignment vertical="center"/>
    </xf>
    <xf numFmtId="38" fontId="81" fillId="11" borderId="0" xfId="10" applyNumberFormat="1" applyFont="1" applyFill="1">
      <alignment vertical="center"/>
    </xf>
    <xf numFmtId="38" fontId="77" fillId="0" borderId="247" xfId="2" applyFont="1" applyFill="1" applyBorder="1" applyAlignment="1">
      <alignment horizontal="center" vertical="center"/>
    </xf>
    <xf numFmtId="38" fontId="77" fillId="0" borderId="248" xfId="2" applyFont="1" applyFill="1" applyBorder="1" applyAlignment="1">
      <alignment horizontal="center" vertical="center"/>
    </xf>
    <xf numFmtId="3" fontId="78" fillId="10" borderId="338" xfId="10" applyNumberFormat="1" applyFont="1" applyFill="1" applyBorder="1" applyAlignment="1">
      <alignment horizontal="center" vertical="center"/>
    </xf>
    <xf numFmtId="3" fontId="78" fillId="10" borderId="247" xfId="10" applyNumberFormat="1" applyFont="1" applyFill="1" applyBorder="1" applyAlignment="1">
      <alignment horizontal="center" vertical="center"/>
    </xf>
    <xf numFmtId="3" fontId="78" fillId="10" borderId="248" xfId="10" applyNumberFormat="1" applyFont="1" applyFill="1" applyBorder="1" applyAlignment="1">
      <alignment horizontal="center" vertical="center"/>
    </xf>
    <xf numFmtId="10" fontId="77" fillId="0" borderId="246" xfId="10" applyNumberFormat="1" applyFont="1" applyBorder="1" applyAlignment="1">
      <alignment horizontal="center" vertical="center"/>
    </xf>
    <xf numFmtId="197" fontId="77" fillId="0" borderId="247" xfId="10" applyNumberFormat="1" applyFont="1" applyBorder="1" applyAlignment="1">
      <alignment horizontal="center" vertical="center"/>
    </xf>
    <xf numFmtId="10" fontId="77" fillId="0" borderId="247" xfId="10" applyNumberFormat="1" applyFont="1" applyBorder="1" applyAlignment="1">
      <alignment horizontal="center" vertical="center"/>
    </xf>
    <xf numFmtId="41" fontId="77" fillId="0" borderId="247" xfId="11" applyFont="1" applyFill="1" applyBorder="1" applyAlignment="1">
      <alignment horizontal="center" vertical="center"/>
    </xf>
    <xf numFmtId="38" fontId="77" fillId="0" borderId="248" xfId="2" applyFont="1" applyBorder="1" applyAlignment="1">
      <alignment horizontal="center" vertical="center"/>
    </xf>
    <xf numFmtId="197" fontId="77" fillId="10" borderId="247" xfId="10" applyNumberFormat="1" applyFont="1" applyFill="1" applyBorder="1" applyAlignment="1">
      <alignment horizontal="center" vertical="center"/>
    </xf>
    <xf numFmtId="10" fontId="77" fillId="10" borderId="247" xfId="10" applyNumberFormat="1" applyFont="1" applyFill="1" applyBorder="1" applyAlignment="1">
      <alignment horizontal="center" vertical="center"/>
    </xf>
    <xf numFmtId="41" fontId="77" fillId="10" borderId="247" xfId="11" applyFont="1" applyFill="1" applyBorder="1" applyAlignment="1">
      <alignment horizontal="center" vertical="center"/>
    </xf>
    <xf numFmtId="10" fontId="77" fillId="10" borderId="248" xfId="10" applyNumberFormat="1" applyFont="1" applyFill="1" applyBorder="1" applyAlignment="1">
      <alignment horizontal="center" vertical="center"/>
    </xf>
    <xf numFmtId="197" fontId="77" fillId="10" borderId="248" xfId="10" applyNumberFormat="1" applyFont="1" applyFill="1" applyBorder="1" applyAlignment="1">
      <alignment horizontal="center" vertical="center"/>
    </xf>
    <xf numFmtId="38" fontId="77" fillId="10" borderId="72" xfId="2" applyFont="1" applyFill="1" applyBorder="1" applyAlignment="1">
      <alignment horizontal="center" vertical="center"/>
    </xf>
    <xf numFmtId="38" fontId="77" fillId="0" borderId="246" xfId="2" applyFont="1" applyBorder="1" applyAlignment="1">
      <alignment horizontal="center" vertical="center"/>
    </xf>
    <xf numFmtId="38" fontId="77" fillId="0" borderId="247" xfId="2" applyFont="1" applyBorder="1" applyAlignment="1">
      <alignment horizontal="center" vertical="center"/>
    </xf>
    <xf numFmtId="38" fontId="77" fillId="0" borderId="338" xfId="2" applyFont="1" applyBorder="1" applyAlignment="1">
      <alignment horizontal="center" vertical="center"/>
    </xf>
    <xf numFmtId="10" fontId="77" fillId="10" borderId="338" xfId="10" applyNumberFormat="1" applyFont="1" applyFill="1" applyBorder="1" applyAlignment="1">
      <alignment horizontal="center" vertical="center"/>
    </xf>
    <xf numFmtId="197" fontId="77" fillId="10" borderId="338" xfId="10" applyNumberFormat="1" applyFont="1" applyFill="1" applyBorder="1" applyAlignment="1">
      <alignment horizontal="center" vertical="center"/>
    </xf>
    <xf numFmtId="41" fontId="77" fillId="10" borderId="338" xfId="11" applyFont="1" applyFill="1" applyBorder="1" applyAlignment="1">
      <alignment horizontal="center" vertical="center"/>
    </xf>
    <xf numFmtId="10" fontId="77" fillId="0" borderId="338" xfId="10" applyNumberFormat="1" applyFont="1" applyBorder="1" applyAlignment="1">
      <alignment horizontal="center" vertical="center"/>
    </xf>
    <xf numFmtId="197" fontId="77" fillId="0" borderId="338" xfId="10" applyNumberFormat="1" applyFont="1" applyBorder="1" applyAlignment="1">
      <alignment horizontal="center" vertical="center"/>
    </xf>
    <xf numFmtId="38" fontId="77" fillId="0" borderId="338" xfId="2" applyFont="1" applyFill="1" applyBorder="1" applyAlignment="1">
      <alignment horizontal="center" vertical="center"/>
    </xf>
    <xf numFmtId="41" fontId="77" fillId="0" borderId="338" xfId="11" applyFont="1" applyFill="1" applyBorder="1" applyAlignment="1">
      <alignment horizontal="center" vertical="center"/>
    </xf>
    <xf numFmtId="3" fontId="78" fillId="0" borderId="343" xfId="10" applyNumberFormat="1" applyFont="1" applyBorder="1" applyAlignment="1">
      <alignment horizontal="center" vertical="center"/>
    </xf>
    <xf numFmtId="38" fontId="77" fillId="0" borderId="343" xfId="2" applyFont="1" applyBorder="1" applyAlignment="1">
      <alignment horizontal="center" vertical="center"/>
    </xf>
    <xf numFmtId="197" fontId="77" fillId="0" borderId="343" xfId="10" applyNumberFormat="1" applyFont="1" applyBorder="1" applyAlignment="1">
      <alignment horizontal="center" vertical="center"/>
    </xf>
    <xf numFmtId="38" fontId="77" fillId="0" borderId="343" xfId="2" applyFont="1" applyFill="1" applyBorder="1" applyAlignment="1">
      <alignment horizontal="center" vertical="center"/>
    </xf>
    <xf numFmtId="38" fontId="77" fillId="0" borderId="72" xfId="2" applyFont="1" applyFill="1" applyBorder="1" applyAlignment="1">
      <alignment horizontal="center" vertical="center"/>
    </xf>
    <xf numFmtId="3" fontId="78" fillId="0" borderId="338" xfId="10" applyNumberFormat="1" applyFont="1" applyBorder="1" applyAlignment="1">
      <alignment horizontal="center" vertical="center"/>
    </xf>
    <xf numFmtId="41" fontId="87" fillId="0" borderId="247" xfId="11" applyFont="1" applyFill="1" applyBorder="1" applyAlignment="1">
      <alignment horizontal="center" vertical="center"/>
    </xf>
    <xf numFmtId="10" fontId="81" fillId="11" borderId="0" xfId="14" applyNumberFormat="1" applyFont="1" applyFill="1">
      <alignment vertical="center"/>
    </xf>
    <xf numFmtId="38" fontId="81" fillId="11" borderId="0" xfId="2" applyFont="1" applyFill="1">
      <alignment vertical="center"/>
    </xf>
    <xf numFmtId="40" fontId="152" fillId="0" borderId="0" xfId="0" applyNumberFormat="1" applyFont="1">
      <alignment vertical="center"/>
    </xf>
    <xf numFmtId="0" fontId="79" fillId="22" borderId="50" xfId="10" applyFont="1" applyFill="1" applyBorder="1" applyAlignment="1">
      <alignment horizontal="center" vertical="center" wrapText="1" readingOrder="1"/>
    </xf>
    <xf numFmtId="0" fontId="79" fillId="22" borderId="22" xfId="10" applyFont="1" applyFill="1" applyBorder="1" applyAlignment="1">
      <alignment horizontal="center" vertical="center" wrapText="1" readingOrder="1"/>
    </xf>
    <xf numFmtId="0" fontId="46" fillId="12" borderId="21" xfId="0" applyFont="1" applyFill="1" applyBorder="1">
      <alignment vertical="center"/>
    </xf>
    <xf numFmtId="0" fontId="46" fillId="12" borderId="50" xfId="0" applyFont="1" applyFill="1" applyBorder="1">
      <alignment vertical="center"/>
    </xf>
    <xf numFmtId="0" fontId="79" fillId="0" borderId="347" xfId="10" applyFont="1" applyBorder="1" applyAlignment="1">
      <alignment vertical="center" readingOrder="1"/>
    </xf>
    <xf numFmtId="40" fontId="77" fillId="0" borderId="347" xfId="2" applyNumberFormat="1" applyFont="1" applyBorder="1" applyAlignment="1">
      <alignment vertical="center" wrapText="1" readingOrder="1"/>
    </xf>
    <xf numFmtId="40" fontId="77" fillId="0" borderId="347" xfId="2" applyNumberFormat="1" applyFont="1" applyBorder="1" applyAlignment="1">
      <alignment horizontal="center" vertical="center" readingOrder="1"/>
    </xf>
    <xf numFmtId="3" fontId="78" fillId="0" borderId="347" xfId="10" applyNumberFormat="1" applyFont="1" applyBorder="1" applyAlignment="1">
      <alignment horizontal="center" vertical="center"/>
    </xf>
    <xf numFmtId="0" fontId="79" fillId="0" borderId="342" xfId="10" applyFont="1" applyBorder="1" applyAlignment="1">
      <alignment vertical="center" readingOrder="1"/>
    </xf>
    <xf numFmtId="40" fontId="77" fillId="0" borderId="342" xfId="2" applyNumberFormat="1" applyFont="1" applyBorder="1" applyAlignment="1">
      <alignment vertical="center" readingOrder="1"/>
    </xf>
    <xf numFmtId="40" fontId="77" fillId="0" borderId="342" xfId="2" applyNumberFormat="1" applyFont="1" applyBorder="1" applyAlignment="1">
      <alignment horizontal="center" vertical="center" readingOrder="1"/>
    </xf>
    <xf numFmtId="3" fontId="78" fillId="0" borderId="342" xfId="10" applyNumberFormat="1" applyFont="1" applyBorder="1" applyAlignment="1">
      <alignment horizontal="center" vertical="center"/>
    </xf>
    <xf numFmtId="2" fontId="77" fillId="0" borderId="342" xfId="10" applyNumberFormat="1" applyFont="1" applyBorder="1" applyAlignment="1">
      <alignment horizontal="center" vertical="center" readingOrder="1"/>
    </xf>
    <xf numFmtId="40" fontId="77" fillId="0" borderId="342" xfId="2" applyNumberFormat="1" applyFont="1" applyBorder="1" applyAlignment="1">
      <alignment vertical="center" wrapText="1" readingOrder="1"/>
    </xf>
    <xf numFmtId="2" fontId="77" fillId="10" borderId="348" xfId="10" applyNumberFormat="1" applyFont="1" applyFill="1" applyBorder="1" applyAlignment="1">
      <alignment horizontal="center" vertical="center" wrapText="1" readingOrder="1"/>
    </xf>
    <xf numFmtId="40" fontId="77" fillId="10" borderId="348" xfId="2" applyNumberFormat="1" applyFont="1" applyFill="1" applyBorder="1" applyAlignment="1">
      <alignment horizontal="center" vertical="center" wrapText="1" readingOrder="1"/>
    </xf>
    <xf numFmtId="3" fontId="78" fillId="10" borderId="348" xfId="10" applyNumberFormat="1" applyFont="1" applyFill="1" applyBorder="1" applyAlignment="1">
      <alignment horizontal="center" vertical="center"/>
    </xf>
    <xf numFmtId="0" fontId="152" fillId="11" borderId="0" xfId="10" applyFont="1" applyFill="1">
      <alignment vertical="center"/>
    </xf>
    <xf numFmtId="9" fontId="79" fillId="22" borderId="87" xfId="10" applyNumberFormat="1" applyFont="1" applyFill="1" applyBorder="1" applyAlignment="1">
      <alignment horizontal="center" vertical="center" wrapText="1" readingOrder="1"/>
    </xf>
    <xf numFmtId="9" fontId="79" fillId="22" borderId="21" xfId="10" applyNumberFormat="1" applyFont="1" applyFill="1" applyBorder="1" applyAlignment="1">
      <alignment horizontal="center" vertical="center" wrapText="1" readingOrder="1"/>
    </xf>
    <xf numFmtId="0" fontId="43" fillId="11" borderId="0" xfId="0" applyFont="1" applyFill="1" applyAlignment="1">
      <alignment horizontal="center" vertical="center"/>
    </xf>
    <xf numFmtId="0" fontId="45" fillId="11" borderId="0" xfId="0" applyFont="1" applyFill="1" applyAlignment="1">
      <alignment horizontal="center" vertical="center"/>
    </xf>
    <xf numFmtId="41" fontId="46" fillId="11" borderId="0" xfId="0" applyNumberFormat="1" applyFont="1" applyFill="1">
      <alignment vertical="center"/>
    </xf>
    <xf numFmtId="38" fontId="46" fillId="11" borderId="0" xfId="2" applyFont="1" applyFill="1">
      <alignment vertical="center"/>
    </xf>
    <xf numFmtId="0" fontId="49" fillId="12" borderId="21" xfId="0" applyFont="1" applyFill="1" applyBorder="1">
      <alignment vertical="center"/>
    </xf>
    <xf numFmtId="0" fontId="49" fillId="12" borderId="49" xfId="0" applyFont="1" applyFill="1" applyBorder="1">
      <alignment vertical="center"/>
    </xf>
    <xf numFmtId="0" fontId="46" fillId="12" borderId="35" xfId="0" applyFont="1" applyFill="1" applyBorder="1">
      <alignment vertical="center"/>
    </xf>
    <xf numFmtId="0" fontId="49" fillId="12" borderId="35" xfId="0" applyFont="1" applyFill="1" applyBorder="1">
      <alignment vertical="center"/>
    </xf>
    <xf numFmtId="9" fontId="49" fillId="12" borderId="33" xfId="0" applyNumberFormat="1" applyFont="1" applyFill="1" applyBorder="1">
      <alignment vertical="center"/>
    </xf>
    <xf numFmtId="0" fontId="49" fillId="15" borderId="33" xfId="0" applyFont="1" applyFill="1" applyBorder="1">
      <alignment vertical="center"/>
    </xf>
    <xf numFmtId="0" fontId="42" fillId="15" borderId="33" xfId="0" applyFont="1" applyFill="1" applyBorder="1" applyAlignment="1">
      <alignment horizontal="center" vertical="center"/>
    </xf>
    <xf numFmtId="0" fontId="42" fillId="15" borderId="33" xfId="0" applyFont="1" applyFill="1" applyBorder="1" applyAlignment="1">
      <alignment horizontal="right" vertical="center"/>
    </xf>
    <xf numFmtId="4" fontId="46" fillId="12" borderId="63" xfId="0" applyNumberFormat="1" applyFont="1" applyFill="1" applyBorder="1" applyAlignment="1">
      <alignment horizontal="center" vertical="center"/>
    </xf>
    <xf numFmtId="0" fontId="42" fillId="12" borderId="63" xfId="0" applyFont="1" applyFill="1" applyBorder="1" applyAlignment="1">
      <alignment horizontal="right" vertical="center"/>
    </xf>
    <xf numFmtId="0" fontId="42" fillId="4" borderId="25" xfId="0" applyFont="1" applyFill="1" applyBorder="1">
      <alignment vertical="center"/>
    </xf>
    <xf numFmtId="0" fontId="42" fillId="4" borderId="17" xfId="0" applyFont="1" applyFill="1" applyBorder="1">
      <alignment vertical="center"/>
    </xf>
    <xf numFmtId="4" fontId="46" fillId="4" borderId="17" xfId="0" applyNumberFormat="1" applyFont="1" applyFill="1" applyBorder="1" applyAlignment="1">
      <alignment horizontal="center" vertical="center"/>
    </xf>
    <xf numFmtId="0" fontId="153" fillId="4" borderId="63" xfId="0" applyFont="1" applyFill="1" applyBorder="1" applyAlignment="1">
      <alignment vertical="center" wrapText="1"/>
    </xf>
    <xf numFmtId="0" fontId="153" fillId="4" borderId="0" xfId="0" applyFont="1" applyFill="1" applyAlignment="1">
      <alignment vertical="center" wrapText="1"/>
    </xf>
    <xf numFmtId="0" fontId="0" fillId="4" borderId="0" xfId="0" applyFill="1">
      <alignment vertical="center"/>
    </xf>
    <xf numFmtId="0" fontId="46" fillId="12" borderId="0" xfId="0" applyFont="1" applyFill="1">
      <alignment vertical="center"/>
    </xf>
    <xf numFmtId="0" fontId="46" fillId="12" borderId="49" xfId="0" applyFont="1" applyFill="1" applyBorder="1">
      <alignment vertical="center"/>
    </xf>
    <xf numFmtId="9" fontId="46" fillId="12" borderId="33" xfId="0" applyNumberFormat="1" applyFont="1" applyFill="1" applyBorder="1">
      <alignment vertical="center"/>
    </xf>
    <xf numFmtId="0" fontId="156" fillId="15" borderId="35" xfId="0" applyFont="1" applyFill="1" applyBorder="1">
      <alignment vertical="center"/>
    </xf>
    <xf numFmtId="0" fontId="156" fillId="15" borderId="33" xfId="0" applyFont="1" applyFill="1" applyBorder="1">
      <alignment vertical="center"/>
    </xf>
    <xf numFmtId="0" fontId="156" fillId="15" borderId="33" xfId="0" applyFont="1" applyFill="1" applyBorder="1" applyAlignment="1">
      <alignment horizontal="center" vertical="center"/>
    </xf>
    <xf numFmtId="0" fontId="153" fillId="0" borderId="0" xfId="0" applyFont="1" applyAlignment="1">
      <alignment horizontal="left" vertical="center" wrapText="1"/>
    </xf>
    <xf numFmtId="4" fontId="46" fillId="12" borderId="33" xfId="0" applyNumberFormat="1" applyFont="1" applyFill="1" applyBorder="1" applyAlignment="1">
      <alignment horizontal="center" vertical="center"/>
    </xf>
    <xf numFmtId="0" fontId="42" fillId="12" borderId="35" xfId="0" applyFont="1" applyFill="1" applyBorder="1">
      <alignment vertical="center"/>
    </xf>
    <xf numFmtId="0" fontId="46" fillId="12" borderId="72" xfId="0" applyFont="1" applyFill="1" applyBorder="1">
      <alignment vertical="center"/>
    </xf>
    <xf numFmtId="9" fontId="49" fillId="12" borderId="23" xfId="0" applyNumberFormat="1" applyFont="1" applyFill="1" applyBorder="1">
      <alignment vertical="center"/>
    </xf>
    <xf numFmtId="9" fontId="49" fillId="12" borderId="39" xfId="0" applyNumberFormat="1" applyFont="1" applyFill="1" applyBorder="1">
      <alignment vertical="center"/>
    </xf>
    <xf numFmtId="0" fontId="49" fillId="12" borderId="39" xfId="0" applyFont="1" applyFill="1" applyBorder="1">
      <alignment vertical="center"/>
    </xf>
    <xf numFmtId="9" fontId="49" fillId="12" borderId="24" xfId="0" applyNumberFormat="1" applyFont="1" applyFill="1" applyBorder="1">
      <alignment vertical="center"/>
    </xf>
    <xf numFmtId="9" fontId="46" fillId="12" borderId="35" xfId="0" applyNumberFormat="1" applyFont="1" applyFill="1" applyBorder="1">
      <alignment vertical="center"/>
    </xf>
    <xf numFmtId="0" fontId="42" fillId="18" borderId="33" xfId="0" applyFont="1" applyFill="1" applyBorder="1" applyAlignment="1">
      <alignment horizontal="center" vertical="center"/>
    </xf>
    <xf numFmtId="0" fontId="156" fillId="18" borderId="35" xfId="0" applyFont="1" applyFill="1" applyBorder="1">
      <alignment vertical="center"/>
    </xf>
    <xf numFmtId="0" fontId="156" fillId="18" borderId="33" xfId="0" applyFont="1" applyFill="1" applyBorder="1">
      <alignment vertical="center"/>
    </xf>
    <xf numFmtId="0" fontId="156" fillId="18" borderId="33" xfId="0" applyFont="1" applyFill="1" applyBorder="1" applyAlignment="1">
      <alignment horizontal="center" vertical="center"/>
    </xf>
    <xf numFmtId="0" fontId="153" fillId="0" borderId="0" xfId="0" applyFont="1" applyAlignment="1">
      <alignment vertical="center" wrapText="1"/>
    </xf>
    <xf numFmtId="0" fontId="42" fillId="12" borderId="33" xfId="0" applyFont="1" applyFill="1" applyBorder="1">
      <alignment vertical="center"/>
    </xf>
    <xf numFmtId="0" fontId="0" fillId="0" borderId="72" xfId="0" applyBorder="1">
      <alignment vertical="center"/>
    </xf>
    <xf numFmtId="0" fontId="0" fillId="0" borderId="72" xfId="0" applyBorder="1" applyAlignment="1">
      <alignment horizontal="center" vertical="center"/>
    </xf>
    <xf numFmtId="0" fontId="42" fillId="15" borderId="72" xfId="0" applyFont="1" applyFill="1" applyBorder="1">
      <alignment vertical="center"/>
    </xf>
    <xf numFmtId="0" fontId="42" fillId="15" borderId="72" xfId="0" applyFont="1" applyFill="1" applyBorder="1" applyAlignment="1">
      <alignment horizontal="center" vertical="center"/>
    </xf>
    <xf numFmtId="38" fontId="0" fillId="0" borderId="72" xfId="2" applyFont="1" applyBorder="1">
      <alignment vertical="center"/>
    </xf>
    <xf numFmtId="0" fontId="42" fillId="18" borderId="72" xfId="0" applyFont="1" applyFill="1" applyBorder="1" applyAlignment="1">
      <alignment horizontal="center" vertical="center"/>
    </xf>
    <xf numFmtId="41" fontId="157" fillId="0" borderId="72" xfId="0" applyNumberFormat="1" applyFont="1" applyBorder="1">
      <alignment vertical="center"/>
    </xf>
    <xf numFmtId="9" fontId="79" fillId="22" borderId="93" xfId="10" applyNumberFormat="1" applyFont="1" applyFill="1" applyBorder="1" applyAlignment="1">
      <alignment horizontal="center" vertical="center" wrapText="1" readingOrder="1"/>
    </xf>
    <xf numFmtId="9" fontId="79" fillId="22" borderId="35" xfId="10" applyNumberFormat="1" applyFont="1" applyFill="1" applyBorder="1" applyAlignment="1">
      <alignment horizontal="center" vertical="center" wrapText="1" readingOrder="1"/>
    </xf>
    <xf numFmtId="3" fontId="78" fillId="0" borderId="353" xfId="10" applyNumberFormat="1" applyFont="1" applyBorder="1" applyAlignment="1">
      <alignment horizontal="center" vertical="center"/>
    </xf>
    <xf numFmtId="1" fontId="77" fillId="10" borderId="348" xfId="10" applyNumberFormat="1" applyFont="1" applyFill="1" applyBorder="1" applyAlignment="1">
      <alignment horizontal="center" vertical="center" wrapText="1" readingOrder="1"/>
    </xf>
    <xf numFmtId="38" fontId="77" fillId="10" borderId="348" xfId="2" applyFont="1" applyFill="1" applyBorder="1" applyAlignment="1">
      <alignment horizontal="center" vertical="center" wrapText="1" readingOrder="1"/>
    </xf>
    <xf numFmtId="0" fontId="79" fillId="22" borderId="87" xfId="10" applyFont="1" applyFill="1" applyBorder="1" applyAlignment="1">
      <alignment horizontal="center" vertical="center" wrapText="1" readingOrder="1"/>
    </xf>
    <xf numFmtId="0" fontId="79" fillId="22" borderId="92" xfId="10" applyFont="1" applyFill="1" applyBorder="1" applyAlignment="1">
      <alignment horizontal="center" vertical="center" wrapText="1" readingOrder="1"/>
    </xf>
    <xf numFmtId="0" fontId="73" fillId="0" borderId="0" xfId="10" applyFont="1" applyAlignment="1">
      <alignment horizontal="right" vertical="center"/>
    </xf>
    <xf numFmtId="14" fontId="78" fillId="0" borderId="338" xfId="10" applyNumberFormat="1" applyFont="1" applyBorder="1" applyAlignment="1">
      <alignment horizontal="center" vertical="center"/>
    </xf>
    <xf numFmtId="0" fontId="73" fillId="0" borderId="354" xfId="10" applyFont="1" applyBorder="1">
      <alignment vertical="center"/>
    </xf>
    <xf numFmtId="2" fontId="73" fillId="0" borderId="0" xfId="10" applyNumberFormat="1" applyFont="1">
      <alignment vertical="center"/>
    </xf>
    <xf numFmtId="198" fontId="73" fillId="0" borderId="0" xfId="10" applyNumberFormat="1" applyFont="1">
      <alignment vertical="center"/>
    </xf>
    <xf numFmtId="0" fontId="158" fillId="0" borderId="0" xfId="0" applyFont="1">
      <alignment vertical="center"/>
    </xf>
    <xf numFmtId="0" fontId="158" fillId="0" borderId="0" xfId="0" applyFont="1" applyAlignment="1">
      <alignment horizontal="center" vertical="center"/>
    </xf>
    <xf numFmtId="0" fontId="158" fillId="0" borderId="0" xfId="0" applyFont="1" applyAlignment="1">
      <alignment horizontal="right" vertical="center"/>
    </xf>
    <xf numFmtId="0" fontId="158" fillId="10" borderId="348" xfId="0" applyFont="1" applyFill="1" applyBorder="1" applyAlignment="1">
      <alignment horizontal="center" vertical="center"/>
    </xf>
    <xf numFmtId="199" fontId="158" fillId="0" borderId="347" xfId="0" applyNumberFormat="1" applyFont="1" applyBorder="1">
      <alignment vertical="center"/>
    </xf>
    <xf numFmtId="40" fontId="158" fillId="0" borderId="347" xfId="0" applyNumberFormat="1" applyFont="1" applyBorder="1" applyAlignment="1">
      <alignment horizontal="center" vertical="center"/>
    </xf>
    <xf numFmtId="200" fontId="158" fillId="0" borderId="347" xfId="0" applyNumberFormat="1" applyFont="1" applyBorder="1" applyAlignment="1">
      <alignment horizontal="center" vertical="center"/>
    </xf>
    <xf numFmtId="38" fontId="158" fillId="0" borderId="347" xfId="0" applyNumberFormat="1" applyFont="1" applyBorder="1">
      <alignment vertical="center"/>
    </xf>
    <xf numFmtId="17" fontId="78" fillId="0" borderId="347" xfId="10" applyNumberFormat="1" applyFont="1" applyBorder="1" applyAlignment="1">
      <alignment horizontal="center" vertical="center"/>
    </xf>
    <xf numFmtId="3" fontId="158" fillId="0" borderId="347" xfId="0" applyNumberFormat="1" applyFont="1" applyBorder="1">
      <alignment vertical="center"/>
    </xf>
    <xf numFmtId="0" fontId="158" fillId="0" borderId="347" xfId="0" applyFont="1" applyBorder="1">
      <alignment vertical="center"/>
    </xf>
    <xf numFmtId="38" fontId="158" fillId="0" borderId="342" xfId="0" applyNumberFormat="1" applyFont="1" applyBorder="1">
      <alignment vertical="center"/>
    </xf>
    <xf numFmtId="0" fontId="158" fillId="0" borderId="347" xfId="0" applyFont="1" applyBorder="1" applyAlignment="1">
      <alignment horizontal="center" vertical="center"/>
    </xf>
    <xf numFmtId="38" fontId="158" fillId="0" borderId="0" xfId="0" applyNumberFormat="1" applyFont="1">
      <alignment vertical="center"/>
    </xf>
    <xf numFmtId="199" fontId="158" fillId="0" borderId="342" xfId="0" applyNumberFormat="1" applyFont="1" applyBorder="1">
      <alignment vertical="center"/>
    </xf>
    <xf numFmtId="2" fontId="158" fillId="0" borderId="342" xfId="0" applyNumberFormat="1" applyFont="1" applyBorder="1" applyAlignment="1">
      <alignment horizontal="center" vertical="center"/>
    </xf>
    <xf numFmtId="200" fontId="158" fillId="0" borderId="342" xfId="0" applyNumberFormat="1" applyFont="1" applyBorder="1" applyAlignment="1">
      <alignment horizontal="center" vertical="center"/>
    </xf>
    <xf numFmtId="17" fontId="158" fillId="0" borderId="342" xfId="0" applyNumberFormat="1" applyFont="1" applyBorder="1" applyAlignment="1">
      <alignment horizontal="center" vertical="center"/>
    </xf>
    <xf numFmtId="3" fontId="100" fillId="0" borderId="342" xfId="0" applyNumberFormat="1" applyFont="1" applyBorder="1">
      <alignment vertical="center"/>
    </xf>
    <xf numFmtId="0" fontId="158" fillId="0" borderId="342" xfId="0" applyFont="1" applyBorder="1">
      <alignment vertical="center"/>
    </xf>
    <xf numFmtId="0" fontId="158" fillId="0" borderId="342" xfId="0" applyFont="1" applyBorder="1" applyAlignment="1">
      <alignment horizontal="center" vertical="center"/>
    </xf>
    <xf numFmtId="38" fontId="158" fillId="0" borderId="342" xfId="0" applyNumberFormat="1" applyFont="1" applyBorder="1" applyAlignment="1">
      <alignment horizontal="center" vertical="center"/>
    </xf>
    <xf numFmtId="40" fontId="158" fillId="0" borderId="342" xfId="0" applyNumberFormat="1" applyFont="1" applyBorder="1" applyAlignment="1">
      <alignment horizontal="center" vertical="center"/>
    </xf>
    <xf numFmtId="38" fontId="100" fillId="0" borderId="342" xfId="0" applyNumberFormat="1" applyFont="1" applyBorder="1">
      <alignment vertical="center"/>
    </xf>
    <xf numFmtId="3" fontId="158" fillId="0" borderId="342" xfId="0" applyNumberFormat="1" applyFont="1" applyBorder="1">
      <alignment vertical="center"/>
    </xf>
    <xf numFmtId="14" fontId="158" fillId="0" borderId="342" xfId="0" applyNumberFormat="1" applyFont="1" applyBorder="1" applyAlignment="1">
      <alignment horizontal="center" vertical="center"/>
    </xf>
    <xf numFmtId="38" fontId="158" fillId="0" borderId="355" xfId="0" applyNumberFormat="1" applyFont="1" applyBorder="1">
      <alignment vertical="center"/>
    </xf>
    <xf numFmtId="17" fontId="158" fillId="0" borderId="355" xfId="0" applyNumberFormat="1" applyFont="1" applyBorder="1" applyAlignment="1">
      <alignment horizontal="center" vertical="center"/>
    </xf>
    <xf numFmtId="3" fontId="158" fillId="0" borderId="355" xfId="0" applyNumberFormat="1" applyFont="1" applyBorder="1">
      <alignment vertical="center"/>
    </xf>
    <xf numFmtId="14" fontId="158" fillId="0" borderId="355" xfId="0" applyNumberFormat="1" applyFont="1" applyBorder="1" applyAlignment="1">
      <alignment horizontal="center" vertical="center"/>
    </xf>
    <xf numFmtId="40" fontId="158" fillId="0" borderId="356" xfId="0" applyNumberFormat="1" applyFont="1" applyBorder="1" applyAlignment="1">
      <alignment horizontal="center" vertical="center"/>
    </xf>
    <xf numFmtId="200" fontId="160" fillId="0" borderId="355" xfId="0" applyNumberFormat="1" applyFont="1" applyBorder="1">
      <alignment vertical="center"/>
    </xf>
    <xf numFmtId="200" fontId="70" fillId="0" borderId="355" xfId="0" applyNumberFormat="1" applyFont="1" applyBorder="1">
      <alignment vertical="center"/>
    </xf>
    <xf numFmtId="38" fontId="160" fillId="0" borderId="348" xfId="0" applyNumberFormat="1" applyFont="1" applyBorder="1">
      <alignment vertical="center"/>
    </xf>
    <xf numFmtId="17" fontId="160" fillId="0" borderId="348" xfId="0" applyNumberFormat="1" applyFont="1" applyBorder="1" applyAlignment="1">
      <alignment horizontal="center" vertical="center"/>
    </xf>
    <xf numFmtId="0" fontId="160" fillId="0" borderId="348" xfId="0" applyFont="1" applyBorder="1" applyAlignment="1">
      <alignment horizontal="center" vertical="center"/>
    </xf>
    <xf numFmtId="0" fontId="148" fillId="0" borderId="0" xfId="10" applyFont="1">
      <alignment vertical="center"/>
    </xf>
    <xf numFmtId="38" fontId="73" fillId="0" borderId="0" xfId="10" applyNumberFormat="1" applyFont="1">
      <alignment vertical="center"/>
    </xf>
    <xf numFmtId="38" fontId="148" fillId="0" borderId="0" xfId="2" applyFont="1">
      <alignment vertical="center"/>
    </xf>
    <xf numFmtId="0" fontId="158" fillId="0" borderId="0" xfId="15" applyNumberFormat="1" applyFont="1" applyFill="1" applyBorder="1" applyAlignment="1">
      <alignment vertical="center"/>
    </xf>
    <xf numFmtId="0" fontId="158" fillId="0" borderId="0" xfId="15" applyNumberFormat="1" applyFont="1" applyFill="1" applyBorder="1" applyAlignment="1">
      <alignment horizontal="center" vertical="center"/>
    </xf>
    <xf numFmtId="0" fontId="158" fillId="0" borderId="0" xfId="15" applyNumberFormat="1" applyFont="1" applyFill="1" applyBorder="1" applyAlignment="1">
      <alignment horizontal="right" vertical="center"/>
    </xf>
    <xf numFmtId="0" fontId="158" fillId="10" borderId="348" xfId="15" applyNumberFormat="1" applyFont="1" applyFill="1" applyBorder="1" applyAlignment="1">
      <alignment horizontal="center" vertical="center"/>
    </xf>
    <xf numFmtId="199" fontId="158" fillId="0" borderId="347" xfId="15" applyNumberFormat="1" applyFont="1" applyFill="1" applyBorder="1" applyAlignment="1">
      <alignment vertical="center"/>
    </xf>
    <xf numFmtId="40" fontId="158" fillId="0" borderId="347" xfId="15" applyNumberFormat="1" applyFont="1" applyFill="1" applyBorder="1" applyAlignment="1">
      <alignment horizontal="center" vertical="center"/>
    </xf>
    <xf numFmtId="200" fontId="158" fillId="0" borderId="347" xfId="15" applyNumberFormat="1" applyFont="1" applyFill="1" applyBorder="1" applyAlignment="1">
      <alignment horizontal="center" vertical="center"/>
    </xf>
    <xf numFmtId="38" fontId="158" fillId="0" borderId="347" xfId="15" applyNumberFormat="1" applyFont="1" applyFill="1" applyBorder="1" applyAlignment="1">
      <alignment vertical="center"/>
    </xf>
    <xf numFmtId="17" fontId="78" fillId="0" borderId="347" xfId="16" applyNumberFormat="1" applyFont="1" applyBorder="1" applyAlignment="1">
      <alignment horizontal="center" vertical="center"/>
    </xf>
    <xf numFmtId="38" fontId="158" fillId="0" borderId="342" xfId="15" applyNumberFormat="1" applyFont="1" applyFill="1" applyBorder="1" applyAlignment="1">
      <alignment vertical="center"/>
    </xf>
    <xf numFmtId="0" fontId="158" fillId="0" borderId="347" xfId="15" applyNumberFormat="1" applyFont="1" applyFill="1" applyBorder="1" applyAlignment="1">
      <alignment vertical="center"/>
    </xf>
    <xf numFmtId="0" fontId="158" fillId="0" borderId="347" xfId="15" applyNumberFormat="1" applyFont="1" applyFill="1" applyBorder="1" applyAlignment="1">
      <alignment horizontal="center" vertical="center"/>
    </xf>
    <xf numFmtId="38" fontId="158" fillId="0" borderId="347" xfId="15" applyNumberFormat="1" applyFont="1" applyFill="1" applyBorder="1" applyAlignment="1">
      <alignment horizontal="center" vertical="center"/>
    </xf>
    <xf numFmtId="38" fontId="158" fillId="0" borderId="0" xfId="15" applyNumberFormat="1" applyFont="1" applyFill="1" applyBorder="1" applyAlignment="1">
      <alignment vertical="center"/>
    </xf>
    <xf numFmtId="199" fontId="158" fillId="0" borderId="342" xfId="15" applyNumberFormat="1" applyFont="1" applyFill="1" applyBorder="1" applyAlignment="1">
      <alignment vertical="center"/>
    </xf>
    <xf numFmtId="2" fontId="158" fillId="0" borderId="342" xfId="15" applyNumberFormat="1" applyFont="1" applyFill="1" applyBorder="1" applyAlignment="1">
      <alignment horizontal="center" vertical="center"/>
    </xf>
    <xf numFmtId="200" fontId="158" fillId="0" borderId="342" xfId="15" applyNumberFormat="1" applyFont="1" applyFill="1" applyBorder="1" applyAlignment="1">
      <alignment horizontal="center" vertical="center"/>
    </xf>
    <xf numFmtId="17" fontId="158" fillId="0" borderId="342" xfId="15" applyNumberFormat="1" applyFont="1" applyFill="1" applyBorder="1" applyAlignment="1">
      <alignment horizontal="center" vertical="center"/>
    </xf>
    <xf numFmtId="0" fontId="158" fillId="0" borderId="342" xfId="15" applyNumberFormat="1" applyFont="1" applyFill="1" applyBorder="1" applyAlignment="1">
      <alignment vertical="center"/>
    </xf>
    <xf numFmtId="0" fontId="158" fillId="0" borderId="342" xfId="15" applyNumberFormat="1" applyFont="1" applyFill="1" applyBorder="1" applyAlignment="1">
      <alignment horizontal="center" vertical="center"/>
    </xf>
    <xf numFmtId="40" fontId="158" fillId="0" borderId="342" xfId="15" applyNumberFormat="1" applyFont="1" applyFill="1" applyBorder="1" applyAlignment="1">
      <alignment horizontal="center" vertical="center"/>
    </xf>
    <xf numFmtId="3" fontId="158" fillId="0" borderId="342" xfId="15" applyNumberFormat="1" applyFont="1" applyFill="1" applyBorder="1" applyAlignment="1">
      <alignment vertical="center"/>
    </xf>
    <xf numFmtId="14" fontId="158" fillId="0" borderId="342" xfId="15" applyNumberFormat="1" applyFont="1" applyFill="1" applyBorder="1" applyAlignment="1">
      <alignment horizontal="center" vertical="center"/>
    </xf>
    <xf numFmtId="38" fontId="158" fillId="0" borderId="355" xfId="15" applyNumberFormat="1" applyFont="1" applyFill="1" applyBorder="1" applyAlignment="1">
      <alignment vertical="center"/>
    </xf>
    <xf numFmtId="17" fontId="158" fillId="0" borderId="355" xfId="15" applyNumberFormat="1" applyFont="1" applyFill="1" applyBorder="1" applyAlignment="1">
      <alignment horizontal="center" vertical="center"/>
    </xf>
    <xf numFmtId="3" fontId="158" fillId="0" borderId="355" xfId="15" applyNumberFormat="1" applyFont="1" applyFill="1" applyBorder="1" applyAlignment="1">
      <alignment vertical="center"/>
    </xf>
    <xf numFmtId="14" fontId="158" fillId="0" borderId="355" xfId="15" applyNumberFormat="1" applyFont="1" applyFill="1" applyBorder="1" applyAlignment="1">
      <alignment horizontal="center" vertical="center"/>
    </xf>
    <xf numFmtId="40" fontId="158" fillId="0" borderId="356" xfId="15" applyNumberFormat="1" applyFont="1" applyFill="1" applyBorder="1" applyAlignment="1">
      <alignment horizontal="center" vertical="center"/>
    </xf>
    <xf numFmtId="200" fontId="160" fillId="0" borderId="355" xfId="15" applyNumberFormat="1" applyFont="1" applyFill="1" applyBorder="1" applyAlignment="1">
      <alignment vertical="center"/>
    </xf>
    <xf numFmtId="200" fontId="70" fillId="0" borderId="355" xfId="15" applyNumberFormat="1" applyFont="1" applyFill="1" applyBorder="1" applyAlignment="1">
      <alignment vertical="center"/>
    </xf>
    <xf numFmtId="38" fontId="160" fillId="0" borderId="348" xfId="15" applyNumberFormat="1" applyFont="1" applyFill="1" applyBorder="1" applyAlignment="1">
      <alignment vertical="center"/>
    </xf>
    <xf numFmtId="17" fontId="160" fillId="0" borderId="348" xfId="15" applyNumberFormat="1" applyFont="1" applyFill="1" applyBorder="1" applyAlignment="1">
      <alignment horizontal="center" vertical="center"/>
    </xf>
    <xf numFmtId="0" fontId="160" fillId="0" borderId="348" xfId="15" applyNumberFormat="1" applyFont="1" applyFill="1" applyBorder="1" applyAlignment="1">
      <alignment horizontal="center" vertical="center"/>
    </xf>
    <xf numFmtId="199" fontId="158" fillId="0" borderId="353" xfId="17" applyNumberFormat="1" applyFont="1" applyFill="1" applyBorder="1" applyAlignment="1">
      <alignment vertical="center"/>
    </xf>
    <xf numFmtId="38" fontId="158" fillId="0" borderId="353" xfId="15" applyNumberFormat="1" applyFont="1" applyFill="1" applyBorder="1" applyAlignment="1">
      <alignment vertical="center"/>
    </xf>
    <xf numFmtId="17" fontId="158" fillId="0" borderId="353" xfId="15" applyNumberFormat="1" applyFont="1" applyFill="1" applyBorder="1" applyAlignment="1">
      <alignment horizontal="center" vertical="center"/>
    </xf>
    <xf numFmtId="3" fontId="158" fillId="0" borderId="353" xfId="15" applyNumberFormat="1" applyFont="1" applyFill="1" applyBorder="1" applyAlignment="1">
      <alignment vertical="center"/>
    </xf>
    <xf numFmtId="0" fontId="158" fillId="0" borderId="353" xfId="15" applyNumberFormat="1" applyFont="1" applyFill="1" applyBorder="1" applyAlignment="1">
      <alignment vertical="center"/>
    </xf>
    <xf numFmtId="0" fontId="158" fillId="0" borderId="353" xfId="15" applyNumberFormat="1" applyFont="1" applyFill="1" applyBorder="1" applyAlignment="1">
      <alignment horizontal="center" vertical="center"/>
    </xf>
    <xf numFmtId="0" fontId="158" fillId="0" borderId="355" xfId="15" applyNumberFormat="1" applyFont="1" applyFill="1" applyBorder="1" applyAlignment="1">
      <alignment horizontal="center" vertical="center"/>
    </xf>
    <xf numFmtId="200" fontId="158" fillId="0" borderId="358" xfId="15" applyNumberFormat="1" applyFont="1" applyFill="1" applyBorder="1" applyAlignment="1">
      <alignment horizontal="center" vertical="center"/>
    </xf>
    <xf numFmtId="3" fontId="160" fillId="0" borderId="342" xfId="15" applyNumberFormat="1" applyFont="1" applyFill="1" applyBorder="1" applyAlignment="1">
      <alignment vertical="center"/>
    </xf>
    <xf numFmtId="200" fontId="160" fillId="0" borderId="72" xfId="15" applyNumberFormat="1" applyFont="1" applyFill="1" applyBorder="1" applyAlignment="1">
      <alignment vertical="center"/>
    </xf>
    <xf numFmtId="38" fontId="160" fillId="0" borderId="72" xfId="15" applyNumberFormat="1" applyFont="1" applyFill="1" applyBorder="1" applyAlignment="1">
      <alignment vertical="center"/>
    </xf>
    <xf numFmtId="0" fontId="160" fillId="0" borderId="35" xfId="15" applyNumberFormat="1" applyFont="1" applyFill="1" applyBorder="1" applyAlignment="1">
      <alignment horizontal="center" vertical="center"/>
    </xf>
    <xf numFmtId="38" fontId="160" fillId="26" borderId="35" xfId="15" applyNumberFormat="1" applyFont="1" applyFill="1" applyBorder="1" applyAlignment="1">
      <alignment vertical="center"/>
    </xf>
    <xf numFmtId="0" fontId="160" fillId="26" borderId="35" xfId="15" applyNumberFormat="1" applyFont="1" applyFill="1" applyBorder="1" applyAlignment="1">
      <alignment horizontal="center" vertical="center"/>
    </xf>
    <xf numFmtId="3" fontId="158" fillId="0" borderId="0" xfId="15" applyNumberFormat="1" applyFont="1" applyFill="1" applyBorder="1" applyAlignment="1">
      <alignment vertical="center"/>
    </xf>
    <xf numFmtId="200" fontId="158" fillId="0" borderId="0" xfId="15" applyNumberFormat="1" applyFont="1" applyFill="1" applyBorder="1" applyAlignment="1">
      <alignment vertical="center"/>
    </xf>
    <xf numFmtId="0" fontId="158" fillId="10" borderId="350" xfId="15" applyNumberFormat="1" applyFont="1" applyFill="1" applyBorder="1" applyAlignment="1">
      <alignment horizontal="center" vertical="center"/>
    </xf>
    <xf numFmtId="40" fontId="158" fillId="0" borderId="0" xfId="15" applyNumberFormat="1" applyFont="1" applyFill="1" applyBorder="1" applyAlignment="1">
      <alignment vertical="center"/>
    </xf>
    <xf numFmtId="0" fontId="73" fillId="4" borderId="0" xfId="16" applyFont="1" applyFill="1">
      <alignment vertical="center"/>
    </xf>
    <xf numFmtId="38" fontId="77" fillId="0" borderId="35" xfId="2" applyFont="1" applyBorder="1" applyAlignment="1">
      <alignment horizontal="center" vertical="center"/>
    </xf>
    <xf numFmtId="9" fontId="73" fillId="0" borderId="35" xfId="14" applyFont="1" applyBorder="1" applyAlignment="1">
      <alignment horizontal="center" vertical="center"/>
    </xf>
    <xf numFmtId="9" fontId="73" fillId="0" borderId="93" xfId="10" applyNumberFormat="1" applyFont="1" applyBorder="1" applyAlignment="1">
      <alignment horizontal="center" vertical="center"/>
    </xf>
    <xf numFmtId="9" fontId="73" fillId="0" borderId="171" xfId="10" applyNumberFormat="1" applyFont="1" applyBorder="1" applyAlignment="1">
      <alignment horizontal="center" vertical="center"/>
    </xf>
    <xf numFmtId="9" fontId="0" fillId="0" borderId="0" xfId="0" applyNumberFormat="1">
      <alignment vertical="center"/>
    </xf>
    <xf numFmtId="200" fontId="160" fillId="0" borderId="347" xfId="15" applyNumberFormat="1" applyFont="1" applyFill="1" applyBorder="1" applyAlignment="1">
      <alignment vertical="center"/>
    </xf>
    <xf numFmtId="200" fontId="70" fillId="0" borderId="347" xfId="15" applyNumberFormat="1" applyFont="1" applyFill="1" applyBorder="1" applyAlignment="1">
      <alignment vertical="center"/>
    </xf>
    <xf numFmtId="38" fontId="160" fillId="26" borderId="348" xfId="15" applyNumberFormat="1" applyFont="1" applyFill="1" applyBorder="1" applyAlignment="1">
      <alignment vertical="center"/>
    </xf>
    <xf numFmtId="0" fontId="160" fillId="0" borderId="347" xfId="15" applyNumberFormat="1" applyFont="1" applyFill="1" applyBorder="1" applyAlignment="1">
      <alignment horizontal="center" vertical="center"/>
    </xf>
    <xf numFmtId="0" fontId="160" fillId="26" borderId="348" xfId="15" applyNumberFormat="1" applyFont="1" applyFill="1" applyBorder="1" applyAlignment="1">
      <alignment horizontal="center" vertical="center"/>
    </xf>
    <xf numFmtId="38" fontId="158" fillId="0" borderId="342" xfId="15" applyNumberFormat="1" applyFont="1" applyFill="1" applyBorder="1" applyAlignment="1">
      <alignment horizontal="center" vertical="center"/>
    </xf>
    <xf numFmtId="10" fontId="77" fillId="8" borderId="247" xfId="10" applyNumberFormat="1" applyFont="1" applyFill="1" applyBorder="1" applyAlignment="1">
      <alignment horizontal="center" vertical="center"/>
    </xf>
    <xf numFmtId="3" fontId="78" fillId="8" borderId="247" xfId="10" applyNumberFormat="1" applyFont="1" applyFill="1" applyBorder="1" applyAlignment="1">
      <alignment horizontal="center" vertical="center"/>
    </xf>
    <xf numFmtId="38" fontId="77" fillId="8" borderId="247" xfId="2" applyFont="1" applyFill="1" applyBorder="1" applyAlignment="1">
      <alignment horizontal="center" vertical="center"/>
    </xf>
    <xf numFmtId="14" fontId="78" fillId="8" borderId="247" xfId="10" applyNumberFormat="1" applyFont="1" applyFill="1" applyBorder="1" applyAlignment="1">
      <alignment horizontal="center" vertical="center"/>
    </xf>
    <xf numFmtId="197" fontId="77" fillId="8" borderId="247" xfId="10" applyNumberFormat="1" applyFont="1" applyFill="1" applyBorder="1" applyAlignment="1">
      <alignment horizontal="center" vertical="center"/>
    </xf>
    <xf numFmtId="41" fontId="77" fillId="8" borderId="247" xfId="11" applyFont="1" applyFill="1" applyBorder="1" applyAlignment="1">
      <alignment horizontal="center" vertical="center"/>
    </xf>
    <xf numFmtId="38" fontId="77" fillId="8" borderId="338" xfId="2" applyFont="1" applyFill="1" applyBorder="1" applyAlignment="1">
      <alignment horizontal="center" vertical="center"/>
    </xf>
    <xf numFmtId="41" fontId="87" fillId="8" borderId="247" xfId="11" applyFont="1" applyFill="1" applyBorder="1" applyAlignment="1">
      <alignment horizontal="center" vertical="center"/>
    </xf>
    <xf numFmtId="14" fontId="77" fillId="8" borderId="247" xfId="10" applyNumberFormat="1" applyFont="1" applyFill="1" applyBorder="1" applyAlignment="1">
      <alignment horizontal="center" vertical="center"/>
    </xf>
    <xf numFmtId="38" fontId="158" fillId="0" borderId="361" xfId="15" applyNumberFormat="1" applyFont="1" applyFill="1" applyBorder="1" applyAlignment="1">
      <alignment vertical="center"/>
    </xf>
    <xf numFmtId="200" fontId="70" fillId="0" borderId="357" xfId="15" applyNumberFormat="1" applyFont="1" applyFill="1" applyBorder="1" applyAlignment="1">
      <alignment vertical="center"/>
    </xf>
    <xf numFmtId="38" fontId="160" fillId="0" borderId="349" xfId="15" applyNumberFormat="1" applyFont="1" applyFill="1" applyBorder="1" applyAlignment="1">
      <alignment vertical="center"/>
    </xf>
    <xf numFmtId="38" fontId="160" fillId="26" borderId="349" xfId="15" applyNumberFormat="1" applyFont="1" applyFill="1" applyBorder="1" applyAlignment="1">
      <alignment vertical="center"/>
    </xf>
    <xf numFmtId="17" fontId="78" fillId="0" borderId="359" xfId="16" applyNumberFormat="1" applyFont="1" applyBorder="1" applyAlignment="1">
      <alignment horizontal="center" vertical="center"/>
    </xf>
    <xf numFmtId="17" fontId="158" fillId="0" borderId="358" xfId="15" applyNumberFormat="1" applyFont="1" applyFill="1" applyBorder="1" applyAlignment="1">
      <alignment horizontal="center" vertical="center"/>
    </xf>
    <xf numFmtId="17" fontId="158" fillId="0" borderId="356" xfId="15" applyNumberFormat="1" applyFont="1" applyFill="1" applyBorder="1" applyAlignment="1">
      <alignment horizontal="center" vertical="center"/>
    </xf>
    <xf numFmtId="17" fontId="160" fillId="0" borderId="350" xfId="15" applyNumberFormat="1" applyFont="1" applyFill="1" applyBorder="1" applyAlignment="1">
      <alignment horizontal="center" vertical="center"/>
    </xf>
    <xf numFmtId="200" fontId="160" fillId="0" borderId="359" xfId="15" applyNumberFormat="1" applyFont="1" applyFill="1" applyBorder="1" applyAlignment="1">
      <alignment vertical="center"/>
    </xf>
    <xf numFmtId="38" fontId="160" fillId="26" borderId="350" xfId="15" applyNumberFormat="1" applyFont="1" applyFill="1" applyBorder="1" applyAlignment="1">
      <alignment vertical="center"/>
    </xf>
    <xf numFmtId="0" fontId="158" fillId="10" borderId="364" xfId="15" applyNumberFormat="1" applyFont="1" applyFill="1" applyBorder="1" applyAlignment="1">
      <alignment horizontal="center" vertical="center"/>
    </xf>
    <xf numFmtId="0" fontId="158" fillId="10" borderId="365" xfId="15" applyNumberFormat="1" applyFont="1" applyFill="1" applyBorder="1" applyAlignment="1">
      <alignment horizontal="center" vertical="center"/>
    </xf>
    <xf numFmtId="17" fontId="78" fillId="0" borderId="366" xfId="16" applyNumberFormat="1" applyFont="1" applyBorder="1" applyAlignment="1">
      <alignment horizontal="center" vertical="center"/>
    </xf>
    <xf numFmtId="38" fontId="158" fillId="0" borderId="367" xfId="15" applyNumberFormat="1" applyFont="1" applyFill="1" applyBorder="1" applyAlignment="1">
      <alignment vertical="center"/>
    </xf>
    <xf numFmtId="17" fontId="158" fillId="0" borderId="368" xfId="15" applyNumberFormat="1" applyFont="1" applyFill="1" applyBorder="1" applyAlignment="1">
      <alignment horizontal="center" vertical="center"/>
    </xf>
    <xf numFmtId="38" fontId="158" fillId="0" borderId="369" xfId="15" applyNumberFormat="1" applyFont="1" applyFill="1" applyBorder="1" applyAlignment="1">
      <alignment vertical="center"/>
    </xf>
    <xf numFmtId="3" fontId="158" fillId="0" borderId="369" xfId="15" applyNumberFormat="1" applyFont="1" applyFill="1" applyBorder="1" applyAlignment="1">
      <alignment vertical="center"/>
    </xf>
    <xf numFmtId="17" fontId="158" fillId="0" borderId="370" xfId="15" applyNumberFormat="1" applyFont="1" applyFill="1" applyBorder="1" applyAlignment="1">
      <alignment horizontal="center" vertical="center"/>
    </xf>
    <xf numFmtId="200" fontId="70" fillId="0" borderId="371" xfId="15" applyNumberFormat="1" applyFont="1" applyFill="1" applyBorder="1" applyAlignment="1">
      <alignment vertical="center"/>
    </xf>
    <xf numFmtId="17" fontId="160" fillId="0" borderId="364" xfId="15" applyNumberFormat="1" applyFont="1" applyFill="1" applyBorder="1" applyAlignment="1">
      <alignment horizontal="center" vertical="center"/>
    </xf>
    <xf numFmtId="38" fontId="160" fillId="0" borderId="365" xfId="15" applyNumberFormat="1" applyFont="1" applyFill="1" applyBorder="1" applyAlignment="1">
      <alignment vertical="center"/>
    </xf>
    <xf numFmtId="200" fontId="160" fillId="0" borderId="366" xfId="15" applyNumberFormat="1" applyFont="1" applyFill="1" applyBorder="1" applyAlignment="1">
      <alignment vertical="center"/>
    </xf>
    <xf numFmtId="200" fontId="70" fillId="0" borderId="367" xfId="15" applyNumberFormat="1" applyFont="1" applyFill="1" applyBorder="1" applyAlignment="1">
      <alignment vertical="center"/>
    </xf>
    <xf numFmtId="38" fontId="160" fillId="26" borderId="372" xfId="15" applyNumberFormat="1" applyFont="1" applyFill="1" applyBorder="1" applyAlignment="1">
      <alignment vertical="center"/>
    </xf>
    <xf numFmtId="38" fontId="160" fillId="26" borderId="373" xfId="15" applyNumberFormat="1" applyFont="1" applyFill="1" applyBorder="1" applyAlignment="1">
      <alignment vertical="center"/>
    </xf>
    <xf numFmtId="0" fontId="70" fillId="0" borderId="0" xfId="15" applyNumberFormat="1" applyFont="1" applyFill="1" applyBorder="1" applyAlignment="1">
      <alignment horizontal="right" vertical="center"/>
    </xf>
    <xf numFmtId="38" fontId="2" fillId="4" borderId="0" xfId="2" applyFont="1" applyFill="1">
      <alignment vertical="center"/>
    </xf>
    <xf numFmtId="38" fontId="2" fillId="0" borderId="0" xfId="2" applyFont="1">
      <alignment vertical="center"/>
    </xf>
    <xf numFmtId="38" fontId="73" fillId="4" borderId="0" xfId="2" applyFont="1" applyFill="1">
      <alignment vertical="center"/>
    </xf>
    <xf numFmtId="38" fontId="73" fillId="4" borderId="0" xfId="10" applyNumberFormat="1" applyFont="1" applyFill="1">
      <alignment vertical="center"/>
    </xf>
    <xf numFmtId="0" fontId="159" fillId="0" borderId="0" xfId="15" applyNumberFormat="1" applyFont="1" applyFill="1" applyBorder="1" applyAlignment="1">
      <alignment vertical="center"/>
    </xf>
    <xf numFmtId="38" fontId="158" fillId="0" borderId="0" xfId="2" applyFont="1" applyFill="1" applyBorder="1" applyAlignment="1">
      <alignment vertical="center"/>
    </xf>
    <xf numFmtId="187" fontId="78" fillId="0" borderId="247" xfId="2" applyNumberFormat="1" applyFont="1" applyBorder="1" applyAlignment="1">
      <alignment horizontal="center" vertical="center"/>
    </xf>
    <xf numFmtId="0" fontId="163" fillId="0" borderId="0" xfId="10" applyFont="1">
      <alignment vertical="center"/>
    </xf>
    <xf numFmtId="0" fontId="164" fillId="0" borderId="0" xfId="10" applyFont="1">
      <alignment vertical="center"/>
    </xf>
    <xf numFmtId="0" fontId="73" fillId="0" borderId="72" xfId="0" applyFont="1" applyBorder="1" applyAlignment="1">
      <alignment horizontal="center" vertical="center"/>
    </xf>
    <xf numFmtId="38" fontId="73" fillId="0" borderId="72" xfId="2" applyFont="1" applyBorder="1">
      <alignment vertical="center"/>
    </xf>
    <xf numFmtId="0" fontId="148" fillId="10" borderId="72" xfId="0" applyFont="1" applyFill="1" applyBorder="1" applyAlignment="1">
      <alignment horizontal="center" vertical="center"/>
    </xf>
    <xf numFmtId="0" fontId="73" fillId="10" borderId="72" xfId="0" applyFont="1" applyFill="1" applyBorder="1" applyAlignment="1">
      <alignment horizontal="center" vertical="center"/>
    </xf>
    <xf numFmtId="38" fontId="73" fillId="10" borderId="72" xfId="2" applyFont="1" applyFill="1" applyBorder="1">
      <alignment vertical="center"/>
    </xf>
    <xf numFmtId="41" fontId="87" fillId="0" borderId="338" xfId="11" applyFont="1" applyFill="1" applyBorder="1" applyAlignment="1">
      <alignment horizontal="center" vertical="center"/>
    </xf>
    <xf numFmtId="14" fontId="78" fillId="8" borderId="248" xfId="10" applyNumberFormat="1" applyFont="1" applyFill="1" applyBorder="1" applyAlignment="1">
      <alignment horizontal="center" vertical="center"/>
    </xf>
    <xf numFmtId="14" fontId="77" fillId="0" borderId="248" xfId="10" applyNumberFormat="1" applyFont="1" applyBorder="1" applyAlignment="1">
      <alignment horizontal="center" vertical="center"/>
    </xf>
    <xf numFmtId="40" fontId="73" fillId="0" borderId="0" xfId="10" applyNumberFormat="1" applyFont="1">
      <alignment vertical="center"/>
    </xf>
    <xf numFmtId="200" fontId="160" fillId="26" borderId="347" xfId="15" applyNumberFormat="1" applyFont="1" applyFill="1" applyBorder="1" applyAlignment="1">
      <alignment vertical="center"/>
    </xf>
    <xf numFmtId="200" fontId="70" fillId="26" borderId="357" xfId="15" applyNumberFormat="1" applyFont="1" applyFill="1" applyBorder="1" applyAlignment="1">
      <alignment vertical="center"/>
    </xf>
    <xf numFmtId="200" fontId="160" fillId="26" borderId="366" xfId="15" applyNumberFormat="1" applyFont="1" applyFill="1" applyBorder="1" applyAlignment="1">
      <alignment vertical="center"/>
    </xf>
    <xf numFmtId="200" fontId="70" fillId="26" borderId="367" xfId="15" applyNumberFormat="1" applyFont="1" applyFill="1" applyBorder="1" applyAlignment="1">
      <alignment vertical="center"/>
    </xf>
    <xf numFmtId="200" fontId="160" fillId="26" borderId="359" xfId="15" applyNumberFormat="1" applyFont="1" applyFill="1" applyBorder="1" applyAlignment="1">
      <alignment vertical="center"/>
    </xf>
    <xf numFmtId="200" fontId="70" fillId="26" borderId="347" xfId="15" applyNumberFormat="1" applyFont="1" applyFill="1" applyBorder="1" applyAlignment="1">
      <alignment vertical="center"/>
    </xf>
    <xf numFmtId="0" fontId="165" fillId="0" borderId="0" xfId="15" applyNumberFormat="1" applyFont="1" applyFill="1" applyBorder="1" applyAlignment="1">
      <alignment vertical="center"/>
    </xf>
    <xf numFmtId="38" fontId="158" fillId="0" borderId="72" xfId="2" applyFont="1" applyFill="1" applyBorder="1" applyAlignment="1">
      <alignment vertical="center"/>
    </xf>
    <xf numFmtId="38" fontId="158" fillId="0" borderId="72" xfId="15" applyNumberFormat="1" applyFont="1" applyFill="1" applyBorder="1" applyAlignment="1">
      <alignment vertical="center"/>
    </xf>
    <xf numFmtId="38" fontId="160" fillId="0" borderId="72" xfId="2" applyFont="1" applyFill="1" applyBorder="1" applyAlignment="1">
      <alignment vertical="center"/>
    </xf>
    <xf numFmtId="0" fontId="158" fillId="26" borderId="72" xfId="15" applyNumberFormat="1" applyFont="1" applyFill="1" applyBorder="1" applyAlignment="1">
      <alignment horizontal="center" vertical="center"/>
    </xf>
    <xf numFmtId="202" fontId="158" fillId="0" borderId="72" xfId="2" applyNumberFormat="1" applyFont="1" applyFill="1" applyBorder="1" applyAlignment="1">
      <alignment vertical="center"/>
    </xf>
    <xf numFmtId="9" fontId="73" fillId="0" borderId="0" xfId="0" applyNumberFormat="1" applyFont="1">
      <alignment vertical="center"/>
    </xf>
    <xf numFmtId="0" fontId="148" fillId="0" borderId="0" xfId="0" applyFont="1">
      <alignment vertical="center"/>
    </xf>
    <xf numFmtId="199" fontId="158" fillId="0" borderId="353" xfId="0" applyNumberFormat="1" applyFont="1" applyBorder="1">
      <alignment vertical="center"/>
    </xf>
    <xf numFmtId="14" fontId="158" fillId="0" borderId="353" xfId="0" applyNumberFormat="1" applyFont="1" applyBorder="1" applyAlignment="1">
      <alignment horizontal="center" vertical="center"/>
    </xf>
    <xf numFmtId="0" fontId="158" fillId="0" borderId="22" xfId="0" applyFont="1" applyBorder="1">
      <alignment vertical="center"/>
    </xf>
    <xf numFmtId="0" fontId="158" fillId="0" borderId="87" xfId="0" applyFont="1" applyBorder="1">
      <alignment vertical="center"/>
    </xf>
    <xf numFmtId="40" fontId="158" fillId="0" borderId="87" xfId="0" applyNumberFormat="1" applyFont="1" applyBorder="1">
      <alignment vertical="center"/>
    </xf>
    <xf numFmtId="40" fontId="158" fillId="0" borderId="93" xfId="0" applyNumberFormat="1" applyFont="1" applyBorder="1">
      <alignment vertical="center"/>
    </xf>
    <xf numFmtId="199" fontId="158" fillId="0" borderId="348" xfId="0" applyNumberFormat="1" applyFont="1" applyBorder="1">
      <alignment vertical="center"/>
    </xf>
    <xf numFmtId="40" fontId="158" fillId="0" borderId="350" xfId="0" applyNumberFormat="1" applyFont="1" applyBorder="1" applyAlignment="1">
      <alignment horizontal="center" vertical="center"/>
    </xf>
    <xf numFmtId="200" fontId="158" fillId="0" borderId="348" xfId="0" applyNumberFormat="1" applyFont="1" applyBorder="1" applyAlignment="1">
      <alignment horizontal="center" vertical="center"/>
    </xf>
    <xf numFmtId="38" fontId="158" fillId="0" borderId="348" xfId="0" applyNumberFormat="1" applyFont="1" applyBorder="1">
      <alignment vertical="center"/>
    </xf>
    <xf numFmtId="17" fontId="158" fillId="0" borderId="348" xfId="0" applyNumberFormat="1" applyFont="1" applyBorder="1" applyAlignment="1">
      <alignment horizontal="center" vertical="center"/>
    </xf>
    <xf numFmtId="3" fontId="158" fillId="0" borderId="348" xfId="0" applyNumberFormat="1" applyFont="1" applyBorder="1">
      <alignment vertical="center"/>
    </xf>
    <xf numFmtId="38" fontId="158" fillId="0" borderId="347" xfId="0" applyNumberFormat="1" applyFont="1" applyBorder="1" applyAlignment="1">
      <alignment horizontal="center" vertical="center"/>
    </xf>
    <xf numFmtId="0" fontId="160" fillId="26" borderId="51" xfId="15" applyNumberFormat="1" applyFont="1" applyFill="1" applyBorder="1" applyAlignment="1">
      <alignment horizontal="center" vertical="center"/>
    </xf>
    <xf numFmtId="0" fontId="160" fillId="26" borderId="33" xfId="15" applyNumberFormat="1" applyFont="1" applyFill="1" applyBorder="1" applyAlignment="1">
      <alignment horizontal="center" vertical="center"/>
    </xf>
    <xf numFmtId="0" fontId="160" fillId="0" borderId="354" xfId="15" applyNumberFormat="1" applyFont="1" applyFill="1" applyBorder="1" applyAlignment="1">
      <alignment horizontal="center" vertical="center"/>
    </xf>
    <xf numFmtId="0" fontId="160" fillId="0" borderId="19" xfId="15" applyNumberFormat="1" applyFont="1" applyFill="1" applyBorder="1" applyAlignment="1">
      <alignment horizontal="center" vertical="center"/>
    </xf>
    <xf numFmtId="0" fontId="152" fillId="0" borderId="0" xfId="0" applyFont="1">
      <alignment vertical="center"/>
    </xf>
    <xf numFmtId="38" fontId="152" fillId="0" borderId="0" xfId="2" applyFont="1">
      <alignment vertical="center"/>
    </xf>
    <xf numFmtId="0" fontId="158" fillId="6" borderId="0" xfId="0" applyFont="1" applyFill="1">
      <alignment vertical="center"/>
    </xf>
    <xf numFmtId="200" fontId="160" fillId="0" borderId="357" xfId="0" applyNumberFormat="1" applyFont="1" applyBorder="1">
      <alignment vertical="center"/>
    </xf>
    <xf numFmtId="38" fontId="160" fillId="0" borderId="349" xfId="0" applyNumberFormat="1" applyFont="1" applyBorder="1">
      <alignment vertical="center"/>
    </xf>
    <xf numFmtId="0" fontId="158" fillId="10" borderId="350" xfId="0" applyFont="1" applyFill="1" applyBorder="1" applyAlignment="1">
      <alignment horizontal="center" vertical="center"/>
    </xf>
    <xf numFmtId="17" fontId="78" fillId="0" borderId="359" xfId="10" applyNumberFormat="1" applyFont="1" applyBorder="1" applyAlignment="1">
      <alignment horizontal="center" vertical="center"/>
    </xf>
    <xf numFmtId="17" fontId="158" fillId="0" borderId="358" xfId="0" applyNumberFormat="1" applyFont="1" applyBorder="1" applyAlignment="1">
      <alignment horizontal="center" vertical="center"/>
    </xf>
    <xf numFmtId="17" fontId="158" fillId="0" borderId="356" xfId="0" applyNumberFormat="1" applyFont="1" applyBorder="1" applyAlignment="1">
      <alignment horizontal="center" vertical="center"/>
    </xf>
    <xf numFmtId="17" fontId="158" fillId="0" borderId="350" xfId="0" applyNumberFormat="1" applyFont="1" applyBorder="1" applyAlignment="1">
      <alignment horizontal="center" vertical="center"/>
    </xf>
    <xf numFmtId="0" fontId="158" fillId="10" borderId="378" xfId="0" applyFont="1" applyFill="1" applyBorder="1" applyAlignment="1">
      <alignment horizontal="center" vertical="center"/>
    </xf>
    <xf numFmtId="0" fontId="158" fillId="10" borderId="379" xfId="0" applyFont="1" applyFill="1" applyBorder="1" applyAlignment="1">
      <alignment horizontal="center" vertical="center"/>
    </xf>
    <xf numFmtId="17" fontId="78" fillId="0" borderId="380" xfId="10" applyNumberFormat="1" applyFont="1" applyBorder="1" applyAlignment="1">
      <alignment horizontal="center" vertical="center"/>
    </xf>
    <xf numFmtId="3" fontId="158" fillId="0" borderId="381" xfId="0" applyNumberFormat="1" applyFont="1" applyBorder="1">
      <alignment vertical="center"/>
    </xf>
    <xf numFmtId="17" fontId="158" fillId="0" borderId="382" xfId="0" applyNumberFormat="1" applyFont="1" applyBorder="1" applyAlignment="1">
      <alignment horizontal="center" vertical="center"/>
    </xf>
    <xf numFmtId="38" fontId="158" fillId="0" borderId="383" xfId="0" applyNumberFormat="1" applyFont="1" applyBorder="1">
      <alignment vertical="center"/>
    </xf>
    <xf numFmtId="38" fontId="100" fillId="0" borderId="383" xfId="0" applyNumberFormat="1" applyFont="1" applyBorder="1">
      <alignment vertical="center"/>
    </xf>
    <xf numFmtId="17" fontId="158" fillId="0" borderId="384" xfId="0" applyNumberFormat="1" applyFont="1" applyBorder="1" applyAlignment="1">
      <alignment horizontal="center" vertical="center"/>
    </xf>
    <xf numFmtId="38" fontId="100" fillId="0" borderId="385" xfId="0" applyNumberFormat="1" applyFont="1" applyBorder="1">
      <alignment vertical="center"/>
    </xf>
    <xf numFmtId="38" fontId="158" fillId="0" borderId="385" xfId="0" applyNumberFormat="1" applyFont="1" applyBorder="1">
      <alignment vertical="center"/>
    </xf>
    <xf numFmtId="17" fontId="158" fillId="0" borderId="378" xfId="0" applyNumberFormat="1" applyFont="1" applyBorder="1" applyAlignment="1">
      <alignment horizontal="center" vertical="center"/>
    </xf>
    <xf numFmtId="38" fontId="158" fillId="0" borderId="379" xfId="0" applyNumberFormat="1" applyFont="1" applyBorder="1">
      <alignment vertical="center"/>
    </xf>
    <xf numFmtId="38" fontId="160" fillId="0" borderId="379" xfId="0" applyNumberFormat="1" applyFont="1" applyBorder="1">
      <alignment vertical="center"/>
    </xf>
    <xf numFmtId="3" fontId="158" fillId="0" borderId="383" xfId="0" applyNumberFormat="1" applyFont="1" applyBorder="1">
      <alignment vertical="center"/>
    </xf>
    <xf numFmtId="38" fontId="160" fillId="0" borderId="350" xfId="0" applyNumberFormat="1" applyFont="1" applyBorder="1" applyAlignment="1">
      <alignment horizontal="center" vertical="center"/>
    </xf>
    <xf numFmtId="38" fontId="160" fillId="0" borderId="348" xfId="0" applyNumberFormat="1" applyFont="1" applyBorder="1" applyAlignment="1">
      <alignment horizontal="center" vertical="center"/>
    </xf>
    <xf numFmtId="14" fontId="77" fillId="10" borderId="248" xfId="10" applyNumberFormat="1" applyFont="1" applyFill="1" applyBorder="1" applyAlignment="1">
      <alignment horizontal="center" vertical="center"/>
    </xf>
    <xf numFmtId="14" fontId="158" fillId="0" borderId="348" xfId="15" applyNumberFormat="1" applyFont="1" applyFill="1" applyBorder="1" applyAlignment="1">
      <alignment horizontal="center" vertical="center"/>
    </xf>
    <xf numFmtId="202" fontId="160" fillId="0" borderId="72" xfId="2" applyNumberFormat="1" applyFont="1" applyFill="1" applyBorder="1" applyAlignment="1">
      <alignment vertical="center"/>
    </xf>
    <xf numFmtId="38" fontId="160" fillId="0" borderId="72" xfId="2" applyFont="1" applyFill="1" applyBorder="1" applyAlignment="1">
      <alignment horizontal="center" vertical="center"/>
    </xf>
    <xf numFmtId="40" fontId="158" fillId="0" borderId="0" xfId="2" applyNumberFormat="1" applyFont="1" applyFill="1" applyBorder="1" applyAlignment="1">
      <alignment vertical="center"/>
    </xf>
    <xf numFmtId="202" fontId="158" fillId="0" borderId="0" xfId="15" applyNumberFormat="1" applyFont="1" applyFill="1" applyBorder="1" applyAlignment="1">
      <alignment vertical="center"/>
    </xf>
    <xf numFmtId="0" fontId="159" fillId="26" borderId="72" xfId="15" applyNumberFormat="1" applyFont="1" applyFill="1" applyBorder="1" applyAlignment="1">
      <alignment vertical="center"/>
    </xf>
    <xf numFmtId="38" fontId="158" fillId="26" borderId="72" xfId="2" applyFont="1" applyFill="1" applyBorder="1" applyAlignment="1">
      <alignment horizontal="center" vertical="center"/>
    </xf>
    <xf numFmtId="0" fontId="159" fillId="0" borderId="72" xfId="15" applyNumberFormat="1" applyFont="1" applyFill="1" applyBorder="1" applyAlignment="1">
      <alignment vertical="center"/>
    </xf>
    <xf numFmtId="0" fontId="152" fillId="4" borderId="0" xfId="10" applyFont="1" applyFill="1">
      <alignment vertical="center"/>
    </xf>
    <xf numFmtId="0" fontId="166" fillId="0" borderId="0" xfId="10" applyFont="1">
      <alignment vertical="center"/>
    </xf>
    <xf numFmtId="0" fontId="166" fillId="4" borderId="0" xfId="10" applyFont="1" applyFill="1">
      <alignment vertical="center"/>
    </xf>
    <xf numFmtId="40" fontId="152" fillId="0" borderId="0" xfId="10" applyNumberFormat="1" applyFont="1">
      <alignment vertical="center"/>
    </xf>
    <xf numFmtId="38" fontId="152" fillId="4" borderId="0" xfId="2" applyFont="1" applyFill="1">
      <alignment vertical="center"/>
    </xf>
    <xf numFmtId="38" fontId="152" fillId="4" borderId="0" xfId="10" applyNumberFormat="1" applyFont="1" applyFill="1">
      <alignment vertical="center"/>
    </xf>
    <xf numFmtId="38" fontId="68" fillId="4" borderId="0" xfId="10" applyNumberFormat="1" applyFont="1" applyFill="1">
      <alignment vertical="center"/>
    </xf>
    <xf numFmtId="38" fontId="152" fillId="0" borderId="0" xfId="10" applyNumberFormat="1" applyFont="1">
      <alignment vertical="center"/>
    </xf>
    <xf numFmtId="38" fontId="160" fillId="21" borderId="87" xfId="0" applyNumberFormat="1" applyFont="1" applyFill="1" applyBorder="1" applyAlignment="1">
      <alignment horizontal="center" vertical="center"/>
    </xf>
    <xf numFmtId="17" fontId="160" fillId="0" borderId="386" xfId="0" applyNumberFormat="1" applyFont="1" applyBorder="1" applyAlignment="1">
      <alignment horizontal="center" vertical="center"/>
    </xf>
    <xf numFmtId="17" fontId="160" fillId="0" borderId="64" xfId="0" applyNumberFormat="1" applyFont="1" applyBorder="1" applyAlignment="1">
      <alignment horizontal="center" vertical="center"/>
    </xf>
    <xf numFmtId="17" fontId="160" fillId="0" borderId="21" xfId="0" applyNumberFormat="1" applyFont="1" applyBorder="1" applyAlignment="1">
      <alignment horizontal="center" vertical="center"/>
    </xf>
    <xf numFmtId="38" fontId="160" fillId="0" borderId="386" xfId="0" applyNumberFormat="1" applyFont="1" applyBorder="1" applyAlignment="1">
      <alignment horizontal="center" vertical="center"/>
    </xf>
    <xf numFmtId="38" fontId="160" fillId="0" borderId="64" xfId="0" applyNumberFormat="1" applyFont="1" applyBorder="1" applyAlignment="1">
      <alignment horizontal="center" vertical="center"/>
    </xf>
    <xf numFmtId="38" fontId="160" fillId="0" borderId="21" xfId="0" applyNumberFormat="1" applyFont="1" applyBorder="1" applyAlignment="1">
      <alignment horizontal="center" vertical="center"/>
    </xf>
    <xf numFmtId="38" fontId="160" fillId="0" borderId="355" xfId="0" applyNumberFormat="1" applyFont="1" applyBorder="1">
      <alignment vertical="center"/>
    </xf>
    <xf numFmtId="17" fontId="160" fillId="0" borderId="384" xfId="0" applyNumberFormat="1" applyFont="1" applyBorder="1" applyAlignment="1">
      <alignment horizontal="center" vertical="center"/>
    </xf>
    <xf numFmtId="17" fontId="160" fillId="0" borderId="356" xfId="0" applyNumberFormat="1" applyFont="1" applyBorder="1" applyAlignment="1">
      <alignment horizontal="center" vertical="center"/>
    </xf>
    <xf numFmtId="17" fontId="160" fillId="0" borderId="355" xfId="0" applyNumberFormat="1" applyFont="1" applyBorder="1" applyAlignment="1">
      <alignment horizontal="center" vertical="center"/>
    </xf>
    <xf numFmtId="40" fontId="158" fillId="0" borderId="0" xfId="0" applyNumberFormat="1" applyFont="1">
      <alignment vertical="center"/>
    </xf>
    <xf numFmtId="200" fontId="160" fillId="26" borderId="353" xfId="15" applyNumberFormat="1" applyFont="1" applyFill="1" applyBorder="1" applyAlignment="1">
      <alignment vertical="center"/>
    </xf>
    <xf numFmtId="200" fontId="70" fillId="26" borderId="87" xfId="15" applyNumberFormat="1" applyFont="1" applyFill="1" applyBorder="1" applyAlignment="1">
      <alignment vertical="center"/>
    </xf>
    <xf numFmtId="38" fontId="160" fillId="0" borderId="378" xfId="0" applyNumberFormat="1" applyFont="1" applyBorder="1" applyAlignment="1">
      <alignment horizontal="center" vertical="center"/>
    </xf>
    <xf numFmtId="38" fontId="158" fillId="0" borderId="360" xfId="0" applyNumberFormat="1" applyFont="1" applyBorder="1">
      <alignment vertical="center"/>
    </xf>
    <xf numFmtId="38" fontId="158" fillId="0" borderId="361" xfId="0" applyNumberFormat="1" applyFont="1" applyBorder="1">
      <alignment vertical="center"/>
    </xf>
    <xf numFmtId="38" fontId="158" fillId="0" borderId="349" xfId="0" applyNumberFormat="1" applyFont="1" applyBorder="1">
      <alignment vertical="center"/>
    </xf>
    <xf numFmtId="200" fontId="70" fillId="0" borderId="357" xfId="0" applyNumberFormat="1" applyFont="1" applyBorder="1">
      <alignment vertical="center"/>
    </xf>
    <xf numFmtId="200" fontId="160" fillId="26" borderId="387" xfId="15" applyNumberFormat="1" applyFont="1" applyFill="1" applyBorder="1" applyAlignment="1">
      <alignment vertical="center"/>
    </xf>
    <xf numFmtId="38" fontId="160" fillId="26" borderId="388" xfId="15" applyNumberFormat="1" applyFont="1" applyFill="1" applyBorder="1" applyAlignment="1">
      <alignment vertical="center"/>
    </xf>
    <xf numFmtId="38" fontId="158" fillId="0" borderId="359" xfId="0" applyNumberFormat="1" applyFont="1" applyBorder="1">
      <alignment vertical="center"/>
    </xf>
    <xf numFmtId="38" fontId="158" fillId="0" borderId="358" xfId="0" applyNumberFormat="1" applyFont="1" applyBorder="1">
      <alignment vertical="center"/>
    </xf>
    <xf numFmtId="38" fontId="158" fillId="0" borderId="350" xfId="0" applyNumberFormat="1" applyFont="1" applyBorder="1">
      <alignment vertical="center"/>
    </xf>
    <xf numFmtId="200" fontId="160" fillId="0" borderId="356" xfId="0" applyNumberFormat="1" applyFont="1" applyBorder="1">
      <alignment vertical="center"/>
    </xf>
    <xf numFmtId="38" fontId="160" fillId="0" borderId="350" xfId="0" applyNumberFormat="1" applyFont="1" applyBorder="1">
      <alignment vertical="center"/>
    </xf>
    <xf numFmtId="200" fontId="70" fillId="0" borderId="356" xfId="0" applyNumberFormat="1" applyFont="1" applyBorder="1">
      <alignment vertical="center"/>
    </xf>
    <xf numFmtId="200" fontId="70" fillId="26" borderId="389" xfId="15" applyNumberFormat="1" applyFont="1" applyFill="1" applyBorder="1" applyAlignment="1">
      <alignment vertical="center"/>
    </xf>
    <xf numFmtId="200" fontId="160" fillId="26" borderId="390" xfId="15" applyNumberFormat="1" applyFont="1" applyFill="1" applyBorder="1" applyAlignment="1">
      <alignment vertical="center"/>
    </xf>
    <xf numFmtId="200" fontId="70" fillId="26" borderId="390" xfId="15" applyNumberFormat="1" applyFont="1" applyFill="1" applyBorder="1" applyAlignment="1">
      <alignment vertical="center"/>
    </xf>
    <xf numFmtId="200" fontId="160" fillId="26" borderId="391" xfId="15" applyNumberFormat="1" applyFont="1" applyFill="1" applyBorder="1" applyAlignment="1">
      <alignment vertical="center"/>
    </xf>
    <xf numFmtId="38" fontId="160" fillId="26" borderId="392" xfId="15" applyNumberFormat="1" applyFont="1" applyFill="1" applyBorder="1" applyAlignment="1">
      <alignment vertical="center"/>
    </xf>
    <xf numFmtId="38" fontId="160" fillId="26" borderId="393" xfId="15" applyNumberFormat="1" applyFont="1" applyFill="1" applyBorder="1" applyAlignment="1">
      <alignment vertical="center"/>
    </xf>
    <xf numFmtId="38" fontId="160" fillId="26" borderId="394" xfId="15" applyNumberFormat="1" applyFont="1" applyFill="1" applyBorder="1" applyAlignment="1">
      <alignment vertical="center"/>
    </xf>
    <xf numFmtId="200" fontId="160" fillId="26" borderId="395" xfId="15" applyNumberFormat="1" applyFont="1" applyFill="1" applyBorder="1" applyAlignment="1">
      <alignment vertical="center"/>
    </xf>
    <xf numFmtId="38" fontId="160" fillId="26" borderId="396" xfId="15" applyNumberFormat="1" applyFont="1" applyFill="1" applyBorder="1" applyAlignment="1">
      <alignment vertical="center"/>
    </xf>
    <xf numFmtId="200" fontId="160" fillId="26" borderId="397" xfId="15" applyNumberFormat="1" applyFont="1" applyFill="1" applyBorder="1" applyAlignment="1">
      <alignment vertical="center"/>
    </xf>
    <xf numFmtId="38" fontId="160" fillId="26" borderId="398" xfId="15" applyNumberFormat="1" applyFont="1" applyFill="1" applyBorder="1" applyAlignment="1">
      <alignment vertical="center"/>
    </xf>
    <xf numFmtId="40" fontId="152" fillId="0" borderId="0" xfId="2" applyNumberFormat="1" applyFont="1" applyFill="1" applyBorder="1" applyAlignment="1">
      <alignment vertical="center"/>
    </xf>
    <xf numFmtId="40" fontId="152" fillId="0" borderId="0" xfId="2" applyNumberFormat="1" applyFont="1" applyFill="1" applyBorder="1" applyAlignment="1">
      <alignment horizontal="center" vertical="center"/>
    </xf>
    <xf numFmtId="0" fontId="152" fillId="0" borderId="0" xfId="15" applyNumberFormat="1" applyFont="1" applyFill="1" applyBorder="1" applyAlignment="1">
      <alignment vertical="center"/>
    </xf>
    <xf numFmtId="0" fontId="159" fillId="0" borderId="72" xfId="15" applyNumberFormat="1" applyFont="1" applyFill="1" applyBorder="1" applyAlignment="1">
      <alignment horizontal="center" vertical="center" wrapText="1"/>
    </xf>
    <xf numFmtId="38" fontId="152" fillId="0" borderId="0" xfId="2" applyFont="1" applyFill="1" applyBorder="1" applyAlignment="1">
      <alignment vertical="center"/>
    </xf>
    <xf numFmtId="10" fontId="152" fillId="0" borderId="0" xfId="14" applyNumberFormat="1" applyFont="1" applyFill="1" applyBorder="1" applyAlignment="1">
      <alignment vertical="center"/>
    </xf>
    <xf numFmtId="0" fontId="167" fillId="0" borderId="0" xfId="0" applyFont="1" applyAlignment="1">
      <alignment vertical="center" wrapText="1"/>
    </xf>
    <xf numFmtId="0" fontId="152" fillId="0" borderId="0" xfId="15" applyNumberFormat="1" applyFont="1" applyFill="1" applyBorder="1" applyAlignment="1">
      <alignment vertical="center" wrapText="1"/>
    </xf>
    <xf numFmtId="0" fontId="166" fillId="0" borderId="0" xfId="15" applyNumberFormat="1" applyFont="1" applyFill="1" applyBorder="1" applyAlignment="1">
      <alignment vertical="center"/>
    </xf>
    <xf numFmtId="0" fontId="158" fillId="0" borderId="72" xfId="15" applyNumberFormat="1" applyFont="1" applyFill="1" applyBorder="1" applyAlignment="1">
      <alignment horizontal="center" vertical="center" wrapText="1"/>
    </xf>
    <xf numFmtId="0" fontId="158" fillId="10" borderId="72" xfId="17" applyNumberFormat="1" applyFont="1" applyFill="1" applyBorder="1" applyAlignment="1">
      <alignment horizontal="center" vertical="center" wrapText="1"/>
    </xf>
    <xf numFmtId="201" fontId="160" fillId="6" borderId="72" xfId="17" applyNumberFormat="1" applyFont="1" applyFill="1" applyBorder="1" applyAlignment="1">
      <alignment vertical="center"/>
    </xf>
    <xf numFmtId="201" fontId="160" fillId="0" borderId="72" xfId="17" applyNumberFormat="1" applyFont="1" applyFill="1" applyBorder="1" applyAlignment="1">
      <alignment vertical="center"/>
    </xf>
    <xf numFmtId="0" fontId="158" fillId="0" borderId="0" xfId="17" applyNumberFormat="1" applyFont="1" applyFill="1" applyBorder="1" applyAlignment="1">
      <alignment vertical="center"/>
    </xf>
    <xf numFmtId="0" fontId="160" fillId="0" borderId="0" xfId="17" applyNumberFormat="1" applyFont="1" applyFill="1" applyBorder="1" applyAlignment="1">
      <alignment vertical="center"/>
    </xf>
    <xf numFmtId="38" fontId="160" fillId="6" borderId="72" xfId="17" applyNumberFormat="1" applyFont="1" applyFill="1" applyBorder="1" applyAlignment="1">
      <alignment vertical="center"/>
    </xf>
    <xf numFmtId="0" fontId="160" fillId="0" borderId="72" xfId="17" applyNumberFormat="1" applyFont="1" applyFill="1" applyBorder="1" applyAlignment="1">
      <alignment horizontal="center" vertical="center"/>
    </xf>
    <xf numFmtId="38" fontId="160" fillId="0" borderId="72" xfId="17" applyNumberFormat="1" applyFont="1" applyFill="1" applyBorder="1" applyAlignment="1">
      <alignment vertical="center"/>
    </xf>
    <xf numFmtId="0" fontId="160" fillId="0" borderId="23" xfId="17" applyNumberFormat="1" applyFont="1" applyFill="1" applyBorder="1" applyAlignment="1">
      <alignment horizontal="center" vertical="center"/>
    </xf>
    <xf numFmtId="40" fontId="160" fillId="0" borderId="49" xfId="17" applyNumberFormat="1" applyFont="1" applyFill="1" applyBorder="1" applyAlignment="1">
      <alignment vertical="center"/>
    </xf>
    <xf numFmtId="40" fontId="160" fillId="0" borderId="0" xfId="17" applyNumberFormat="1" applyFont="1" applyFill="1" applyBorder="1" applyAlignment="1">
      <alignment vertical="center"/>
    </xf>
    <xf numFmtId="0" fontId="73" fillId="0" borderId="0" xfId="17" applyNumberFormat="1" applyFont="1" applyFill="1" applyBorder="1" applyAlignment="1">
      <alignment vertical="center"/>
    </xf>
    <xf numFmtId="0" fontId="73" fillId="0" borderId="0" xfId="17" applyNumberFormat="1" applyFont="1" applyFill="1" applyBorder="1" applyAlignment="1">
      <alignment horizontal="center" vertical="center"/>
    </xf>
    <xf numFmtId="0" fontId="73" fillId="0" borderId="0" xfId="17" applyNumberFormat="1" applyFont="1" applyFill="1" applyBorder="1" applyAlignment="1">
      <alignment horizontal="right" vertical="center"/>
    </xf>
    <xf numFmtId="0" fontId="73" fillId="10" borderId="72" xfId="17" applyNumberFormat="1" applyFont="1" applyFill="1" applyBorder="1" applyAlignment="1">
      <alignment horizontal="center" vertical="center" wrapText="1"/>
    </xf>
    <xf numFmtId="0" fontId="73" fillId="0" borderId="0" xfId="17" applyNumberFormat="1" applyFont="1" applyFill="1" applyBorder="1" applyAlignment="1">
      <alignment vertical="center" wrapText="1"/>
    </xf>
    <xf numFmtId="0" fontId="73" fillId="0" borderId="72" xfId="17" applyNumberFormat="1" applyFont="1" applyFill="1" applyBorder="1" applyAlignment="1">
      <alignment horizontal="center" vertical="center"/>
    </xf>
    <xf numFmtId="38" fontId="73" fillId="0" borderId="72" xfId="17" applyNumberFormat="1" applyFont="1" applyFill="1" applyBorder="1" applyAlignment="1">
      <alignment vertical="center"/>
    </xf>
    <xf numFmtId="42" fontId="73" fillId="0" borderId="0" xfId="18" applyFont="1" applyFill="1" applyBorder="1" applyAlignment="1">
      <alignment vertical="center"/>
    </xf>
    <xf numFmtId="201" fontId="73" fillId="0" borderId="72" xfId="17" applyNumberFormat="1" applyFont="1" applyFill="1" applyBorder="1" applyAlignment="1">
      <alignment vertical="center"/>
    </xf>
    <xf numFmtId="0" fontId="73" fillId="6" borderId="23" xfId="17" applyNumberFormat="1" applyFont="1" applyFill="1" applyBorder="1" applyAlignment="1">
      <alignment horizontal="center" vertical="center"/>
    </xf>
    <xf numFmtId="0" fontId="73" fillId="6" borderId="72" xfId="17" applyNumberFormat="1" applyFont="1" applyFill="1" applyBorder="1" applyAlignment="1">
      <alignment horizontal="center" vertical="center"/>
    </xf>
    <xf numFmtId="38" fontId="73" fillId="0" borderId="0" xfId="17" applyNumberFormat="1" applyFont="1" applyFill="1" applyBorder="1" applyAlignment="1">
      <alignment vertical="center"/>
    </xf>
    <xf numFmtId="40" fontId="73" fillId="0" borderId="0" xfId="17" applyNumberFormat="1" applyFont="1" applyFill="1" applyBorder="1" applyAlignment="1">
      <alignment vertical="center"/>
    </xf>
    <xf numFmtId="38" fontId="158" fillId="21" borderId="21" xfId="0" applyNumberFormat="1" applyFont="1" applyFill="1" applyBorder="1" applyAlignment="1">
      <alignment horizontal="center" vertical="center"/>
    </xf>
    <xf numFmtId="0" fontId="158" fillId="10" borderId="50" xfId="0" applyFont="1" applyFill="1" applyBorder="1" applyAlignment="1">
      <alignment horizontal="center" vertical="center" wrapText="1"/>
    </xf>
    <xf numFmtId="0" fontId="158" fillId="10" borderId="35" xfId="0" applyFont="1" applyFill="1" applyBorder="1" applyAlignment="1">
      <alignment horizontal="center" vertical="center" wrapText="1"/>
    </xf>
    <xf numFmtId="38" fontId="158" fillId="21" borderId="22" xfId="0" applyNumberFormat="1" applyFont="1" applyFill="1" applyBorder="1" applyAlignment="1">
      <alignment horizontal="center" vertical="center"/>
    </xf>
    <xf numFmtId="38" fontId="158" fillId="21" borderId="87" xfId="0" applyNumberFormat="1" applyFont="1" applyFill="1" applyBorder="1" applyAlignment="1">
      <alignment horizontal="center" vertical="center"/>
    </xf>
    <xf numFmtId="38" fontId="158" fillId="21" borderId="93" xfId="0" applyNumberFormat="1" applyFont="1" applyFill="1" applyBorder="1" applyAlignment="1">
      <alignment horizontal="center" vertical="center"/>
    </xf>
    <xf numFmtId="38" fontId="158" fillId="21" borderId="50" xfId="15" applyNumberFormat="1" applyFont="1" applyFill="1" applyBorder="1" applyAlignment="1">
      <alignment horizontal="center" vertical="center"/>
    </xf>
    <xf numFmtId="38" fontId="158" fillId="21" borderId="21" xfId="15" applyNumberFormat="1" applyFont="1" applyFill="1" applyBorder="1" applyAlignment="1">
      <alignment horizontal="center" vertical="center"/>
    </xf>
    <xf numFmtId="38" fontId="158" fillId="21" borderId="35" xfId="15" applyNumberFormat="1" applyFont="1" applyFill="1" applyBorder="1" applyAlignment="1">
      <alignment horizontal="center" vertical="center"/>
    </xf>
    <xf numFmtId="38" fontId="70" fillId="26" borderId="349" xfId="15" applyNumberFormat="1" applyFont="1" applyFill="1" applyBorder="1" applyAlignment="1">
      <alignment vertical="center"/>
    </xf>
    <xf numFmtId="200" fontId="70" fillId="0" borderId="385" xfId="0" applyNumberFormat="1" applyFont="1" applyBorder="1">
      <alignment vertical="center"/>
    </xf>
    <xf numFmtId="200" fontId="70" fillId="26" borderId="397" xfId="15" applyNumberFormat="1" applyFont="1" applyFill="1" applyBorder="1" applyAlignment="1">
      <alignment vertical="center"/>
    </xf>
    <xf numFmtId="0" fontId="73" fillId="0" borderId="0" xfId="0" applyFont="1" applyAlignment="1">
      <alignment horizontal="center" vertical="center"/>
    </xf>
    <xf numFmtId="0" fontId="73" fillId="0" borderId="342" xfId="0" applyFont="1" applyBorder="1" applyAlignment="1">
      <alignment horizontal="center" vertical="center"/>
    </xf>
    <xf numFmtId="38" fontId="73" fillId="0" borderId="342" xfId="2" applyFont="1" applyBorder="1">
      <alignment vertical="center"/>
    </xf>
    <xf numFmtId="0" fontId="73" fillId="0" borderId="348" xfId="0" applyFont="1" applyBorder="1" applyAlignment="1">
      <alignment horizontal="center" vertical="center"/>
    </xf>
    <xf numFmtId="38" fontId="73" fillId="0" borderId="348" xfId="2" applyFont="1" applyBorder="1">
      <alignment vertical="center"/>
    </xf>
    <xf numFmtId="40" fontId="73" fillId="0" borderId="342" xfId="0" applyNumberFormat="1" applyFont="1" applyBorder="1" applyAlignment="1">
      <alignment horizontal="center" vertical="center"/>
    </xf>
    <xf numFmtId="197" fontId="73" fillId="0" borderId="342" xfId="14" applyNumberFormat="1" applyFont="1" applyBorder="1">
      <alignment vertical="center"/>
    </xf>
    <xf numFmtId="197" fontId="73" fillId="0" borderId="348" xfId="14" applyNumberFormat="1" applyFont="1" applyBorder="1">
      <alignment vertical="center"/>
    </xf>
    <xf numFmtId="0" fontId="73" fillId="0" borderId="353" xfId="0" applyFont="1" applyBorder="1" applyAlignment="1">
      <alignment horizontal="center" vertical="center"/>
    </xf>
    <xf numFmtId="40" fontId="73" fillId="0" borderId="353" xfId="0" applyNumberFormat="1" applyFont="1" applyBorder="1" applyAlignment="1">
      <alignment horizontal="center" vertical="center"/>
    </xf>
    <xf numFmtId="38" fontId="73" fillId="0" borderId="353" xfId="2" applyFont="1" applyBorder="1">
      <alignment vertical="center"/>
    </xf>
    <xf numFmtId="40" fontId="73" fillId="0" borderId="348" xfId="0" applyNumberFormat="1" applyFont="1" applyBorder="1" applyAlignment="1">
      <alignment horizontal="center" vertical="center"/>
    </xf>
    <xf numFmtId="0" fontId="62" fillId="0" borderId="0" xfId="0" applyFont="1">
      <alignment vertical="center"/>
    </xf>
    <xf numFmtId="0" fontId="62" fillId="0" borderId="50" xfId="0" applyFont="1" applyBorder="1" applyAlignment="1">
      <alignment horizontal="center" vertical="center"/>
    </xf>
    <xf numFmtId="40" fontId="62" fillId="0" borderId="50" xfId="0" applyNumberFormat="1" applyFont="1" applyBorder="1" applyAlignment="1">
      <alignment horizontal="center" vertical="center"/>
    </xf>
    <xf numFmtId="0" fontId="62" fillId="0" borderId="50" xfId="0" applyFont="1" applyBorder="1">
      <alignment vertical="center"/>
    </xf>
    <xf numFmtId="38" fontId="62" fillId="0" borderId="50" xfId="0" applyNumberFormat="1" applyFont="1" applyBorder="1">
      <alignment vertical="center"/>
    </xf>
    <xf numFmtId="197" fontId="62" fillId="0" borderId="355" xfId="14" applyNumberFormat="1" applyFont="1" applyBorder="1">
      <alignment vertical="center"/>
    </xf>
    <xf numFmtId="197" fontId="73" fillId="0" borderId="353" xfId="14" applyNumberFormat="1" applyFont="1" applyBorder="1">
      <alignment vertical="center"/>
    </xf>
    <xf numFmtId="0" fontId="62" fillId="0" borderId="72" xfId="0" applyFont="1" applyBorder="1" applyAlignment="1">
      <alignment horizontal="center" vertical="center"/>
    </xf>
    <xf numFmtId="40" fontId="62" fillId="0" borderId="72" xfId="0" applyNumberFormat="1" applyFont="1" applyBorder="1" applyAlignment="1">
      <alignment horizontal="center" vertical="center"/>
    </xf>
    <xf numFmtId="0" fontId="62" fillId="0" borderId="72" xfId="0" applyFont="1" applyBorder="1">
      <alignment vertical="center"/>
    </xf>
    <xf numFmtId="38" fontId="62" fillId="0" borderId="72" xfId="2" applyFont="1" applyBorder="1">
      <alignment vertical="center"/>
    </xf>
    <xf numFmtId="197" fontId="62" fillId="0" borderId="72" xfId="14" applyNumberFormat="1" applyFont="1" applyBorder="1">
      <alignment vertical="center"/>
    </xf>
    <xf numFmtId="0" fontId="73" fillId="0" borderId="347" xfId="0" applyFont="1" applyBorder="1" applyAlignment="1">
      <alignment horizontal="center" vertical="center"/>
    </xf>
    <xf numFmtId="40" fontId="73" fillId="0" borderId="347" xfId="0" applyNumberFormat="1" applyFont="1" applyBorder="1" applyAlignment="1">
      <alignment horizontal="center" vertical="center"/>
    </xf>
    <xf numFmtId="38" fontId="73" fillId="0" borderId="347" xfId="2" applyFont="1" applyBorder="1">
      <alignment vertical="center"/>
    </xf>
    <xf numFmtId="197" fontId="73" fillId="0" borderId="347" xfId="14" applyNumberFormat="1" applyFont="1" applyBorder="1">
      <alignment vertical="center"/>
    </xf>
    <xf numFmtId="40" fontId="73" fillId="0" borderId="72" xfId="0" applyNumberFormat="1" applyFont="1" applyBorder="1" applyAlignment="1">
      <alignment horizontal="center" vertical="center"/>
    </xf>
    <xf numFmtId="197" fontId="73" fillId="0" borderId="72" xfId="14" applyNumberFormat="1" applyFont="1" applyBorder="1">
      <alignment vertical="center"/>
    </xf>
    <xf numFmtId="0" fontId="63" fillId="11" borderId="0" xfId="10" applyFont="1" applyFill="1" applyAlignment="1">
      <alignment horizontal="center" vertical="center"/>
    </xf>
    <xf numFmtId="3" fontId="78" fillId="10" borderId="35" xfId="10" applyNumberFormat="1" applyFont="1" applyFill="1" applyBorder="1" applyAlignment="1">
      <alignment horizontal="center" vertical="center"/>
    </xf>
    <xf numFmtId="200" fontId="158" fillId="0" borderId="0" xfId="0" applyNumberFormat="1" applyFont="1">
      <alignment vertical="center"/>
    </xf>
    <xf numFmtId="38" fontId="158" fillId="0" borderId="0" xfId="2" applyFont="1">
      <alignment vertical="center"/>
    </xf>
    <xf numFmtId="3" fontId="73" fillId="4" borderId="0" xfId="10" applyNumberFormat="1" applyFont="1" applyFill="1">
      <alignment vertical="center"/>
    </xf>
    <xf numFmtId="3" fontId="78" fillId="0" borderId="35" xfId="10" applyNumberFormat="1" applyFont="1" applyBorder="1">
      <alignment vertical="center"/>
    </xf>
    <xf numFmtId="10" fontId="77" fillId="0" borderId="399" xfId="10" applyNumberFormat="1" applyFont="1" applyBorder="1" applyAlignment="1">
      <alignment horizontal="center" vertical="center"/>
    </xf>
    <xf numFmtId="197" fontId="77" fillId="0" borderId="399" xfId="10" applyNumberFormat="1" applyFont="1" applyBorder="1" applyAlignment="1">
      <alignment horizontal="center" vertical="center"/>
    </xf>
    <xf numFmtId="14" fontId="78" fillId="0" borderId="342" xfId="10" applyNumberFormat="1" applyFont="1" applyBorder="1" applyAlignment="1">
      <alignment horizontal="center" vertical="center"/>
    </xf>
    <xf numFmtId="197" fontId="77" fillId="0" borderId="342" xfId="10" applyNumberFormat="1" applyFont="1" applyBorder="1" applyAlignment="1">
      <alignment horizontal="center" vertical="center"/>
    </xf>
    <xf numFmtId="3" fontId="78" fillId="0" borderId="348" xfId="10" applyNumberFormat="1" applyFont="1" applyBorder="1" applyAlignment="1">
      <alignment horizontal="center" vertical="center"/>
    </xf>
    <xf numFmtId="0" fontId="81" fillId="0" borderId="0" xfId="10" applyFont="1" applyAlignment="1">
      <alignment horizontal="center" vertical="center"/>
    </xf>
    <xf numFmtId="0" fontId="73" fillId="0" borderId="0" xfId="10" applyFont="1" applyAlignment="1">
      <alignment horizontal="center" vertical="center"/>
    </xf>
    <xf numFmtId="14" fontId="78" fillId="0" borderId="348" xfId="10" applyNumberFormat="1" applyFont="1" applyBorder="1" applyAlignment="1">
      <alignment horizontal="center" vertical="center"/>
    </xf>
    <xf numFmtId="197" fontId="77" fillId="0" borderId="348" xfId="10" applyNumberFormat="1" applyFont="1" applyBorder="1" applyAlignment="1">
      <alignment horizontal="center" vertical="center"/>
    </xf>
    <xf numFmtId="3" fontId="78" fillId="10" borderId="246" xfId="10" applyNumberFormat="1" applyFont="1" applyFill="1" applyBorder="1" applyAlignment="1">
      <alignment horizontal="center" vertical="center"/>
    </xf>
    <xf numFmtId="38" fontId="77" fillId="10" borderId="246" xfId="2" applyFont="1" applyFill="1" applyBorder="1" applyAlignment="1">
      <alignment horizontal="center" vertical="center"/>
    </xf>
    <xf numFmtId="10" fontId="77" fillId="10" borderId="399" xfId="10" applyNumberFormat="1" applyFont="1" applyFill="1" applyBorder="1" applyAlignment="1">
      <alignment horizontal="center" vertical="center"/>
    </xf>
    <xf numFmtId="3" fontId="78" fillId="10" borderId="342" xfId="10" applyNumberFormat="1" applyFont="1" applyFill="1" applyBorder="1" applyAlignment="1">
      <alignment horizontal="center" vertical="center"/>
    </xf>
    <xf numFmtId="38" fontId="77" fillId="10" borderId="338" xfId="2" applyFont="1" applyFill="1" applyBorder="1" applyAlignment="1">
      <alignment horizontal="center" vertical="center"/>
    </xf>
    <xf numFmtId="197" fontId="77" fillId="10" borderId="399" xfId="10" applyNumberFormat="1" applyFont="1" applyFill="1" applyBorder="1" applyAlignment="1">
      <alignment horizontal="center" vertical="center"/>
    </xf>
    <xf numFmtId="197" fontId="77" fillId="10" borderId="342" xfId="10" applyNumberFormat="1" applyFont="1" applyFill="1" applyBorder="1" applyAlignment="1">
      <alignment horizontal="center" vertical="center"/>
    </xf>
    <xf numFmtId="0" fontId="109" fillId="0" borderId="0" xfId="0" applyFont="1" applyAlignment="1">
      <alignment vertical="center" wrapText="1"/>
    </xf>
    <xf numFmtId="40" fontId="100" fillId="0" borderId="0" xfId="2" applyNumberFormat="1" applyFont="1" applyFill="1" applyBorder="1" applyAlignment="1">
      <alignment vertical="center"/>
    </xf>
    <xf numFmtId="38" fontId="100" fillId="0" borderId="0" xfId="2" applyFont="1" applyFill="1" applyBorder="1" applyAlignment="1">
      <alignment vertical="center"/>
    </xf>
    <xf numFmtId="40" fontId="100" fillId="0" borderId="0" xfId="15" applyNumberFormat="1" applyFont="1" applyFill="1" applyBorder="1" applyAlignment="1">
      <alignment vertical="center"/>
    </xf>
    <xf numFmtId="0" fontId="100" fillId="0" borderId="0" xfId="15" applyNumberFormat="1" applyFont="1" applyFill="1" applyBorder="1" applyAlignment="1">
      <alignment vertical="center"/>
    </xf>
    <xf numFmtId="0" fontId="100" fillId="0" borderId="0" xfId="15" applyNumberFormat="1" applyFont="1" applyFill="1" applyBorder="1" applyAlignment="1">
      <alignment horizontal="center" vertical="center"/>
    </xf>
    <xf numFmtId="38" fontId="100" fillId="26" borderId="72" xfId="2" applyFont="1" applyFill="1" applyBorder="1" applyAlignment="1">
      <alignment horizontal="center" vertical="center"/>
    </xf>
    <xf numFmtId="38" fontId="100" fillId="0" borderId="72" xfId="15" applyNumberFormat="1" applyFont="1" applyFill="1" applyBorder="1" applyAlignment="1">
      <alignment vertical="center"/>
    </xf>
    <xf numFmtId="202" fontId="100" fillId="0" borderId="72" xfId="2" applyNumberFormat="1" applyFont="1" applyFill="1" applyBorder="1" applyAlignment="1">
      <alignment vertical="center"/>
    </xf>
    <xf numFmtId="38" fontId="100" fillId="0" borderId="72" xfId="2" applyFont="1" applyFill="1" applyBorder="1" applyAlignment="1">
      <alignment vertical="center"/>
    </xf>
    <xf numFmtId="38" fontId="70" fillId="0" borderId="72" xfId="15" applyNumberFormat="1" applyFont="1" applyFill="1" applyBorder="1" applyAlignment="1">
      <alignment vertical="center"/>
    </xf>
    <xf numFmtId="202" fontId="70" fillId="0" borderId="72" xfId="2" applyNumberFormat="1" applyFont="1" applyFill="1" applyBorder="1" applyAlignment="1">
      <alignment vertical="center"/>
    </xf>
    <xf numFmtId="38" fontId="100" fillId="0" borderId="0" xfId="15" applyNumberFormat="1" applyFont="1" applyFill="1" applyBorder="1" applyAlignment="1">
      <alignment vertical="center"/>
    </xf>
    <xf numFmtId="0" fontId="169" fillId="0" borderId="0" xfId="15" applyNumberFormat="1" applyFont="1" applyFill="1" applyBorder="1" applyAlignment="1">
      <alignment vertical="center"/>
    </xf>
    <xf numFmtId="202" fontId="158" fillId="32" borderId="72" xfId="2" applyNumberFormat="1" applyFont="1" applyFill="1" applyBorder="1" applyAlignment="1">
      <alignment vertical="center"/>
    </xf>
    <xf numFmtId="0" fontId="159" fillId="32" borderId="72" xfId="15" applyNumberFormat="1" applyFont="1" applyFill="1" applyBorder="1" applyAlignment="1">
      <alignment horizontal="center" vertical="center" wrapText="1"/>
    </xf>
    <xf numFmtId="38" fontId="158" fillId="32" borderId="72" xfId="2" applyFont="1" applyFill="1" applyBorder="1" applyAlignment="1">
      <alignment vertical="center"/>
    </xf>
    <xf numFmtId="0" fontId="158" fillId="32" borderId="72" xfId="15" applyNumberFormat="1" applyFont="1" applyFill="1" applyBorder="1" applyAlignment="1">
      <alignment horizontal="center" vertical="center"/>
    </xf>
    <xf numFmtId="38" fontId="159" fillId="0" borderId="0" xfId="15" applyNumberFormat="1" applyFont="1" applyFill="1" applyBorder="1" applyAlignment="1">
      <alignment vertical="center"/>
    </xf>
    <xf numFmtId="14" fontId="158" fillId="0" borderId="0" xfId="15" applyNumberFormat="1" applyFont="1" applyFill="1" applyBorder="1" applyAlignment="1">
      <alignment vertical="center"/>
    </xf>
    <xf numFmtId="0" fontId="170" fillId="0" borderId="0" xfId="0" applyFont="1" applyAlignment="1">
      <alignment vertical="center" wrapText="1"/>
    </xf>
    <xf numFmtId="0" fontId="159" fillId="0" borderId="0" xfId="15" applyNumberFormat="1" applyFont="1" applyFill="1" applyBorder="1" applyAlignment="1">
      <alignment vertical="center" wrapText="1"/>
    </xf>
    <xf numFmtId="38" fontId="169" fillId="0" borderId="0" xfId="2" applyFont="1" applyFill="1" applyBorder="1" applyAlignment="1">
      <alignment vertical="center"/>
    </xf>
    <xf numFmtId="38" fontId="100" fillId="0" borderId="0" xfId="15" applyNumberFormat="1" applyFont="1" applyFill="1" applyBorder="1" applyAlignment="1">
      <alignment horizontal="center" vertical="center"/>
    </xf>
    <xf numFmtId="38" fontId="170" fillId="0" borderId="0" xfId="2" applyFont="1" applyAlignment="1">
      <alignment vertical="center" wrapText="1"/>
    </xf>
    <xf numFmtId="40" fontId="73" fillId="0" borderId="0" xfId="2" applyNumberFormat="1" applyFont="1">
      <alignment vertical="center"/>
    </xf>
    <xf numFmtId="203" fontId="73" fillId="0" borderId="0" xfId="10" applyNumberFormat="1" applyFont="1">
      <alignment vertical="center"/>
    </xf>
    <xf numFmtId="2" fontId="158" fillId="0" borderId="0" xfId="15" applyNumberFormat="1" applyFont="1" applyFill="1" applyBorder="1" applyAlignment="1">
      <alignment vertical="center"/>
    </xf>
    <xf numFmtId="0" fontId="158" fillId="10" borderId="72" xfId="15" applyNumberFormat="1" applyFont="1" applyFill="1" applyBorder="1" applyAlignment="1">
      <alignment horizontal="center" vertical="center" wrapText="1"/>
    </xf>
    <xf numFmtId="38" fontId="158" fillId="10" borderId="72" xfId="15" applyNumberFormat="1" applyFont="1" applyFill="1" applyBorder="1" applyAlignment="1">
      <alignment horizontal="center" vertical="center"/>
    </xf>
    <xf numFmtId="38" fontId="159" fillId="10" borderId="35" xfId="15" applyNumberFormat="1" applyFont="1" applyFill="1" applyBorder="1" applyAlignment="1">
      <alignment horizontal="center" vertical="center"/>
    </xf>
    <xf numFmtId="38" fontId="171" fillId="10" borderId="35" xfId="15" applyNumberFormat="1" applyFont="1" applyFill="1" applyBorder="1" applyAlignment="1">
      <alignment horizontal="center" vertical="center"/>
    </xf>
    <xf numFmtId="14" fontId="171" fillId="10" borderId="35" xfId="15" applyNumberFormat="1" applyFont="1" applyFill="1" applyBorder="1" applyAlignment="1">
      <alignment horizontal="center" vertical="center"/>
    </xf>
    <xf numFmtId="9" fontId="158" fillId="10" borderId="72" xfId="19" applyFont="1" applyFill="1" applyBorder="1" applyAlignment="1">
      <alignment horizontal="center" vertical="center"/>
    </xf>
    <xf numFmtId="9" fontId="159" fillId="10" borderId="72" xfId="19" applyFont="1" applyFill="1" applyBorder="1" applyAlignment="1">
      <alignment horizontal="center" vertical="center"/>
    </xf>
    <xf numFmtId="0" fontId="158" fillId="0" borderId="72" xfId="15" applyNumberFormat="1" applyFont="1" applyFill="1" applyBorder="1" applyAlignment="1">
      <alignment vertical="center"/>
    </xf>
    <xf numFmtId="40" fontId="158" fillId="0" borderId="72" xfId="15" applyNumberFormat="1" applyFont="1" applyFill="1" applyBorder="1" applyAlignment="1">
      <alignment vertical="center"/>
    </xf>
    <xf numFmtId="38" fontId="158" fillId="0" borderId="72" xfId="17" applyNumberFormat="1" applyFont="1" applyFill="1" applyBorder="1" applyAlignment="1">
      <alignment vertical="center"/>
    </xf>
    <xf numFmtId="187" fontId="158" fillId="0" borderId="72" xfId="15" applyNumberFormat="1" applyFont="1" applyFill="1" applyBorder="1" applyAlignment="1">
      <alignment horizontal="center" vertical="center"/>
    </xf>
    <xf numFmtId="14" fontId="158" fillId="0" borderId="72" xfId="15" applyNumberFormat="1" applyFont="1" applyFill="1" applyBorder="1" applyAlignment="1">
      <alignment horizontal="center" vertical="center"/>
    </xf>
    <xf numFmtId="40" fontId="158" fillId="6" borderId="72" xfId="15" applyNumberFormat="1" applyFont="1" applyFill="1" applyBorder="1" applyAlignment="1">
      <alignment vertical="center"/>
    </xf>
    <xf numFmtId="38" fontId="158" fillId="6" borderId="72" xfId="17" applyNumberFormat="1" applyFont="1" applyFill="1" applyBorder="1" applyAlignment="1">
      <alignment vertical="center"/>
    </xf>
    <xf numFmtId="38" fontId="158" fillId="6" borderId="72" xfId="15" applyNumberFormat="1" applyFont="1" applyFill="1" applyBorder="1" applyAlignment="1">
      <alignment vertical="center"/>
    </xf>
    <xf numFmtId="14" fontId="158" fillId="6" borderId="72" xfId="15" applyNumberFormat="1" applyFont="1" applyFill="1" applyBorder="1" applyAlignment="1">
      <alignment horizontal="center" vertical="center"/>
    </xf>
    <xf numFmtId="187" fontId="158" fillId="6" borderId="72" xfId="15" applyNumberFormat="1" applyFont="1" applyFill="1" applyBorder="1" applyAlignment="1">
      <alignment horizontal="center" vertical="center"/>
    </xf>
    <xf numFmtId="38" fontId="158" fillId="6" borderId="0" xfId="15" applyNumberFormat="1" applyFont="1" applyFill="1" applyBorder="1" applyAlignment="1">
      <alignment vertical="center"/>
    </xf>
    <xf numFmtId="0" fontId="158" fillId="6" borderId="0" xfId="15" applyNumberFormat="1" applyFont="1" applyFill="1" applyBorder="1" applyAlignment="1">
      <alignment vertical="center"/>
    </xf>
    <xf numFmtId="204" fontId="158" fillId="0" borderId="0" xfId="15" applyNumberFormat="1" applyFont="1" applyFill="1" applyBorder="1" applyAlignment="1">
      <alignment vertical="center"/>
    </xf>
    <xf numFmtId="38" fontId="158" fillId="0" borderId="0" xfId="17" applyNumberFormat="1" applyFont="1" applyFill="1" applyBorder="1" applyAlignment="1">
      <alignment vertical="center"/>
    </xf>
    <xf numFmtId="14" fontId="158" fillId="0" borderId="0" xfId="15" applyNumberFormat="1" applyFont="1" applyFill="1" applyBorder="1" applyAlignment="1">
      <alignment horizontal="center" vertical="center"/>
    </xf>
    <xf numFmtId="14" fontId="159" fillId="10" borderId="35" xfId="15" applyNumberFormat="1" applyFont="1" applyFill="1" applyBorder="1" applyAlignment="1">
      <alignment horizontal="center" vertical="center"/>
    </xf>
    <xf numFmtId="0" fontId="158" fillId="0" borderId="0" xfId="15" applyNumberFormat="1" applyFont="1" applyFill="1" applyBorder="1" applyAlignment="1">
      <alignment horizontal="center" vertical="center" wrapText="1"/>
    </xf>
    <xf numFmtId="187" fontId="160" fillId="0" borderId="72" xfId="15" applyNumberFormat="1" applyFont="1" applyFill="1" applyBorder="1" applyAlignment="1">
      <alignment horizontal="center" vertical="center"/>
    </xf>
    <xf numFmtId="9" fontId="77" fillId="0" borderId="247" xfId="14" applyFont="1" applyFill="1" applyBorder="1" applyAlignment="1">
      <alignment horizontal="center" vertical="center"/>
    </xf>
    <xf numFmtId="187" fontId="173" fillId="0" borderId="72" xfId="15" applyNumberFormat="1" applyFont="1" applyFill="1" applyBorder="1" applyAlignment="1">
      <alignment horizontal="left" vertical="center"/>
    </xf>
    <xf numFmtId="38" fontId="0" fillId="0" borderId="0" xfId="0" applyNumberFormat="1">
      <alignment vertical="center"/>
    </xf>
    <xf numFmtId="38" fontId="160" fillId="0" borderId="0" xfId="15" applyNumberFormat="1" applyFont="1" applyFill="1" applyBorder="1" applyAlignment="1">
      <alignment vertical="center"/>
    </xf>
    <xf numFmtId="187" fontId="158" fillId="0" borderId="0" xfId="15" applyNumberFormat="1" applyFont="1" applyFill="1" applyBorder="1" applyAlignment="1">
      <alignment horizontal="center" vertical="center"/>
    </xf>
    <xf numFmtId="0" fontId="174" fillId="0" borderId="0" xfId="15" applyFont="1"/>
    <xf numFmtId="0" fontId="175" fillId="0" borderId="0" xfId="15" applyFont="1"/>
    <xf numFmtId="0" fontId="175" fillId="0" borderId="0" xfId="15" applyFont="1" applyAlignment="1">
      <alignment horizontal="left" indent="2"/>
    </xf>
    <xf numFmtId="0" fontId="175" fillId="0" borderId="0" xfId="15" applyNumberFormat="1" applyFont="1" applyFill="1" applyBorder="1" applyAlignment="1"/>
    <xf numFmtId="0" fontId="176" fillId="0" borderId="0" xfId="15" applyFont="1" applyAlignment="1">
      <alignment horizontal="left" vertical="center"/>
    </xf>
    <xf numFmtId="0" fontId="176" fillId="0" borderId="0" xfId="15" applyFont="1" applyAlignment="1">
      <alignment horizontal="left" vertical="center" wrapText="1" indent="2"/>
    </xf>
    <xf numFmtId="0" fontId="176" fillId="0" borderId="0" xfId="15" applyFont="1" applyAlignment="1">
      <alignment horizontal="center" vertical="center" wrapText="1"/>
    </xf>
    <xf numFmtId="0" fontId="177" fillId="33" borderId="0" xfId="15" applyFont="1" applyFill="1" applyAlignment="1">
      <alignment horizontal="center" vertical="center"/>
    </xf>
    <xf numFmtId="0" fontId="177" fillId="33" borderId="0" xfId="15" applyNumberFormat="1" applyFont="1" applyFill="1" applyBorder="1" applyAlignment="1">
      <alignment horizontal="center" vertical="center"/>
    </xf>
    <xf numFmtId="0" fontId="177" fillId="34" borderId="0" xfId="15" applyFont="1" applyFill="1" applyAlignment="1">
      <alignment horizontal="left" vertical="center"/>
    </xf>
    <xf numFmtId="0" fontId="177" fillId="34" borderId="0" xfId="15" applyFont="1" applyFill="1" applyAlignment="1">
      <alignment horizontal="left" vertical="center" indent="2"/>
    </xf>
    <xf numFmtId="0" fontId="177" fillId="34" borderId="0" xfId="15" applyFont="1" applyFill="1" applyAlignment="1">
      <alignment horizontal="center" vertical="center"/>
    </xf>
    <xf numFmtId="0" fontId="177" fillId="34" borderId="0" xfId="15" applyNumberFormat="1" applyFont="1" applyFill="1" applyBorder="1" applyAlignment="1">
      <alignment horizontal="center" vertical="center"/>
    </xf>
    <xf numFmtId="0" fontId="178" fillId="0" borderId="0" xfId="15" applyFont="1" applyAlignment="1">
      <alignment horizontal="center" vertical="center" wrapText="1"/>
    </xf>
    <xf numFmtId="0" fontId="179" fillId="0" borderId="0" xfId="15" applyNumberFormat="1" applyFont="1" applyFill="1" applyBorder="1" applyAlignment="1">
      <alignment horizontal="center" vertical="center" wrapText="1"/>
    </xf>
    <xf numFmtId="0" fontId="178" fillId="0" borderId="0" xfId="15" applyNumberFormat="1" applyFont="1" applyFill="1" applyBorder="1" applyAlignment="1">
      <alignment horizontal="center" vertical="center" wrapText="1"/>
    </xf>
    <xf numFmtId="0" fontId="180" fillId="0" borderId="0" xfId="15" applyFont="1"/>
    <xf numFmtId="0" fontId="174" fillId="0" borderId="0" xfId="15" applyFont="1" applyAlignment="1">
      <alignment horizontal="left" vertical="center"/>
    </xf>
    <xf numFmtId="0" fontId="181" fillId="0" borderId="0" xfId="15" applyFont="1" applyAlignment="1">
      <alignment horizontal="left" vertical="center" wrapText="1" indent="2"/>
    </xf>
    <xf numFmtId="0" fontId="181" fillId="0" borderId="0" xfId="15" applyFont="1" applyAlignment="1">
      <alignment horizontal="center" vertical="center" wrapText="1"/>
    </xf>
    <xf numFmtId="14" fontId="182" fillId="35" borderId="400" xfId="15" applyNumberFormat="1" applyFont="1" applyFill="1" applyBorder="1" applyAlignment="1">
      <alignment horizontal="center" vertical="center" wrapText="1"/>
    </xf>
    <xf numFmtId="0" fontId="180" fillId="0" borderId="0" xfId="15" applyFont="1" applyAlignment="1">
      <alignment horizontal="left" vertical="center" wrapText="1" indent="2"/>
    </xf>
    <xf numFmtId="0" fontId="180" fillId="0" borderId="0" xfId="15" applyFont="1" applyAlignment="1">
      <alignment horizontal="center" vertical="center" wrapText="1"/>
    </xf>
    <xf numFmtId="0" fontId="180" fillId="0" borderId="0" xfId="15" applyFont="1" applyFill="1"/>
    <xf numFmtId="0" fontId="174" fillId="0" borderId="0" xfId="15" applyFont="1" applyFill="1" applyAlignment="1">
      <alignment horizontal="left" vertical="center"/>
    </xf>
    <xf numFmtId="0" fontId="180" fillId="0" borderId="0" xfId="15" applyFont="1" applyFill="1" applyAlignment="1">
      <alignment horizontal="left" vertical="center" wrapText="1" indent="2"/>
    </xf>
    <xf numFmtId="0" fontId="180" fillId="0" borderId="0" xfId="15" applyFont="1" applyFill="1" applyAlignment="1">
      <alignment horizontal="center" vertical="center" wrapText="1"/>
    </xf>
    <xf numFmtId="10" fontId="182" fillId="35" borderId="400" xfId="15" applyNumberFormat="1" applyFont="1" applyFill="1" applyBorder="1" applyAlignment="1">
      <alignment horizontal="center" vertical="center" wrapText="1"/>
    </xf>
    <xf numFmtId="14" fontId="180" fillId="35" borderId="400" xfId="15" applyNumberFormat="1" applyFont="1" applyFill="1" applyBorder="1" applyAlignment="1">
      <alignment horizontal="center" vertical="center" wrapText="1"/>
    </xf>
    <xf numFmtId="0" fontId="181" fillId="0" borderId="0" xfId="15" applyFont="1" applyFill="1" applyAlignment="1">
      <alignment horizontal="center" vertical="center" wrapText="1"/>
    </xf>
    <xf numFmtId="0" fontId="184" fillId="0" borderId="0" xfId="15" applyFont="1" applyAlignment="1">
      <alignment horizontal="center" vertical="center" wrapText="1"/>
    </xf>
    <xf numFmtId="0" fontId="184" fillId="0" borderId="0" xfId="15" applyNumberFormat="1" applyFont="1" applyFill="1" applyBorder="1" applyAlignment="1">
      <alignment horizontal="center" vertical="center" wrapText="1"/>
    </xf>
    <xf numFmtId="0" fontId="181" fillId="0" borderId="0" xfId="15" applyFont="1" applyFill="1" applyAlignment="1">
      <alignment horizontal="left" vertical="center" wrapText="1" indent="2"/>
    </xf>
    <xf numFmtId="1" fontId="182" fillId="35" borderId="400" xfId="15" applyNumberFormat="1" applyFont="1" applyFill="1" applyBorder="1" applyAlignment="1">
      <alignment horizontal="center" vertical="center" wrapText="1"/>
    </xf>
    <xf numFmtId="2" fontId="182" fillId="35" borderId="400" xfId="15" applyNumberFormat="1" applyFont="1" applyFill="1" applyBorder="1" applyAlignment="1">
      <alignment horizontal="center" vertical="center" wrapText="1"/>
    </xf>
    <xf numFmtId="205" fontId="182" fillId="35" borderId="400" xfId="15" applyNumberFormat="1" applyFont="1" applyFill="1" applyBorder="1" applyAlignment="1">
      <alignment horizontal="center" vertical="center" wrapText="1"/>
    </xf>
    <xf numFmtId="205" fontId="180" fillId="0" borderId="0" xfId="15" applyNumberFormat="1" applyFont="1"/>
    <xf numFmtId="206" fontId="182" fillId="35" borderId="400" xfId="15" applyNumberFormat="1" applyFont="1" applyFill="1" applyBorder="1" applyAlignment="1">
      <alignment horizontal="center" vertical="center" wrapText="1"/>
    </xf>
    <xf numFmtId="207" fontId="182" fillId="35" borderId="400" xfId="15" applyNumberFormat="1" applyFont="1" applyFill="1" applyBorder="1" applyAlignment="1">
      <alignment horizontal="center" vertical="center" wrapText="1"/>
    </xf>
    <xf numFmtId="205" fontId="178" fillId="0" borderId="0" xfId="17" applyNumberFormat="1" applyFont="1" applyAlignment="1">
      <alignment horizontal="center" vertical="center" wrapText="1"/>
    </xf>
    <xf numFmtId="208" fontId="178" fillId="0" borderId="0" xfId="15" applyNumberFormat="1" applyFont="1" applyAlignment="1">
      <alignment horizontal="center" vertical="center" wrapText="1"/>
    </xf>
    <xf numFmtId="208" fontId="178" fillId="0" borderId="0" xfId="15" applyNumberFormat="1" applyFont="1" applyFill="1" applyBorder="1" applyAlignment="1">
      <alignment horizontal="center" vertical="center" wrapText="1"/>
    </xf>
    <xf numFmtId="0" fontId="174" fillId="0" borderId="19" xfId="15" applyFont="1" applyBorder="1" applyAlignment="1">
      <alignment horizontal="left" vertical="center"/>
    </xf>
    <xf numFmtId="0" fontId="180" fillId="0" borderId="19" xfId="15" applyFont="1" applyBorder="1" applyAlignment="1">
      <alignment horizontal="left" vertical="center" wrapText="1" indent="2"/>
    </xf>
    <xf numFmtId="0" fontId="180" fillId="0" borderId="19" xfId="15" applyFont="1" applyBorder="1" applyAlignment="1">
      <alignment horizontal="center" vertical="center" wrapText="1"/>
    </xf>
    <xf numFmtId="0" fontId="184" fillId="0" borderId="19" xfId="15" applyFont="1" applyBorder="1" applyAlignment="1">
      <alignment horizontal="center" vertical="center" wrapText="1"/>
    </xf>
    <xf numFmtId="0" fontId="184" fillId="0" borderId="19" xfId="15" applyNumberFormat="1" applyFont="1" applyFill="1" applyBorder="1" applyAlignment="1">
      <alignment horizontal="center" vertical="center" wrapText="1"/>
    </xf>
    <xf numFmtId="0" fontId="180" fillId="0" borderId="0" xfId="15" applyFont="1" applyAlignment="1">
      <alignment horizontal="left" vertical="center" indent="1"/>
    </xf>
    <xf numFmtId="9" fontId="185" fillId="35" borderId="400" xfId="19" applyFont="1" applyFill="1" applyBorder="1" applyAlignment="1">
      <alignment horizontal="center" vertical="center" wrapText="1"/>
    </xf>
    <xf numFmtId="0" fontId="180" fillId="0" borderId="0" xfId="15" applyFont="1" applyAlignment="1">
      <alignment horizontal="left" vertical="center"/>
    </xf>
    <xf numFmtId="198" fontId="182" fillId="35" borderId="400" xfId="15" applyNumberFormat="1" applyFont="1" applyFill="1" applyBorder="1" applyAlignment="1">
      <alignment horizontal="center" vertical="center" wrapText="1"/>
    </xf>
    <xf numFmtId="0" fontId="186" fillId="0" borderId="19" xfId="15" applyFont="1" applyBorder="1" applyAlignment="1">
      <alignment horizontal="center" vertical="center" wrapText="1"/>
    </xf>
    <xf numFmtId="0" fontId="186" fillId="0" borderId="19" xfId="15" applyNumberFormat="1" applyFont="1" applyFill="1" applyBorder="1" applyAlignment="1">
      <alignment horizontal="center" vertical="center" wrapText="1"/>
    </xf>
    <xf numFmtId="0" fontId="174" fillId="0" borderId="0" xfId="15" applyFont="1" applyAlignment="1">
      <alignment horizontal="left" vertical="center" wrapText="1"/>
    </xf>
    <xf numFmtId="0" fontId="186" fillId="0" borderId="0" xfId="15" applyFont="1" applyAlignment="1">
      <alignment horizontal="center" vertical="center" wrapText="1"/>
    </xf>
    <xf numFmtId="0" fontId="186" fillId="0" borderId="0" xfId="15" applyNumberFormat="1" applyFont="1" applyFill="1" applyBorder="1" applyAlignment="1">
      <alignment horizontal="center" vertical="center" wrapText="1"/>
    </xf>
    <xf numFmtId="9" fontId="182" fillId="35" borderId="400" xfId="19" applyFont="1" applyFill="1" applyBorder="1" applyAlignment="1">
      <alignment horizontal="center" vertical="center" wrapText="1"/>
    </xf>
    <xf numFmtId="10" fontId="182" fillId="35" borderId="400" xfId="19" applyNumberFormat="1" applyFont="1" applyFill="1" applyBorder="1" applyAlignment="1">
      <alignment horizontal="center" vertical="center" wrapText="1"/>
    </xf>
    <xf numFmtId="9" fontId="186" fillId="0" borderId="0" xfId="19" applyFont="1" applyAlignment="1">
      <alignment horizontal="center" vertical="center" wrapText="1"/>
    </xf>
    <xf numFmtId="9" fontId="186" fillId="0" borderId="0" xfId="19" applyFont="1" applyFill="1" applyBorder="1" applyAlignment="1">
      <alignment horizontal="center" vertical="center" wrapText="1"/>
    </xf>
    <xf numFmtId="197" fontId="182" fillId="35" borderId="400" xfId="19" applyNumberFormat="1" applyFont="1" applyFill="1" applyBorder="1" applyAlignment="1">
      <alignment horizontal="center" vertical="center" wrapText="1"/>
    </xf>
    <xf numFmtId="0" fontId="180" fillId="0" borderId="0" xfId="15" applyFont="1" applyAlignment="1">
      <alignment horizontal="left" indent="2"/>
    </xf>
    <xf numFmtId="38" fontId="180" fillId="0" borderId="0" xfId="15" applyNumberFormat="1" applyFont="1"/>
    <xf numFmtId="3" fontId="180" fillId="0" borderId="0" xfId="15" applyNumberFormat="1" applyFont="1"/>
    <xf numFmtId="3" fontId="187" fillId="0" borderId="0" xfId="15" applyNumberFormat="1" applyFont="1"/>
    <xf numFmtId="3" fontId="187" fillId="0" borderId="0" xfId="15" applyNumberFormat="1" applyFont="1" applyFill="1" applyBorder="1" applyAlignment="1"/>
    <xf numFmtId="0" fontId="180" fillId="0" borderId="19" xfId="15" applyFont="1" applyBorder="1" applyAlignment="1">
      <alignment horizontal="left" indent="2"/>
    </xf>
    <xf numFmtId="176" fontId="180" fillId="0" borderId="19" xfId="15" applyNumberFormat="1" applyFont="1" applyBorder="1"/>
    <xf numFmtId="3" fontId="186" fillId="0" borderId="19" xfId="15" applyNumberFormat="1" applyFont="1" applyBorder="1"/>
    <xf numFmtId="3" fontId="186" fillId="0" borderId="19" xfId="15" applyNumberFormat="1" applyFont="1" applyFill="1" applyBorder="1" applyAlignment="1"/>
    <xf numFmtId="2" fontId="180" fillId="35" borderId="400" xfId="15" applyNumberFormat="1" applyFont="1" applyFill="1" applyBorder="1" applyAlignment="1">
      <alignment horizontal="left" vertical="center" wrapText="1" indent="2"/>
    </xf>
    <xf numFmtId="209" fontId="185" fillId="35" borderId="401" xfId="15" applyNumberFormat="1" applyFont="1" applyFill="1" applyBorder="1" applyAlignment="1">
      <alignment horizontal="center" vertical="center" wrapText="1"/>
    </xf>
    <xf numFmtId="209" fontId="180" fillId="0" borderId="0" xfId="15" applyNumberFormat="1" applyFont="1"/>
    <xf numFmtId="0" fontId="180" fillId="4" borderId="0" xfId="15" applyFont="1" applyFill="1" applyAlignment="1">
      <alignment horizontal="left" vertical="center"/>
    </xf>
    <xf numFmtId="210" fontId="180" fillId="35" borderId="400" xfId="19" applyNumberFormat="1" applyFont="1" applyFill="1" applyBorder="1" applyAlignment="1">
      <alignment horizontal="center" vertical="center" wrapText="1"/>
    </xf>
    <xf numFmtId="41" fontId="180" fillId="0" borderId="0" xfId="15" applyNumberFormat="1" applyFont="1"/>
    <xf numFmtId="0" fontId="180" fillId="0" borderId="0" xfId="15" applyNumberFormat="1" applyFont="1" applyFill="1" applyBorder="1" applyAlignment="1"/>
    <xf numFmtId="0" fontId="180" fillId="0" borderId="19" xfId="15" applyFont="1" applyBorder="1"/>
    <xf numFmtId="0" fontId="186" fillId="0" borderId="19" xfId="15" applyFont="1" applyBorder="1"/>
    <xf numFmtId="0" fontId="186" fillId="0" borderId="19" xfId="15" applyNumberFormat="1" applyFont="1" applyFill="1" applyBorder="1" applyAlignment="1"/>
    <xf numFmtId="0" fontId="174" fillId="0" borderId="0" xfId="15" applyFont="1" applyAlignment="1">
      <alignment horizontal="left" indent="2"/>
    </xf>
    <xf numFmtId="14" fontId="180" fillId="26" borderId="400" xfId="15" applyNumberFormat="1" applyFont="1" applyFill="1" applyBorder="1" applyAlignment="1">
      <alignment horizontal="center" vertical="center" wrapText="1"/>
    </xf>
    <xf numFmtId="2" fontId="180" fillId="26" borderId="400" xfId="15" applyNumberFormat="1" applyFont="1" applyFill="1" applyBorder="1" applyAlignment="1">
      <alignment horizontal="left" vertical="center" wrapText="1" indent="2"/>
    </xf>
    <xf numFmtId="1" fontId="182" fillId="26" borderId="401" xfId="15" applyNumberFormat="1" applyFont="1" applyFill="1" applyBorder="1" applyAlignment="1">
      <alignment horizontal="center" vertical="center" wrapText="1"/>
    </xf>
    <xf numFmtId="210" fontId="180" fillId="26" borderId="400" xfId="19" applyNumberFormat="1" applyFont="1" applyFill="1" applyBorder="1" applyAlignment="1">
      <alignment horizontal="center" vertical="center" wrapText="1"/>
    </xf>
    <xf numFmtId="14" fontId="182" fillId="26" borderId="400" xfId="15" applyNumberFormat="1" applyFont="1" applyFill="1" applyBorder="1" applyAlignment="1">
      <alignment horizontal="center" vertical="center" wrapText="1"/>
    </xf>
    <xf numFmtId="2" fontId="182" fillId="26" borderId="400" xfId="15" applyNumberFormat="1" applyFont="1" applyFill="1" applyBorder="1" applyAlignment="1">
      <alignment horizontal="center" vertical="center" wrapText="1"/>
    </xf>
    <xf numFmtId="197" fontId="182" fillId="26" borderId="401" xfId="19" applyNumberFormat="1" applyFont="1" applyFill="1" applyBorder="1" applyAlignment="1">
      <alignment horizontal="center" vertical="center" wrapText="1"/>
    </xf>
    <xf numFmtId="209" fontId="182" fillId="35" borderId="401" xfId="19" applyNumberFormat="1" applyFont="1" applyFill="1" applyBorder="1" applyAlignment="1">
      <alignment horizontal="center" vertical="center" wrapText="1"/>
    </xf>
    <xf numFmtId="41" fontId="180" fillId="0" borderId="0" xfId="17" applyFont="1" applyAlignment="1"/>
    <xf numFmtId="41" fontId="180" fillId="0" borderId="0" xfId="17" applyNumberFormat="1" applyFont="1" applyFill="1" applyBorder="1" applyAlignment="1"/>
    <xf numFmtId="10" fontId="182" fillId="35" borderId="401" xfId="19" applyNumberFormat="1" applyFont="1" applyFill="1" applyBorder="1" applyAlignment="1">
      <alignment horizontal="center" vertical="center" wrapText="1"/>
    </xf>
    <xf numFmtId="208" fontId="180" fillId="0" borderId="0" xfId="15" applyNumberFormat="1" applyFont="1"/>
    <xf numFmtId="208" fontId="180" fillId="0" borderId="0" xfId="15" applyNumberFormat="1" applyFont="1" applyFill="1" applyBorder="1" applyAlignment="1"/>
    <xf numFmtId="41" fontId="187" fillId="0" borderId="19" xfId="17" applyFont="1" applyBorder="1" applyAlignment="1"/>
    <xf numFmtId="41" fontId="187" fillId="0" borderId="19" xfId="17" applyNumberFormat="1" applyFont="1" applyFill="1" applyBorder="1" applyAlignment="1"/>
    <xf numFmtId="211" fontId="182" fillId="35" borderId="401" xfId="17" applyNumberFormat="1" applyFont="1" applyFill="1" applyBorder="1" applyAlignment="1">
      <alignment vertical="center" wrapText="1"/>
    </xf>
    <xf numFmtId="209" fontId="185" fillId="35" borderId="400" xfId="19" applyNumberFormat="1" applyFont="1" applyFill="1" applyBorder="1" applyAlignment="1">
      <alignment horizontal="center" vertical="center" wrapText="1"/>
    </xf>
    <xf numFmtId="1" fontId="180" fillId="0" borderId="0" xfId="15" applyNumberFormat="1" applyFont="1"/>
    <xf numFmtId="1" fontId="180" fillId="0" borderId="0" xfId="15" applyNumberFormat="1" applyFont="1" applyFill="1" applyBorder="1" applyAlignment="1"/>
    <xf numFmtId="1" fontId="182" fillId="35" borderId="401" xfId="15" applyNumberFormat="1" applyFont="1" applyFill="1" applyBorder="1" applyAlignment="1">
      <alignment horizontal="center" vertical="center" wrapText="1"/>
    </xf>
    <xf numFmtId="209" fontId="182" fillId="35" borderId="403" xfId="15" applyNumberFormat="1" applyFont="1" applyFill="1" applyBorder="1" applyAlignment="1">
      <alignment horizontal="center" vertical="center" wrapText="1"/>
    </xf>
    <xf numFmtId="209" fontId="175" fillId="0" borderId="0" xfId="15" applyNumberFormat="1" applyFont="1"/>
    <xf numFmtId="209" fontId="175" fillId="0" borderId="0" xfId="15" applyNumberFormat="1" applyFont="1" applyFill="1" applyBorder="1" applyAlignment="1"/>
    <xf numFmtId="209" fontId="175" fillId="0" borderId="0" xfId="15" applyNumberFormat="1" applyFont="1" applyFill="1" applyBorder="1" applyAlignment="1">
      <alignment horizontal="right"/>
    </xf>
    <xf numFmtId="209" fontId="175" fillId="0" borderId="0" xfId="17" applyNumberFormat="1" applyFont="1"/>
    <xf numFmtId="0" fontId="175" fillId="0" borderId="0" xfId="17" applyNumberFormat="1" applyFont="1"/>
    <xf numFmtId="0" fontId="175" fillId="0" borderId="0" xfId="17" applyNumberFormat="1" applyFont="1" applyFill="1" applyBorder="1" applyAlignment="1"/>
    <xf numFmtId="0" fontId="161" fillId="0" borderId="0" xfId="15"/>
    <xf numFmtId="38" fontId="161" fillId="0" borderId="0" xfId="15" applyNumberFormat="1"/>
    <xf numFmtId="212" fontId="6" fillId="0" borderId="0" xfId="15" applyNumberFormat="1" applyFont="1"/>
    <xf numFmtId="212" fontId="189" fillId="0" borderId="0" xfId="15" applyNumberFormat="1" applyFont="1"/>
    <xf numFmtId="212" fontId="190" fillId="0" borderId="0" xfId="15" applyNumberFormat="1" applyFont="1" applyFill="1" applyBorder="1" applyAlignment="1"/>
    <xf numFmtId="209" fontId="161" fillId="0" borderId="0" xfId="15" applyNumberFormat="1"/>
    <xf numFmtId="3" fontId="157" fillId="6" borderId="0" xfId="17" applyNumberFormat="1" applyFont="1" applyFill="1" applyBorder="1" applyAlignment="1"/>
    <xf numFmtId="0" fontId="191" fillId="0" borderId="0" xfId="15" applyFont="1"/>
    <xf numFmtId="210" fontId="182" fillId="35" borderId="404" xfId="19" applyNumberFormat="1" applyFont="1" applyFill="1" applyBorder="1" applyAlignment="1">
      <alignment horizontal="center" vertical="center" wrapText="1"/>
    </xf>
    <xf numFmtId="14" fontId="182" fillId="35" borderId="404" xfId="15" applyNumberFormat="1" applyFont="1" applyFill="1" applyBorder="1" applyAlignment="1">
      <alignment horizontal="center" vertical="center" wrapText="1"/>
    </xf>
    <xf numFmtId="9" fontId="182" fillId="35" borderId="404" xfId="19" applyFont="1" applyFill="1" applyBorder="1" applyAlignment="1">
      <alignment horizontal="center" vertical="center" wrapText="1"/>
    </xf>
    <xf numFmtId="10" fontId="182" fillId="35" borderId="404" xfId="19" applyNumberFormat="1" applyFont="1" applyFill="1" applyBorder="1" applyAlignment="1">
      <alignment horizontal="center" vertical="center" wrapText="1"/>
    </xf>
    <xf numFmtId="2" fontId="182" fillId="35" borderId="404" xfId="15" applyNumberFormat="1" applyFont="1" applyFill="1" applyBorder="1" applyAlignment="1">
      <alignment horizontal="center" vertical="center" wrapText="1"/>
    </xf>
    <xf numFmtId="0" fontId="180" fillId="0" borderId="92" xfId="15" applyFont="1" applyBorder="1" applyAlignment="1">
      <alignment horizontal="left" indent="2"/>
    </xf>
    <xf numFmtId="0" fontId="180" fillId="0" borderId="405" xfId="15" applyFont="1" applyBorder="1"/>
    <xf numFmtId="197" fontId="180" fillId="0" borderId="0" xfId="19" applyNumberFormat="1" applyFont="1" applyAlignment="1"/>
    <xf numFmtId="0" fontId="180" fillId="6" borderId="0" xfId="15" quotePrefix="1" applyFont="1" applyFill="1" applyAlignment="1">
      <alignment horizontal="left" indent="2"/>
    </xf>
    <xf numFmtId="210" fontId="193" fillId="35" borderId="404" xfId="19" applyNumberFormat="1" applyFont="1" applyFill="1" applyBorder="1" applyAlignment="1">
      <alignment horizontal="center" vertical="center" wrapText="1"/>
    </xf>
    <xf numFmtId="210" fontId="194" fillId="35" borderId="404" xfId="19" applyNumberFormat="1" applyFont="1" applyFill="1" applyBorder="1" applyAlignment="1">
      <alignment horizontal="center" vertical="center" wrapText="1"/>
    </xf>
    <xf numFmtId="208" fontId="187" fillId="0" borderId="0" xfId="15" applyNumberFormat="1" applyFont="1"/>
    <xf numFmtId="208" fontId="187" fillId="0" borderId="0" xfId="15" applyNumberFormat="1" applyFont="1" applyFill="1" applyBorder="1" applyAlignment="1"/>
    <xf numFmtId="209" fontId="180" fillId="0" borderId="0" xfId="15" applyNumberFormat="1" applyFont="1" applyAlignment="1">
      <alignment horizontal="left" indent="2"/>
    </xf>
    <xf numFmtId="0" fontId="180" fillId="35" borderId="0" xfId="15" applyFont="1" applyFill="1"/>
    <xf numFmtId="0" fontId="180" fillId="35" borderId="0" xfId="15" applyNumberFormat="1" applyFont="1" applyFill="1" applyBorder="1" applyAlignment="1"/>
    <xf numFmtId="1" fontId="182" fillId="35" borderId="403" xfId="15" applyNumberFormat="1" applyFont="1" applyFill="1" applyBorder="1" applyAlignment="1">
      <alignment horizontal="center" vertical="center" wrapText="1"/>
    </xf>
    <xf numFmtId="2" fontId="182" fillId="35" borderId="0" xfId="15" applyNumberFormat="1" applyFont="1" applyFill="1" applyAlignment="1">
      <alignment horizontal="center" vertical="center" wrapText="1"/>
    </xf>
    <xf numFmtId="2" fontId="182" fillId="35" borderId="0" xfId="15" applyNumberFormat="1" applyFont="1" applyFill="1" applyBorder="1" applyAlignment="1">
      <alignment horizontal="center" vertical="center" wrapText="1"/>
    </xf>
    <xf numFmtId="0" fontId="158" fillId="0" borderId="0" xfId="15" applyNumberFormat="1" applyFont="1" applyFill="1" applyBorder="1" applyAlignment="1"/>
    <xf numFmtId="38" fontId="158" fillId="0" borderId="0" xfId="2" applyFont="1" applyFill="1" applyBorder="1" applyAlignment="1"/>
    <xf numFmtId="0" fontId="158" fillId="0" borderId="0" xfId="15" applyFont="1" applyFill="1" applyBorder="1" applyAlignment="1"/>
    <xf numFmtId="2" fontId="158" fillId="0" borderId="0" xfId="15" applyNumberFormat="1" applyFont="1" applyFill="1" applyBorder="1" applyAlignment="1"/>
    <xf numFmtId="38" fontId="158" fillId="0" borderId="0" xfId="15" applyNumberFormat="1" applyFont="1" applyFill="1" applyBorder="1" applyAlignment="1"/>
    <xf numFmtId="14" fontId="158" fillId="6" borderId="0" xfId="15" applyNumberFormat="1" applyFont="1" applyFill="1" applyBorder="1" applyAlignment="1">
      <alignment horizontal="center" vertical="center" wrapText="1"/>
    </xf>
    <xf numFmtId="14" fontId="158" fillId="0" borderId="0" xfId="15" applyNumberFormat="1" applyFont="1" applyFill="1" applyBorder="1" applyAlignment="1">
      <alignment horizontal="center" vertical="center" wrapText="1"/>
    </xf>
    <xf numFmtId="40" fontId="158" fillId="0" borderId="0" xfId="15" applyNumberFormat="1" applyFont="1" applyFill="1" applyBorder="1" applyAlignment="1"/>
    <xf numFmtId="0" fontId="158" fillId="10" borderId="0" xfId="15" applyNumberFormat="1" applyFont="1" applyFill="1" applyBorder="1" applyAlignment="1"/>
    <xf numFmtId="38" fontId="73" fillId="0" borderId="0" xfId="17" applyNumberFormat="1" applyFont="1" applyFill="1" applyBorder="1" applyAlignment="1"/>
    <xf numFmtId="197" fontId="73" fillId="0" borderId="0" xfId="19" applyNumberFormat="1" applyFont="1" applyFill="1" applyBorder="1" applyAlignment="1"/>
    <xf numFmtId="9" fontId="73" fillId="0" borderId="0" xfId="19" applyFont="1" applyFill="1" applyBorder="1" applyAlignment="1"/>
    <xf numFmtId="38" fontId="73" fillId="0" borderId="0" xfId="17" applyNumberFormat="1" applyFont="1" applyFill="1" applyBorder="1" applyAlignment="1">
      <alignment horizontal="center" vertical="center" wrapText="1"/>
    </xf>
    <xf numFmtId="0" fontId="191" fillId="0" borderId="0" xfId="15" applyFont="1" applyFill="1"/>
    <xf numFmtId="3" fontId="192" fillId="0" borderId="0" xfId="17" applyNumberFormat="1" applyFont="1" applyFill="1"/>
    <xf numFmtId="3" fontId="157" fillId="0" borderId="0" xfId="17" applyNumberFormat="1" applyFont="1" applyFill="1" applyBorder="1" applyAlignment="1"/>
    <xf numFmtId="0" fontId="179" fillId="0" borderId="0" xfId="15" applyFont="1" applyAlignment="1">
      <alignment horizontal="right" vertical="center" wrapText="1"/>
    </xf>
    <xf numFmtId="177" fontId="0" fillId="0" borderId="0" xfId="0" applyNumberFormat="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61" xfId="0" applyBorder="1" applyAlignment="1">
      <alignment horizontal="left" vertical="center" wrapText="1"/>
    </xf>
    <xf numFmtId="0" fontId="0" fillId="0" borderId="38" xfId="0" applyBorder="1" applyAlignment="1">
      <alignment horizontal="left" vertical="center"/>
    </xf>
    <xf numFmtId="0" fontId="73" fillId="0" borderId="72" xfId="17" applyNumberFormat="1" applyFont="1" applyFill="1" applyBorder="1" applyAlignment="1">
      <alignment horizontal="center" vertical="center"/>
    </xf>
    <xf numFmtId="0" fontId="168" fillId="10" borderId="72" xfId="17" applyNumberFormat="1" applyFont="1" applyFill="1" applyBorder="1" applyAlignment="1">
      <alignment horizontal="center" vertical="center" wrapText="1"/>
    </xf>
    <xf numFmtId="0" fontId="158" fillId="10" borderId="72" xfId="17" applyNumberFormat="1" applyFont="1" applyFill="1" applyBorder="1" applyAlignment="1">
      <alignment horizontal="center" vertical="center" wrapText="1"/>
    </xf>
    <xf numFmtId="0" fontId="73" fillId="0" borderId="72" xfId="17" applyNumberFormat="1" applyFont="1" applyFill="1" applyBorder="1" applyAlignment="1">
      <alignment horizontal="left" vertical="center"/>
    </xf>
    <xf numFmtId="0" fontId="73" fillId="0" borderId="72" xfId="17" applyNumberFormat="1" applyFont="1" applyFill="1" applyBorder="1" applyAlignment="1">
      <alignment horizontal="left" vertical="center" wrapText="1"/>
    </xf>
    <xf numFmtId="0" fontId="73" fillId="0" borderId="50" xfId="17" applyNumberFormat="1" applyFont="1" applyFill="1" applyBorder="1" applyAlignment="1">
      <alignment horizontal="center" vertical="center"/>
    </xf>
    <xf numFmtId="0" fontId="73" fillId="0" borderId="21" xfId="17" applyNumberFormat="1" applyFont="1" applyFill="1" applyBorder="1" applyAlignment="1">
      <alignment horizontal="center" vertical="center"/>
    </xf>
    <xf numFmtId="0" fontId="73" fillId="0" borderId="35" xfId="17" applyNumberFormat="1" applyFont="1" applyFill="1" applyBorder="1" applyAlignment="1">
      <alignment horizontal="center" vertical="center"/>
    </xf>
    <xf numFmtId="0" fontId="160" fillId="0" borderId="50" xfId="17" applyNumberFormat="1" applyFont="1" applyFill="1" applyBorder="1" applyAlignment="1">
      <alignment horizontal="center" vertical="center"/>
    </xf>
    <xf numFmtId="0" fontId="160" fillId="0" borderId="21" xfId="17" applyNumberFormat="1" applyFont="1" applyFill="1" applyBorder="1" applyAlignment="1">
      <alignment horizontal="center" vertical="center"/>
    </xf>
    <xf numFmtId="0" fontId="160" fillId="0" borderId="35" xfId="17" applyNumberFormat="1" applyFont="1" applyFill="1" applyBorder="1" applyAlignment="1">
      <alignment horizontal="center" vertical="center"/>
    </xf>
    <xf numFmtId="38" fontId="73" fillId="0" borderId="50" xfId="17" applyNumberFormat="1" applyFont="1" applyFill="1" applyBorder="1" applyAlignment="1">
      <alignment horizontal="center" vertical="center"/>
    </xf>
    <xf numFmtId="38" fontId="73" fillId="0" borderId="21" xfId="17" applyNumberFormat="1" applyFont="1" applyFill="1" applyBorder="1" applyAlignment="1">
      <alignment horizontal="center" vertical="center"/>
    </xf>
    <xf numFmtId="38" fontId="73" fillId="0" borderId="35" xfId="17" applyNumberFormat="1" applyFont="1" applyFill="1" applyBorder="1" applyAlignment="1">
      <alignment horizontal="center" vertical="center"/>
    </xf>
    <xf numFmtId="17" fontId="79" fillId="22" borderId="345" xfId="10" applyNumberFormat="1" applyFont="1" applyFill="1" applyBorder="1" applyAlignment="1">
      <alignment horizontal="center" vertical="center" wrapText="1" readingOrder="1"/>
    </xf>
    <xf numFmtId="17" fontId="79" fillId="22" borderId="346" xfId="10" applyNumberFormat="1" applyFont="1" applyFill="1" applyBorder="1" applyAlignment="1">
      <alignment horizontal="center" vertical="center" wrapText="1" readingOrder="1"/>
    </xf>
    <xf numFmtId="0" fontId="73" fillId="0" borderId="21" xfId="0" applyFont="1" applyBorder="1" applyAlignment="1">
      <alignment horizontal="center" vertical="center"/>
    </xf>
    <xf numFmtId="0" fontId="73" fillId="0" borderId="35" xfId="0" applyFont="1" applyBorder="1" applyAlignment="1">
      <alignment horizontal="center" vertical="center"/>
    </xf>
    <xf numFmtId="0" fontId="73" fillId="0" borderId="50" xfId="0" applyFont="1" applyBorder="1" applyAlignment="1">
      <alignment horizontal="center" vertical="center"/>
    </xf>
    <xf numFmtId="0" fontId="79" fillId="22" borderId="345" xfId="10" applyFont="1" applyFill="1" applyBorder="1" applyAlignment="1">
      <alignment horizontal="center" vertical="center" wrapText="1" readingOrder="1"/>
    </xf>
    <xf numFmtId="0" fontId="79" fillId="22" borderId="346" xfId="10" applyFont="1" applyFill="1" applyBorder="1" applyAlignment="1">
      <alignment horizontal="center" vertical="center" wrapText="1" readingOrder="1"/>
    </xf>
    <xf numFmtId="0" fontId="79" fillId="22" borderId="50" xfId="10" applyFont="1" applyFill="1" applyBorder="1" applyAlignment="1">
      <alignment horizontal="center" vertical="center" readingOrder="1"/>
    </xf>
    <xf numFmtId="0" fontId="79" fillId="22" borderId="35" xfId="10" applyFont="1" applyFill="1" applyBorder="1" applyAlignment="1">
      <alignment horizontal="center" vertical="center" readingOrder="1"/>
    </xf>
    <xf numFmtId="0" fontId="158" fillId="0" borderId="50" xfId="0" applyFont="1" applyBorder="1" applyAlignment="1">
      <alignment horizontal="center" vertical="center" wrapText="1"/>
    </xf>
    <xf numFmtId="0" fontId="158" fillId="0" borderId="21" xfId="0" applyFont="1" applyBorder="1" applyAlignment="1">
      <alignment horizontal="center" vertical="center" wrapText="1"/>
    </xf>
    <xf numFmtId="0" fontId="158" fillId="0" borderId="35" xfId="0" applyFont="1" applyBorder="1" applyAlignment="1">
      <alignment horizontal="center" vertical="center" wrapText="1"/>
    </xf>
    <xf numFmtId="38" fontId="158" fillId="21" borderId="50" xfId="0" applyNumberFormat="1" applyFont="1" applyFill="1" applyBorder="1" applyAlignment="1">
      <alignment horizontal="center" vertical="center"/>
    </xf>
    <xf numFmtId="38" fontId="158" fillId="21" borderId="21" xfId="0" applyNumberFormat="1" applyFont="1" applyFill="1" applyBorder="1" applyAlignment="1">
      <alignment horizontal="center" vertical="center"/>
    </xf>
    <xf numFmtId="0" fontId="160" fillId="0" borderId="357" xfId="0" applyFont="1" applyBorder="1" applyAlignment="1">
      <alignment horizontal="center" vertical="center"/>
    </xf>
    <xf numFmtId="0" fontId="160" fillId="0" borderId="354" xfId="0" applyFont="1" applyBorder="1" applyAlignment="1">
      <alignment horizontal="center" vertical="center"/>
    </xf>
    <xf numFmtId="0" fontId="160" fillId="0" borderId="93" xfId="0" applyFont="1" applyBorder="1" applyAlignment="1">
      <alignment horizontal="center" vertical="center"/>
    </xf>
    <xf numFmtId="0" fontId="160" fillId="0" borderId="19" xfId="0" applyFont="1" applyBorder="1" applyAlignment="1">
      <alignment horizontal="center" vertical="center"/>
    </xf>
    <xf numFmtId="40" fontId="160" fillId="0" borderId="356" xfId="0" applyNumberFormat="1" applyFont="1" applyBorder="1" applyAlignment="1">
      <alignment horizontal="center" vertical="center"/>
    </xf>
    <xf numFmtId="40" fontId="160" fillId="0" borderId="33" xfId="0" applyNumberFormat="1" applyFont="1" applyBorder="1" applyAlignment="1">
      <alignment horizontal="center" vertical="center"/>
    </xf>
    <xf numFmtId="200" fontId="160" fillId="0" borderId="355" xfId="0" applyNumberFormat="1" applyFont="1" applyBorder="1" applyAlignment="1">
      <alignment horizontal="center" vertical="center"/>
    </xf>
    <xf numFmtId="200" fontId="160" fillId="0" borderId="35" xfId="0" applyNumberFormat="1" applyFont="1" applyBorder="1" applyAlignment="1">
      <alignment horizontal="center" vertical="center"/>
    </xf>
    <xf numFmtId="0" fontId="158" fillId="10" borderId="347" xfId="0" applyFont="1" applyFill="1" applyBorder="1" applyAlignment="1">
      <alignment horizontal="center" vertical="center" wrapText="1"/>
    </xf>
    <xf numFmtId="0" fontId="158" fillId="10" borderId="348" xfId="0" applyFont="1" applyFill="1" applyBorder="1" applyAlignment="1">
      <alignment horizontal="center" vertical="center" wrapText="1"/>
    </xf>
    <xf numFmtId="0" fontId="158" fillId="10" borderId="347" xfId="0" applyFont="1" applyFill="1" applyBorder="1" applyAlignment="1">
      <alignment horizontal="center" vertical="center"/>
    </xf>
    <xf numFmtId="0" fontId="158" fillId="10" borderId="50" xfId="0" applyFont="1" applyFill="1" applyBorder="1" applyAlignment="1">
      <alignment horizontal="center" vertical="center"/>
    </xf>
    <xf numFmtId="0" fontId="158" fillId="10" borderId="35" xfId="0" applyFont="1" applyFill="1" applyBorder="1" applyAlignment="1">
      <alignment horizontal="center" vertical="center"/>
    </xf>
    <xf numFmtId="0" fontId="158" fillId="10" borderId="359" xfId="0" applyFont="1" applyFill="1" applyBorder="1" applyAlignment="1">
      <alignment horizontal="center" vertical="center" wrapText="1"/>
    </xf>
    <xf numFmtId="0" fontId="158" fillId="10" borderId="350" xfId="0" applyFont="1" applyFill="1" applyBorder="1" applyAlignment="1">
      <alignment horizontal="center" vertical="center" wrapText="1"/>
    </xf>
    <xf numFmtId="200" fontId="160" fillId="26" borderId="21" xfId="15" applyNumberFormat="1" applyFont="1" applyFill="1" applyBorder="1" applyAlignment="1">
      <alignment horizontal="center" vertical="center"/>
    </xf>
    <xf numFmtId="200" fontId="160" fillId="26" borderId="35" xfId="15" applyNumberFormat="1" applyFont="1" applyFill="1" applyBorder="1" applyAlignment="1">
      <alignment horizontal="center" vertical="center"/>
    </xf>
    <xf numFmtId="0" fontId="158" fillId="10" borderId="50" xfId="0" applyFont="1" applyFill="1" applyBorder="1" applyAlignment="1">
      <alignment horizontal="center" vertical="center" wrapText="1"/>
    </xf>
    <xf numFmtId="0" fontId="158" fillId="10" borderId="35" xfId="0" applyFont="1" applyFill="1" applyBorder="1" applyAlignment="1">
      <alignment horizontal="center" vertical="center" wrapText="1"/>
    </xf>
    <xf numFmtId="0" fontId="158" fillId="10" borderId="360" xfId="0" applyFont="1" applyFill="1" applyBorder="1" applyAlignment="1">
      <alignment horizontal="center" vertical="center" wrapText="1"/>
    </xf>
    <xf numFmtId="0" fontId="158" fillId="10" borderId="349" xfId="0" applyFont="1" applyFill="1" applyBorder="1" applyAlignment="1">
      <alignment horizontal="center" vertical="center" wrapText="1"/>
    </xf>
    <xf numFmtId="38" fontId="158" fillId="21" borderId="22" xfId="0" applyNumberFormat="1" applyFont="1" applyFill="1" applyBorder="1" applyAlignment="1">
      <alignment horizontal="center" vertical="center"/>
    </xf>
    <xf numFmtId="38" fontId="158" fillId="21" borderId="87" xfId="0" applyNumberFormat="1" applyFont="1" applyFill="1" applyBorder="1" applyAlignment="1">
      <alignment horizontal="center" vertical="center"/>
    </xf>
    <xf numFmtId="0" fontId="158" fillId="10" borderId="22" xfId="0" applyFont="1" applyFill="1" applyBorder="1" applyAlignment="1">
      <alignment horizontal="center" vertical="center" wrapText="1"/>
    </xf>
    <xf numFmtId="0" fontId="158" fillId="10" borderId="93" xfId="0" applyFont="1" applyFill="1" applyBorder="1" applyAlignment="1">
      <alignment horizontal="center" vertical="center" wrapText="1"/>
    </xf>
    <xf numFmtId="0" fontId="158" fillId="10" borderId="22" xfId="0" applyFont="1" applyFill="1" applyBorder="1" applyAlignment="1">
      <alignment horizontal="center" vertical="center"/>
    </xf>
    <xf numFmtId="0" fontId="158" fillId="10" borderId="51" xfId="0" applyFont="1" applyFill="1" applyBorder="1" applyAlignment="1">
      <alignment horizontal="center" vertical="center"/>
    </xf>
    <xf numFmtId="0" fontId="158" fillId="10" borderId="93" xfId="0" applyFont="1" applyFill="1" applyBorder="1" applyAlignment="1">
      <alignment horizontal="center" vertical="center"/>
    </xf>
    <xf numFmtId="0" fontId="158" fillId="10" borderId="33" xfId="0" applyFont="1" applyFill="1" applyBorder="1" applyAlignment="1">
      <alignment horizontal="center" vertical="center"/>
    </xf>
    <xf numFmtId="0" fontId="158" fillId="10" borderId="359" xfId="0" applyFont="1" applyFill="1" applyBorder="1" applyAlignment="1">
      <alignment horizontal="center" vertical="center"/>
    </xf>
    <xf numFmtId="0" fontId="158" fillId="10" borderId="348" xfId="0" applyFont="1" applyFill="1" applyBorder="1" applyAlignment="1">
      <alignment horizontal="center" vertical="center"/>
    </xf>
    <xf numFmtId="0" fontId="158" fillId="10" borderId="376" xfId="0" applyFont="1" applyFill="1" applyBorder="1" applyAlignment="1">
      <alignment horizontal="center" vertical="center"/>
    </xf>
    <xf numFmtId="0" fontId="158" fillId="10" borderId="377" xfId="0" applyFont="1" applyFill="1" applyBorder="1" applyAlignment="1">
      <alignment horizontal="center" vertical="center"/>
    </xf>
    <xf numFmtId="38" fontId="158" fillId="21" borderId="93" xfId="0" applyNumberFormat="1" applyFont="1" applyFill="1" applyBorder="1" applyAlignment="1">
      <alignment horizontal="center" vertical="center"/>
    </xf>
    <xf numFmtId="40" fontId="160" fillId="0" borderId="22" xfId="0" applyNumberFormat="1" applyFont="1" applyBorder="1" applyAlignment="1">
      <alignment horizontal="center" vertical="center"/>
    </xf>
    <xf numFmtId="40" fontId="160" fillId="0" borderId="92" xfId="0" applyNumberFormat="1" applyFont="1" applyBorder="1" applyAlignment="1">
      <alignment horizontal="center" vertical="center"/>
    </xf>
    <xf numFmtId="40" fontId="160" fillId="0" borderId="51" xfId="0" applyNumberFormat="1" applyFont="1" applyBorder="1" applyAlignment="1">
      <alignment horizontal="center" vertical="center"/>
    </xf>
    <xf numFmtId="40" fontId="160" fillId="0" borderId="93" xfId="0" applyNumberFormat="1" applyFont="1" applyBorder="1" applyAlignment="1">
      <alignment horizontal="center" vertical="center"/>
    </xf>
    <xf numFmtId="40" fontId="160" fillId="0" borderId="19" xfId="0" applyNumberFormat="1" applyFont="1" applyBorder="1" applyAlignment="1">
      <alignment horizontal="center" vertical="center"/>
    </xf>
    <xf numFmtId="40" fontId="160" fillId="0" borderId="50" xfId="0" applyNumberFormat="1" applyFont="1" applyBorder="1" applyAlignment="1">
      <alignment horizontal="center" vertical="center"/>
    </xf>
    <xf numFmtId="40" fontId="160" fillId="0" borderId="35" xfId="0" applyNumberFormat="1" applyFont="1" applyBorder="1" applyAlignment="1">
      <alignment horizontal="center" vertical="center"/>
    </xf>
    <xf numFmtId="0" fontId="160" fillId="26" borderId="87" xfId="15" applyNumberFormat="1" applyFont="1" applyFill="1" applyBorder="1" applyAlignment="1">
      <alignment horizontal="center" vertical="center"/>
    </xf>
    <xf numFmtId="0" fontId="160" fillId="26" borderId="0" xfId="15" applyNumberFormat="1" applyFont="1" applyFill="1" applyBorder="1" applyAlignment="1">
      <alignment horizontal="center" vertical="center"/>
    </xf>
    <xf numFmtId="0" fontId="160" fillId="26" borderId="64" xfId="15" applyNumberFormat="1" applyFont="1" applyFill="1" applyBorder="1" applyAlignment="1">
      <alignment horizontal="center" vertical="center"/>
    </xf>
    <xf numFmtId="0" fontId="160" fillId="26" borderId="93" xfId="15" applyNumberFormat="1" applyFont="1" applyFill="1" applyBorder="1" applyAlignment="1">
      <alignment horizontal="center" vertical="center"/>
    </xf>
    <xf numFmtId="0" fontId="160" fillId="26" borderId="19" xfId="15" applyNumberFormat="1" applyFont="1" applyFill="1" applyBorder="1" applyAlignment="1">
      <alignment horizontal="center" vertical="center"/>
    </xf>
    <xf numFmtId="0" fontId="160" fillId="26" borderId="33" xfId="15" applyNumberFormat="1" applyFont="1" applyFill="1" applyBorder="1" applyAlignment="1">
      <alignment horizontal="center" vertical="center"/>
    </xf>
    <xf numFmtId="39" fontId="160" fillId="26" borderId="21" xfId="17" applyNumberFormat="1" applyFont="1" applyFill="1" applyBorder="1" applyAlignment="1">
      <alignment horizontal="center" vertical="center"/>
    </xf>
    <xf numFmtId="39" fontId="160" fillId="26" borderId="35" xfId="17" applyNumberFormat="1" applyFont="1" applyFill="1" applyBorder="1" applyAlignment="1">
      <alignment horizontal="center" vertical="center"/>
    </xf>
    <xf numFmtId="40" fontId="160" fillId="26" borderId="21" xfId="15" applyNumberFormat="1" applyFont="1" applyFill="1" applyBorder="1" applyAlignment="1">
      <alignment horizontal="center" vertical="center"/>
    </xf>
    <xf numFmtId="0" fontId="160" fillId="26" borderId="35" xfId="15" applyNumberFormat="1" applyFont="1" applyFill="1" applyBorder="1" applyAlignment="1">
      <alignment horizontal="center" vertical="center"/>
    </xf>
    <xf numFmtId="38" fontId="158" fillId="0" borderId="23" xfId="2" applyFont="1" applyFill="1" applyBorder="1" applyAlignment="1">
      <alignment horizontal="center" vertical="center"/>
    </xf>
    <xf numFmtId="38" fontId="158" fillId="0" borderId="49" xfId="2" applyFont="1" applyFill="1" applyBorder="1" applyAlignment="1">
      <alignment horizontal="center" vertical="center"/>
    </xf>
    <xf numFmtId="0" fontId="158" fillId="0" borderId="50" xfId="15" applyNumberFormat="1" applyFont="1" applyFill="1" applyBorder="1" applyAlignment="1">
      <alignment horizontal="center" vertical="center" wrapText="1"/>
    </xf>
    <xf numFmtId="0" fontId="158" fillId="0" borderId="21" xfId="15" applyNumberFormat="1" applyFont="1" applyFill="1" applyBorder="1" applyAlignment="1">
      <alignment horizontal="center" vertical="center" wrapText="1"/>
    </xf>
    <xf numFmtId="0" fontId="158" fillId="0" borderId="35" xfId="15" applyNumberFormat="1" applyFont="1" applyFill="1" applyBorder="1" applyAlignment="1">
      <alignment horizontal="center" vertical="center" wrapText="1"/>
    </xf>
    <xf numFmtId="38" fontId="158" fillId="21" borderId="50" xfId="15" applyNumberFormat="1" applyFont="1" applyFill="1" applyBorder="1" applyAlignment="1">
      <alignment horizontal="center" vertical="center"/>
    </xf>
    <xf numFmtId="38" fontId="158" fillId="21" borderId="21" xfId="15" applyNumberFormat="1" applyFont="1" applyFill="1" applyBorder="1" applyAlignment="1">
      <alignment horizontal="center" vertical="center"/>
    </xf>
    <xf numFmtId="0" fontId="160" fillId="0" borderId="354" xfId="15" applyNumberFormat="1" applyFont="1" applyFill="1" applyBorder="1" applyAlignment="1">
      <alignment horizontal="center" vertical="center"/>
    </xf>
    <xf numFmtId="0" fontId="160" fillId="0" borderId="19" xfId="15" applyNumberFormat="1" applyFont="1" applyFill="1" applyBorder="1" applyAlignment="1">
      <alignment horizontal="center" vertical="center"/>
    </xf>
    <xf numFmtId="40" fontId="160" fillId="0" borderId="356" xfId="15" applyNumberFormat="1" applyFont="1" applyFill="1" applyBorder="1" applyAlignment="1">
      <alignment horizontal="center" vertical="center"/>
    </xf>
    <xf numFmtId="40" fontId="160" fillId="0" borderId="33" xfId="15" applyNumberFormat="1" applyFont="1" applyFill="1" applyBorder="1" applyAlignment="1">
      <alignment horizontal="center" vertical="center"/>
    </xf>
    <xf numFmtId="200" fontId="160" fillId="0" borderId="355" xfId="15" applyNumberFormat="1" applyFont="1" applyFill="1" applyBorder="1" applyAlignment="1">
      <alignment horizontal="center" vertical="center"/>
    </xf>
    <xf numFmtId="200" fontId="160" fillId="0" borderId="35" xfId="15" applyNumberFormat="1" applyFont="1" applyFill="1" applyBorder="1" applyAlignment="1">
      <alignment horizontal="center" vertical="center"/>
    </xf>
    <xf numFmtId="38" fontId="158" fillId="0" borderId="72" xfId="2" applyFont="1" applyFill="1" applyBorder="1" applyAlignment="1">
      <alignment horizontal="center" vertical="center" wrapText="1"/>
    </xf>
    <xf numFmtId="38" fontId="159" fillId="26" borderId="23" xfId="2" applyFont="1" applyFill="1" applyBorder="1" applyAlignment="1">
      <alignment horizontal="center" vertical="center"/>
    </xf>
    <xf numFmtId="38" fontId="159" fillId="26" borderId="49" xfId="2" applyFont="1" applyFill="1" applyBorder="1" applyAlignment="1">
      <alignment horizontal="center" vertical="center"/>
    </xf>
    <xf numFmtId="0" fontId="158" fillId="0" borderId="23" xfId="15" applyNumberFormat="1" applyFont="1" applyFill="1" applyBorder="1" applyAlignment="1">
      <alignment horizontal="center" vertical="center"/>
    </xf>
    <xf numFmtId="0" fontId="158" fillId="0" borderId="49" xfId="15" applyNumberFormat="1" applyFont="1" applyFill="1" applyBorder="1" applyAlignment="1">
      <alignment horizontal="center" vertical="center"/>
    </xf>
    <xf numFmtId="40" fontId="158" fillId="0" borderId="72" xfId="15" applyNumberFormat="1" applyFont="1" applyFill="1" applyBorder="1" applyAlignment="1">
      <alignment horizontal="center" vertical="center"/>
    </xf>
    <xf numFmtId="38" fontId="158" fillId="0" borderId="72" xfId="2" applyFont="1" applyFill="1" applyBorder="1" applyAlignment="1">
      <alignment horizontal="center" vertical="center"/>
    </xf>
    <xf numFmtId="17" fontId="159" fillId="26" borderId="23" xfId="15" applyNumberFormat="1" applyFont="1" applyFill="1" applyBorder="1" applyAlignment="1">
      <alignment horizontal="center" vertical="center"/>
    </xf>
    <xf numFmtId="17" fontId="159" fillId="26" borderId="49" xfId="15" applyNumberFormat="1" applyFont="1" applyFill="1" applyBorder="1" applyAlignment="1">
      <alignment horizontal="center" vertical="center"/>
    </xf>
    <xf numFmtId="0" fontId="160" fillId="26" borderId="22" xfId="15" applyNumberFormat="1" applyFont="1" applyFill="1" applyBorder="1" applyAlignment="1">
      <alignment horizontal="center" vertical="center"/>
    </xf>
    <xf numFmtId="0" fontId="160" fillId="26" borderId="92" xfId="15" applyNumberFormat="1" applyFont="1" applyFill="1" applyBorder="1" applyAlignment="1">
      <alignment horizontal="center" vertical="center"/>
    </xf>
    <xf numFmtId="0" fontId="160" fillId="26" borderId="51" xfId="15" applyNumberFormat="1" applyFont="1" applyFill="1" applyBorder="1" applyAlignment="1">
      <alignment horizontal="center" vertical="center"/>
    </xf>
    <xf numFmtId="39" fontId="160" fillId="26" borderId="50" xfId="17" applyNumberFormat="1" applyFont="1" applyFill="1" applyBorder="1" applyAlignment="1">
      <alignment horizontal="center" vertical="center"/>
    </xf>
    <xf numFmtId="200" fontId="160" fillId="26" borderId="50" xfId="15" applyNumberFormat="1" applyFont="1" applyFill="1" applyBorder="1" applyAlignment="1">
      <alignment horizontal="center" vertical="center"/>
    </xf>
    <xf numFmtId="0" fontId="158" fillId="10" borderId="347" xfId="15" applyNumberFormat="1" applyFont="1" applyFill="1" applyBorder="1" applyAlignment="1">
      <alignment horizontal="center" vertical="center" wrapText="1"/>
    </xf>
    <xf numFmtId="0" fontId="158" fillId="10" borderId="348" xfId="15" applyNumberFormat="1" applyFont="1" applyFill="1" applyBorder="1" applyAlignment="1">
      <alignment horizontal="center" vertical="center" wrapText="1"/>
    </xf>
    <xf numFmtId="0" fontId="158" fillId="10" borderId="347" xfId="15" applyNumberFormat="1" applyFont="1" applyFill="1" applyBorder="1" applyAlignment="1">
      <alignment horizontal="center" vertical="center"/>
    </xf>
    <xf numFmtId="0" fontId="158" fillId="10" borderId="22" xfId="15" applyNumberFormat="1" applyFont="1" applyFill="1" applyBorder="1" applyAlignment="1">
      <alignment horizontal="center" vertical="center"/>
    </xf>
    <xf numFmtId="0" fontId="158" fillId="10" borderId="51" xfId="15" applyNumberFormat="1" applyFont="1" applyFill="1" applyBorder="1" applyAlignment="1">
      <alignment horizontal="center" vertical="center"/>
    </xf>
    <xf numFmtId="0" fontId="158" fillId="10" borderId="93" xfId="15" applyNumberFormat="1" applyFont="1" applyFill="1" applyBorder="1" applyAlignment="1">
      <alignment horizontal="center" vertical="center"/>
    </xf>
    <xf numFmtId="0" fontId="158" fillId="10" borderId="33" xfId="15" applyNumberFormat="1" applyFont="1" applyFill="1" applyBorder="1" applyAlignment="1">
      <alignment horizontal="center" vertical="center"/>
    </xf>
    <xf numFmtId="0" fontId="158" fillId="10" borderId="50" xfId="15" applyNumberFormat="1" applyFont="1" applyFill="1" applyBorder="1" applyAlignment="1">
      <alignment horizontal="center" vertical="center"/>
    </xf>
    <xf numFmtId="0" fontId="158" fillId="10" borderId="35" xfId="15" applyNumberFormat="1" applyFont="1" applyFill="1" applyBorder="1" applyAlignment="1">
      <alignment horizontal="center" vertical="center"/>
    </xf>
    <xf numFmtId="0" fontId="158" fillId="10" borderId="50" xfId="15" applyNumberFormat="1" applyFont="1" applyFill="1" applyBorder="1" applyAlignment="1">
      <alignment horizontal="center" vertical="center" wrapText="1"/>
    </xf>
    <xf numFmtId="0" fontId="158" fillId="10" borderId="35" xfId="15" applyNumberFormat="1" applyFont="1" applyFill="1" applyBorder="1" applyAlignment="1">
      <alignment horizontal="center" vertical="center" wrapText="1"/>
    </xf>
    <xf numFmtId="0" fontId="158" fillId="10" borderId="360" xfId="15" applyNumberFormat="1" applyFont="1" applyFill="1" applyBorder="1" applyAlignment="1">
      <alignment horizontal="center" vertical="center" wrapText="1"/>
    </xf>
    <xf numFmtId="0" fontId="158" fillId="10" borderId="349" xfId="15" applyNumberFormat="1" applyFont="1" applyFill="1" applyBorder="1" applyAlignment="1">
      <alignment horizontal="center" vertical="center" wrapText="1"/>
    </xf>
    <xf numFmtId="0" fontId="158" fillId="10" borderId="374" xfId="15" applyNumberFormat="1" applyFont="1" applyFill="1" applyBorder="1" applyAlignment="1">
      <alignment horizontal="center" vertical="center"/>
    </xf>
    <xf numFmtId="0" fontId="158" fillId="10" borderId="375" xfId="15" applyNumberFormat="1" applyFont="1" applyFill="1" applyBorder="1" applyAlignment="1">
      <alignment horizontal="center" vertical="center"/>
    </xf>
    <xf numFmtId="0" fontId="158" fillId="10" borderId="359" xfId="15" applyNumberFormat="1" applyFont="1" applyFill="1" applyBorder="1" applyAlignment="1">
      <alignment horizontal="center" vertical="center"/>
    </xf>
    <xf numFmtId="0" fontId="158" fillId="10" borderId="348" xfId="15" applyNumberFormat="1" applyFont="1" applyFill="1" applyBorder="1" applyAlignment="1">
      <alignment horizontal="center" vertical="center"/>
    </xf>
    <xf numFmtId="0" fontId="158" fillId="10" borderId="350" xfId="15" applyNumberFormat="1" applyFont="1" applyFill="1" applyBorder="1" applyAlignment="1">
      <alignment horizontal="center" vertical="center"/>
    </xf>
    <xf numFmtId="0" fontId="158" fillId="0" borderId="22" xfId="15" applyNumberFormat="1" applyFont="1" applyFill="1" applyBorder="1" applyAlignment="1">
      <alignment horizontal="center" vertical="center" wrapText="1"/>
    </xf>
    <xf numFmtId="0" fontId="158" fillId="0" borderId="92" xfId="15" applyNumberFormat="1" applyFont="1" applyFill="1" applyBorder="1" applyAlignment="1">
      <alignment horizontal="center" vertical="center" wrapText="1"/>
    </xf>
    <xf numFmtId="0" fontId="158" fillId="0" borderId="51" xfId="15" applyNumberFormat="1" applyFont="1" applyFill="1" applyBorder="1" applyAlignment="1">
      <alignment horizontal="center" vertical="center" wrapText="1"/>
    </xf>
    <xf numFmtId="0" fontId="158" fillId="0" borderId="87" xfId="15" applyNumberFormat="1" applyFont="1" applyFill="1" applyBorder="1" applyAlignment="1">
      <alignment horizontal="center" vertical="center" wrapText="1"/>
    </xf>
    <xf numFmtId="0" fontId="158" fillId="0" borderId="0" xfId="15" applyNumberFormat="1" applyFont="1" applyFill="1" applyBorder="1" applyAlignment="1">
      <alignment horizontal="center" vertical="center" wrapText="1"/>
    </xf>
    <xf numFmtId="0" fontId="158" fillId="0" borderId="64" xfId="15" applyNumberFormat="1" applyFont="1" applyFill="1" applyBorder="1" applyAlignment="1">
      <alignment horizontal="center" vertical="center" wrapText="1"/>
    </xf>
    <xf numFmtId="40" fontId="160" fillId="0" borderId="51" xfId="15" applyNumberFormat="1" applyFont="1" applyFill="1" applyBorder="1" applyAlignment="1">
      <alignment horizontal="center" vertical="center"/>
    </xf>
    <xf numFmtId="200" fontId="160" fillId="0" borderId="50" xfId="15" applyNumberFormat="1" applyFont="1" applyFill="1" applyBorder="1" applyAlignment="1">
      <alignment horizontal="center" vertical="center"/>
    </xf>
    <xf numFmtId="0" fontId="158" fillId="0" borderId="93" xfId="15" applyNumberFormat="1" applyFont="1" applyFill="1" applyBorder="1" applyAlignment="1">
      <alignment horizontal="center" vertical="center" wrapText="1"/>
    </xf>
    <xf numFmtId="0" fontId="158" fillId="0" borderId="19" xfId="15" applyNumberFormat="1" applyFont="1" applyFill="1" applyBorder="1" applyAlignment="1">
      <alignment horizontal="center" vertical="center" wrapText="1"/>
    </xf>
    <xf numFmtId="0" fontId="158" fillId="0" borderId="33" xfId="15" applyNumberFormat="1" applyFont="1" applyFill="1" applyBorder="1" applyAlignment="1">
      <alignment horizontal="center" vertical="center" wrapText="1"/>
    </xf>
    <xf numFmtId="0" fontId="180" fillId="4" borderId="0" xfId="15" applyFont="1" applyFill="1" applyAlignment="1">
      <alignment horizontal="left"/>
    </xf>
    <xf numFmtId="0" fontId="180" fillId="4" borderId="402" xfId="15" applyFont="1" applyFill="1" applyBorder="1" applyAlignment="1">
      <alignment horizontal="left"/>
    </xf>
    <xf numFmtId="0" fontId="181" fillId="0" borderId="0" xfId="15" applyFont="1" applyAlignment="1">
      <alignment horizontal="left" vertical="center" wrapText="1" indent="2"/>
    </xf>
    <xf numFmtId="0" fontId="188" fillId="6" borderId="0" xfId="15" applyFont="1" applyFill="1" applyAlignment="1">
      <alignment horizontal="left" vertical="center" wrapText="1"/>
    </xf>
    <xf numFmtId="0" fontId="180" fillId="6" borderId="0" xfId="15" applyFont="1" applyFill="1" applyAlignment="1">
      <alignment horizontal="left"/>
    </xf>
    <xf numFmtId="0" fontId="180" fillId="6" borderId="402" xfId="15" applyFont="1" applyFill="1" applyBorder="1" applyAlignment="1">
      <alignment horizontal="left"/>
    </xf>
    <xf numFmtId="0" fontId="188" fillId="6" borderId="0" xfId="15" applyNumberFormat="1" applyFont="1" applyFill="1" applyBorder="1" applyAlignment="1">
      <alignment horizontal="left" vertical="center" wrapText="1"/>
    </xf>
    <xf numFmtId="0" fontId="180" fillId="0" borderId="0" xfId="15" applyFont="1" applyAlignment="1">
      <alignment horizontal="left" vertical="center" wrapText="1"/>
    </xf>
    <xf numFmtId="0" fontId="180" fillId="0" borderId="402" xfId="15" applyFont="1" applyBorder="1" applyAlignment="1">
      <alignment horizontal="left" vertical="center" wrapText="1"/>
    </xf>
    <xf numFmtId="0" fontId="180" fillId="0" borderId="0" xfId="15" applyFont="1" applyAlignment="1">
      <alignment horizontal="left"/>
    </xf>
    <xf numFmtId="0" fontId="180" fillId="0" borderId="402" xfId="15" applyFont="1" applyBorder="1" applyAlignment="1">
      <alignment horizontal="left"/>
    </xf>
    <xf numFmtId="0" fontId="158" fillId="10" borderId="362" xfId="15" applyNumberFormat="1" applyFont="1" applyFill="1" applyBorder="1" applyAlignment="1">
      <alignment horizontal="center" vertical="center"/>
    </xf>
    <xf numFmtId="0" fontId="158" fillId="10" borderId="363" xfId="15" applyNumberFormat="1" applyFont="1" applyFill="1" applyBorder="1" applyAlignment="1">
      <alignment horizontal="center" vertical="center"/>
    </xf>
    <xf numFmtId="38" fontId="158" fillId="10" borderId="72" xfId="15" applyNumberFormat="1" applyFont="1" applyFill="1" applyBorder="1" applyAlignment="1">
      <alignment horizontal="center" vertical="center"/>
    </xf>
    <xf numFmtId="0" fontId="158" fillId="10" borderId="72" xfId="15" applyNumberFormat="1" applyFont="1" applyFill="1" applyBorder="1" applyAlignment="1">
      <alignment horizontal="center" vertical="center"/>
    </xf>
    <xf numFmtId="0" fontId="158" fillId="10" borderId="72" xfId="15" applyNumberFormat="1" applyFont="1" applyFill="1" applyBorder="1" applyAlignment="1">
      <alignment horizontal="center" vertical="center" wrapText="1"/>
    </xf>
    <xf numFmtId="38" fontId="158" fillId="10" borderId="72" xfId="17" applyNumberFormat="1" applyFont="1" applyFill="1" applyBorder="1" applyAlignment="1">
      <alignment horizontal="center" vertical="center" wrapText="1"/>
    </xf>
    <xf numFmtId="0" fontId="158" fillId="0" borderId="72" xfId="15" applyNumberFormat="1" applyFont="1" applyFill="1" applyBorder="1" applyAlignment="1">
      <alignment horizontal="center" vertical="center"/>
    </xf>
    <xf numFmtId="38" fontId="159" fillId="10" borderId="50" xfId="15" applyNumberFormat="1" applyFont="1" applyFill="1" applyBorder="1" applyAlignment="1">
      <alignment horizontal="center" vertical="center"/>
    </xf>
    <xf numFmtId="38" fontId="159" fillId="10" borderId="35" xfId="15" applyNumberFormat="1" applyFont="1" applyFill="1" applyBorder="1" applyAlignment="1">
      <alignment horizontal="center" vertical="center"/>
    </xf>
    <xf numFmtId="38" fontId="171" fillId="10" borderId="23" xfId="15" applyNumberFormat="1" applyFont="1" applyFill="1" applyBorder="1" applyAlignment="1">
      <alignment horizontal="center" vertical="center"/>
    </xf>
    <xf numFmtId="38" fontId="171" fillId="10" borderId="39" xfId="15" applyNumberFormat="1" applyFont="1" applyFill="1" applyBorder="1" applyAlignment="1">
      <alignment horizontal="center" vertical="center"/>
    </xf>
    <xf numFmtId="38" fontId="171" fillId="10" borderId="49" xfId="15" applyNumberFormat="1" applyFont="1" applyFill="1" applyBorder="1" applyAlignment="1">
      <alignment horizontal="center" vertical="center"/>
    </xf>
    <xf numFmtId="38" fontId="172" fillId="10" borderId="50" xfId="15" applyNumberFormat="1" applyFont="1" applyFill="1" applyBorder="1" applyAlignment="1">
      <alignment horizontal="center" vertical="center"/>
    </xf>
    <xf numFmtId="38" fontId="172" fillId="10" borderId="35" xfId="15" applyNumberFormat="1" applyFont="1" applyFill="1" applyBorder="1" applyAlignment="1">
      <alignment horizontal="center" vertical="center"/>
    </xf>
    <xf numFmtId="40" fontId="77" fillId="10" borderId="72" xfId="2" applyNumberFormat="1" applyFont="1" applyFill="1" applyBorder="1" applyAlignment="1">
      <alignment horizontal="center" vertical="center" wrapText="1" readingOrder="1"/>
    </xf>
    <xf numFmtId="0" fontId="73" fillId="10" borderId="72" xfId="0" applyFont="1" applyFill="1" applyBorder="1" applyAlignment="1">
      <alignment horizontal="center" vertical="center" wrapText="1" readingOrder="1"/>
    </xf>
    <xf numFmtId="2" fontId="77" fillId="10" borderId="72" xfId="10" applyNumberFormat="1" applyFont="1" applyFill="1" applyBorder="1" applyAlignment="1">
      <alignment horizontal="center" vertical="center" wrapText="1" readingOrder="1"/>
    </xf>
    <xf numFmtId="0" fontId="79" fillId="0" borderId="72" xfId="10" applyFont="1" applyBorder="1" applyAlignment="1">
      <alignment horizontal="center" vertical="center" readingOrder="1"/>
    </xf>
    <xf numFmtId="40" fontId="77" fillId="0" borderId="72" xfId="2" applyNumberFormat="1" applyFont="1" applyBorder="1" applyAlignment="1">
      <alignment horizontal="center" vertical="center" readingOrder="1"/>
    </xf>
    <xf numFmtId="2" fontId="77" fillId="0" borderId="72" xfId="10" applyNumberFormat="1" applyFont="1" applyBorder="1" applyAlignment="1">
      <alignment horizontal="center" vertical="center" readingOrder="1"/>
    </xf>
    <xf numFmtId="40" fontId="77" fillId="0" borderId="72" xfId="2" applyNumberFormat="1" applyFont="1" applyBorder="1" applyAlignment="1">
      <alignment horizontal="center" vertical="center" wrapText="1" readingOrder="1"/>
    </xf>
    <xf numFmtId="0" fontId="79" fillId="22" borderId="72" xfId="10" applyFont="1" applyFill="1" applyBorder="1" applyAlignment="1">
      <alignment horizontal="center" vertical="center" wrapText="1" readingOrder="1"/>
    </xf>
    <xf numFmtId="0" fontId="63" fillId="11" borderId="0" xfId="10" applyFont="1" applyFill="1" applyAlignment="1">
      <alignment horizontal="center" vertical="center"/>
    </xf>
    <xf numFmtId="0" fontId="79" fillId="22" borderId="50" xfId="10" applyFont="1" applyFill="1" applyBorder="1" applyAlignment="1">
      <alignment horizontal="center" vertical="center" wrapText="1" readingOrder="1"/>
    </xf>
    <xf numFmtId="0" fontId="79" fillId="22" borderId="35" xfId="10" applyFont="1" applyFill="1" applyBorder="1" applyAlignment="1">
      <alignment horizontal="center" vertical="center" wrapText="1" readingOrder="1"/>
    </xf>
    <xf numFmtId="0" fontId="73" fillId="10" borderId="50" xfId="0" applyFont="1" applyFill="1" applyBorder="1" applyAlignment="1">
      <alignment horizontal="center" vertical="center" wrapText="1" readingOrder="1"/>
    </xf>
    <xf numFmtId="0" fontId="79" fillId="0" borderId="22" xfId="10" applyFont="1" applyBorder="1" applyAlignment="1">
      <alignment horizontal="center" vertical="center" readingOrder="1"/>
    </xf>
    <xf numFmtId="0" fontId="79" fillId="0" borderId="87" xfId="10" applyFont="1" applyBorder="1" applyAlignment="1">
      <alignment horizontal="center" vertical="center" readingOrder="1"/>
    </xf>
    <xf numFmtId="0" fontId="79" fillId="0" borderId="93" xfId="10" applyFont="1" applyBorder="1" applyAlignment="1">
      <alignment horizontal="center" vertical="center" readingOrder="1"/>
    </xf>
    <xf numFmtId="40" fontId="77" fillId="0" borderId="50" xfId="2" applyNumberFormat="1" applyFont="1" applyBorder="1" applyAlignment="1">
      <alignment horizontal="center" vertical="center" readingOrder="1"/>
    </xf>
    <xf numFmtId="40" fontId="77" fillId="0" borderId="21" xfId="2" applyNumberFormat="1" applyFont="1" applyBorder="1" applyAlignment="1">
      <alignment horizontal="center" vertical="center" readingOrder="1"/>
    </xf>
    <xf numFmtId="40" fontId="77" fillId="0" borderId="35" xfId="2" applyNumberFormat="1" applyFont="1" applyBorder="1" applyAlignment="1">
      <alignment horizontal="center" vertical="center" readingOrder="1"/>
    </xf>
    <xf numFmtId="2" fontId="77" fillId="0" borderId="50" xfId="10" applyNumberFormat="1" applyFont="1" applyBorder="1" applyAlignment="1">
      <alignment horizontal="center" vertical="center" readingOrder="1"/>
    </xf>
    <xf numFmtId="2" fontId="77" fillId="0" borderId="21" xfId="10" applyNumberFormat="1" applyFont="1" applyBorder="1" applyAlignment="1">
      <alignment horizontal="center" vertical="center" readingOrder="1"/>
    </xf>
    <xf numFmtId="2" fontId="77" fillId="0" borderId="35" xfId="10" applyNumberFormat="1" applyFont="1" applyBorder="1" applyAlignment="1">
      <alignment horizontal="center" vertical="center" readingOrder="1"/>
    </xf>
    <xf numFmtId="3" fontId="78" fillId="10" borderId="343" xfId="10" applyNumberFormat="1" applyFont="1" applyFill="1" applyBorder="1" applyAlignment="1">
      <alignment horizontal="center" vertical="center"/>
    </xf>
    <xf numFmtId="3" fontId="78" fillId="10" borderId="21" xfId="10" applyNumberFormat="1" applyFont="1" applyFill="1" applyBorder="1" applyAlignment="1">
      <alignment horizontal="center" vertical="center"/>
    </xf>
    <xf numFmtId="3" fontId="78" fillId="10" borderId="399" xfId="10" applyNumberFormat="1" applyFont="1" applyFill="1" applyBorder="1" applyAlignment="1">
      <alignment horizontal="center" vertical="center"/>
    </xf>
    <xf numFmtId="3" fontId="78" fillId="10" borderId="342" xfId="10" applyNumberFormat="1" applyFont="1" applyFill="1" applyBorder="1" applyAlignment="1">
      <alignment horizontal="center" vertical="center"/>
    </xf>
    <xf numFmtId="197" fontId="77" fillId="10" borderId="399" xfId="10" applyNumberFormat="1" applyFont="1" applyFill="1" applyBorder="1" applyAlignment="1">
      <alignment horizontal="center" vertical="center"/>
    </xf>
    <xf numFmtId="197" fontId="77" fillId="10" borderId="342" xfId="10" applyNumberFormat="1" applyFont="1" applyFill="1" applyBorder="1" applyAlignment="1">
      <alignment horizontal="center" vertical="center"/>
    </xf>
    <xf numFmtId="14" fontId="78" fillId="0" borderId="399" xfId="10" applyNumberFormat="1" applyFont="1" applyBorder="1" applyAlignment="1">
      <alignment horizontal="center" vertical="center"/>
    </xf>
    <xf numFmtId="14" fontId="78" fillId="0" borderId="342" xfId="10" applyNumberFormat="1" applyFont="1" applyBorder="1" applyAlignment="1">
      <alignment horizontal="center" vertical="center"/>
    </xf>
    <xf numFmtId="3" fontId="78" fillId="0" borderId="399" xfId="10" applyNumberFormat="1" applyFont="1" applyBorder="1" applyAlignment="1">
      <alignment horizontal="center" vertical="center"/>
    </xf>
    <xf numFmtId="3" fontId="78" fillId="0" borderId="342" xfId="10" applyNumberFormat="1" applyFont="1" applyBorder="1" applyAlignment="1">
      <alignment horizontal="center" vertical="center"/>
    </xf>
    <xf numFmtId="197" fontId="77" fillId="0" borderId="399" xfId="10" applyNumberFormat="1" applyFont="1" applyBorder="1" applyAlignment="1">
      <alignment horizontal="center" vertical="center"/>
    </xf>
    <xf numFmtId="197" fontId="77" fillId="0" borderId="342" xfId="10" applyNumberFormat="1" applyFont="1" applyBorder="1" applyAlignment="1">
      <alignment horizontal="center" vertical="center"/>
    </xf>
    <xf numFmtId="0" fontId="79" fillId="22" borderId="23" xfId="10" applyFont="1" applyFill="1" applyBorder="1" applyAlignment="1">
      <alignment horizontal="center" vertical="center" wrapText="1" readingOrder="1"/>
    </xf>
    <xf numFmtId="0" fontId="79" fillId="22" borderId="39" xfId="10" applyFont="1" applyFill="1" applyBorder="1" applyAlignment="1">
      <alignment horizontal="center" vertical="center" wrapText="1" readingOrder="1"/>
    </xf>
    <xf numFmtId="0" fontId="79" fillId="22" borderId="49" xfId="10" applyFont="1" applyFill="1" applyBorder="1" applyAlignment="1">
      <alignment horizontal="center" vertical="center" wrapText="1" readingOrder="1"/>
    </xf>
    <xf numFmtId="10" fontId="77" fillId="0" borderId="399" xfId="10" applyNumberFormat="1" applyFont="1" applyBorder="1" applyAlignment="1">
      <alignment horizontal="center" vertical="center"/>
    </xf>
    <xf numFmtId="10" fontId="77" fillId="0" borderId="342" xfId="10" applyNumberFormat="1" applyFont="1" applyBorder="1" applyAlignment="1">
      <alignment horizontal="center" vertical="center"/>
    </xf>
    <xf numFmtId="3" fontId="78" fillId="0" borderId="343" xfId="10" applyNumberFormat="1" applyFont="1" applyBorder="1" applyAlignment="1">
      <alignment horizontal="center" vertical="center"/>
    </xf>
    <xf numFmtId="3" fontId="78" fillId="0" borderId="21" xfId="10" applyNumberFormat="1" applyFont="1" applyBorder="1" applyAlignment="1">
      <alignment horizontal="center" vertical="center"/>
    </xf>
    <xf numFmtId="10" fontId="77" fillId="10" borderId="399" xfId="10" applyNumberFormat="1" applyFont="1" applyFill="1" applyBorder="1" applyAlignment="1">
      <alignment horizontal="center" vertical="center"/>
    </xf>
    <xf numFmtId="10" fontId="77" fillId="10" borderId="342" xfId="10" applyNumberFormat="1" applyFont="1" applyFill="1" applyBorder="1" applyAlignment="1">
      <alignment horizontal="center" vertical="center"/>
    </xf>
    <xf numFmtId="0" fontId="73" fillId="0" borderId="165" xfId="10" applyFont="1" applyBorder="1" applyAlignment="1">
      <alignment horizontal="center" vertical="center"/>
    </xf>
    <xf numFmtId="0" fontId="73" fillId="0" borderId="336" xfId="10" applyFont="1" applyBorder="1" applyAlignment="1">
      <alignment horizontal="center" vertical="center"/>
    </xf>
    <xf numFmtId="0" fontId="73" fillId="0" borderId="158" xfId="10" applyFont="1" applyBorder="1" applyAlignment="1">
      <alignment horizontal="center" vertical="center"/>
    </xf>
    <xf numFmtId="0" fontId="73" fillId="0" borderId="337" xfId="0" applyFont="1" applyBorder="1" applyAlignment="1">
      <alignment horizontal="center" vertical="center"/>
    </xf>
    <xf numFmtId="0" fontId="73" fillId="0" borderId="160" xfId="0" applyFont="1" applyBorder="1" applyAlignment="1">
      <alignment horizontal="center" vertical="center"/>
    </xf>
    <xf numFmtId="0" fontId="73" fillId="0" borderId="162" xfId="0" applyFont="1" applyBorder="1" applyAlignment="1">
      <alignment horizontal="center" vertical="center"/>
    </xf>
    <xf numFmtId="0" fontId="73" fillId="0" borderId="88" xfId="0" applyFont="1" applyBorder="1" applyAlignment="1">
      <alignment horizontal="center" vertical="center"/>
    </xf>
    <xf numFmtId="0" fontId="148" fillId="0" borderId="50" xfId="0" applyFont="1" applyBorder="1" applyAlignment="1">
      <alignment horizontal="center" vertical="center"/>
    </xf>
    <xf numFmtId="0" fontId="73" fillId="0" borderId="320" xfId="0" applyFont="1" applyBorder="1" applyAlignment="1">
      <alignment horizontal="center" vertical="center"/>
    </xf>
    <xf numFmtId="0" fontId="148" fillId="10" borderId="72" xfId="0" applyFont="1" applyFill="1" applyBorder="1" applyAlignment="1">
      <alignment horizontal="center" vertical="center"/>
    </xf>
    <xf numFmtId="0" fontId="73" fillId="10" borderId="72" xfId="0" applyFont="1" applyFill="1" applyBorder="1" applyAlignment="1">
      <alignment horizontal="center" vertical="center"/>
    </xf>
    <xf numFmtId="0" fontId="151" fillId="0" borderId="337" xfId="0" applyFont="1" applyBorder="1" applyAlignment="1">
      <alignment horizontal="center" vertical="center"/>
    </xf>
    <xf numFmtId="3" fontId="78" fillId="0" borderId="21" xfId="10" applyNumberFormat="1" applyFont="1" applyBorder="1" applyAlignment="1">
      <alignment horizontal="center" vertical="center" wrapText="1"/>
    </xf>
    <xf numFmtId="3" fontId="78" fillId="0" borderId="353" xfId="10" applyNumberFormat="1" applyFont="1" applyBorder="1" applyAlignment="1">
      <alignment horizontal="center" vertical="center" wrapText="1"/>
    </xf>
    <xf numFmtId="3" fontId="78" fillId="0" borderId="50" xfId="10" applyNumberFormat="1" applyFont="1" applyBorder="1" applyAlignment="1">
      <alignment horizontal="center" vertical="center" wrapText="1"/>
    </xf>
    <xf numFmtId="40" fontId="77" fillId="10" borderId="349" xfId="2" applyNumberFormat="1" applyFont="1" applyFill="1" applyBorder="1" applyAlignment="1">
      <alignment horizontal="center" vertical="center" wrapText="1" readingOrder="1"/>
    </xf>
    <xf numFmtId="40" fontId="77" fillId="10" borderId="350" xfId="2" applyNumberFormat="1" applyFont="1" applyFill="1" applyBorder="1" applyAlignment="1">
      <alignment horizontal="center" vertical="center" wrapText="1" readingOrder="1"/>
    </xf>
    <xf numFmtId="0" fontId="46" fillId="12" borderId="21" xfId="0" applyFont="1" applyFill="1" applyBorder="1">
      <alignment vertical="center"/>
    </xf>
    <xf numFmtId="0" fontId="46" fillId="12" borderId="35" xfId="0" applyFont="1" applyFill="1" applyBorder="1">
      <alignment vertical="center"/>
    </xf>
    <xf numFmtId="0" fontId="153" fillId="0" borderId="21" xfId="0" applyFont="1" applyBorder="1" applyAlignment="1">
      <alignment vertical="center" wrapText="1"/>
    </xf>
    <xf numFmtId="0" fontId="153" fillId="0" borderId="35" xfId="0" applyFont="1" applyBorder="1" applyAlignment="1">
      <alignment vertical="center" wrapText="1"/>
    </xf>
    <xf numFmtId="0" fontId="42" fillId="12" borderId="23" xfId="0" applyFont="1" applyFill="1" applyBorder="1">
      <alignment vertical="center"/>
    </xf>
    <xf numFmtId="0" fontId="42" fillId="12" borderId="39" xfId="0" applyFont="1" applyFill="1" applyBorder="1">
      <alignment vertical="center"/>
    </xf>
    <xf numFmtId="0" fontId="42" fillId="12" borderId="49" xfId="0" applyFont="1" applyFill="1" applyBorder="1">
      <alignment vertical="center"/>
    </xf>
    <xf numFmtId="0" fontId="42" fillId="12" borderId="24" xfId="0" applyFont="1" applyFill="1" applyBorder="1">
      <alignment vertical="center"/>
    </xf>
    <xf numFmtId="0" fontId="46" fillId="12" borderId="21" xfId="0" applyFont="1" applyFill="1" applyBorder="1" applyAlignment="1">
      <alignment horizontal="center" vertical="center"/>
    </xf>
    <xf numFmtId="0" fontId="46" fillId="12" borderId="35" xfId="0" applyFont="1" applyFill="1" applyBorder="1" applyAlignment="1">
      <alignment horizontal="center" vertical="center"/>
    </xf>
    <xf numFmtId="0" fontId="46" fillId="12" borderId="23" xfId="0" applyFont="1" applyFill="1" applyBorder="1">
      <alignment vertical="center"/>
    </xf>
    <xf numFmtId="0" fontId="46" fillId="12" borderId="39" xfId="0" applyFont="1" applyFill="1" applyBorder="1">
      <alignment vertical="center"/>
    </xf>
    <xf numFmtId="0" fontId="46" fillId="12" borderId="24" xfId="0" applyFont="1" applyFill="1" applyBorder="1">
      <alignment vertical="center"/>
    </xf>
    <xf numFmtId="0" fontId="46" fillId="12" borderId="50" xfId="0" applyFont="1" applyFill="1" applyBorder="1">
      <alignment vertical="center"/>
    </xf>
    <xf numFmtId="0" fontId="42" fillId="18" borderId="23" xfId="0" applyFont="1" applyFill="1" applyBorder="1">
      <alignment vertical="center"/>
    </xf>
    <xf numFmtId="0" fontId="42" fillId="18" borderId="39" xfId="0" applyFont="1" applyFill="1" applyBorder="1">
      <alignment vertical="center"/>
    </xf>
    <xf numFmtId="0" fontId="42" fillId="18" borderId="24" xfId="0" applyFont="1" applyFill="1" applyBorder="1">
      <alignment vertical="center"/>
    </xf>
    <xf numFmtId="0" fontId="46" fillId="0" borderId="21" xfId="0" applyFont="1" applyBorder="1" applyAlignment="1">
      <alignment vertical="center" wrapText="1"/>
    </xf>
    <xf numFmtId="0" fontId="46" fillId="0" borderId="35" xfId="0" applyFont="1" applyBorder="1" applyAlignment="1">
      <alignment vertical="center" wrapText="1"/>
    </xf>
    <xf numFmtId="0" fontId="42" fillId="0" borderId="21" xfId="0" applyFont="1" applyBorder="1" applyAlignment="1">
      <alignment vertical="center" wrapText="1"/>
    </xf>
    <xf numFmtId="0" fontId="42" fillId="0" borderId="35" xfId="0" applyFont="1" applyBorder="1" applyAlignment="1">
      <alignment vertical="center" wrapText="1"/>
    </xf>
    <xf numFmtId="0" fontId="153" fillId="0" borderId="50" xfId="0" applyFont="1" applyBorder="1" applyAlignment="1">
      <alignment horizontal="left" vertical="center" wrapText="1"/>
    </xf>
    <xf numFmtId="0" fontId="153" fillId="0" borderId="21" xfId="0" applyFont="1" applyBorder="1" applyAlignment="1">
      <alignment horizontal="left" vertical="center" wrapText="1"/>
    </xf>
    <xf numFmtId="0" fontId="153" fillId="0" borderId="35" xfId="0" applyFont="1" applyBorder="1" applyAlignment="1">
      <alignment horizontal="left" vertical="center" wrapText="1"/>
    </xf>
    <xf numFmtId="0" fontId="46" fillId="12" borderId="93" xfId="0" applyFont="1" applyFill="1" applyBorder="1">
      <alignment vertical="center"/>
    </xf>
    <xf numFmtId="0" fontId="46" fillId="12" borderId="19" xfId="0" applyFont="1" applyFill="1" applyBorder="1">
      <alignment vertical="center"/>
    </xf>
    <xf numFmtId="0" fontId="46" fillId="12" borderId="42" xfId="0" applyFont="1" applyFill="1" applyBorder="1">
      <alignment vertical="center"/>
    </xf>
    <xf numFmtId="0" fontId="153" fillId="0" borderId="20" xfId="0" applyFont="1" applyBorder="1" applyAlignment="1">
      <alignment vertical="center" wrapText="1"/>
    </xf>
    <xf numFmtId="0" fontId="42" fillId="12" borderId="351" xfId="0" applyFont="1" applyFill="1" applyBorder="1">
      <alignment vertical="center"/>
    </xf>
    <xf numFmtId="0" fontId="42" fillId="12" borderId="94" xfId="0" applyFont="1" applyFill="1" applyBorder="1">
      <alignment vertical="center"/>
    </xf>
    <xf numFmtId="0" fontId="42" fillId="12" borderId="352" xfId="0" applyFont="1" applyFill="1" applyBorder="1">
      <alignment vertical="center"/>
    </xf>
    <xf numFmtId="0" fontId="43" fillId="11" borderId="0" xfId="0" applyFont="1" applyFill="1">
      <alignment vertical="center"/>
    </xf>
    <xf numFmtId="0" fontId="46" fillId="12" borderId="50" xfId="0" applyFont="1" applyFill="1" applyBorder="1" applyAlignment="1">
      <alignment horizontal="center" vertical="center"/>
    </xf>
    <xf numFmtId="0" fontId="67" fillId="3" borderId="15" xfId="0" applyFont="1" applyFill="1" applyBorder="1" applyAlignment="1">
      <alignment horizontal="left" vertical="center"/>
    </xf>
    <xf numFmtId="0" fontId="67" fillId="3" borderId="13" xfId="0" applyFont="1" applyFill="1" applyBorder="1" applyAlignment="1">
      <alignment horizontal="left" vertical="center"/>
    </xf>
    <xf numFmtId="0" fontId="68" fillId="2" borderId="107" xfId="0" applyFont="1" applyFill="1" applyBorder="1" applyAlignment="1">
      <alignment horizontal="center" vertical="center" wrapText="1"/>
    </xf>
    <xf numFmtId="0" fontId="68" fillId="2" borderId="108" xfId="0" applyFont="1" applyFill="1" applyBorder="1" applyAlignment="1">
      <alignment horizontal="center" vertical="center" wrapText="1"/>
    </xf>
    <xf numFmtId="0" fontId="22" fillId="0" borderId="119" xfId="0" applyFont="1" applyBorder="1" applyAlignment="1" applyProtection="1">
      <alignment horizontal="left" vertical="center" wrapText="1"/>
      <protection locked="0"/>
    </xf>
    <xf numFmtId="38" fontId="22" fillId="4" borderId="113" xfId="2" applyFont="1" applyFill="1" applyBorder="1" applyAlignment="1">
      <alignment horizontal="right" vertical="center" indent="1"/>
    </xf>
    <xf numFmtId="0" fontId="22" fillId="4" borderId="132" xfId="0" applyFont="1" applyFill="1" applyBorder="1" applyAlignment="1">
      <alignment horizontal="center" vertical="center"/>
    </xf>
    <xf numFmtId="3" fontId="24" fillId="4" borderId="113" xfId="0" applyNumberFormat="1" applyFont="1" applyFill="1" applyBorder="1" applyAlignment="1">
      <alignment horizontal="center" vertical="center"/>
    </xf>
    <xf numFmtId="179" fontId="22" fillId="4" borderId="113" xfId="0" applyNumberFormat="1" applyFont="1" applyFill="1" applyBorder="1" applyAlignment="1">
      <alignment horizontal="center" vertical="center"/>
    </xf>
    <xf numFmtId="38" fontId="22" fillId="4" borderId="113" xfId="0" applyNumberFormat="1" applyFont="1" applyFill="1" applyBorder="1" applyAlignment="1">
      <alignment horizontal="center" vertical="center"/>
    </xf>
    <xf numFmtId="186" fontId="22" fillId="4" borderId="113" xfId="0" applyNumberFormat="1" applyFont="1" applyFill="1" applyBorder="1" applyAlignment="1">
      <alignment horizontal="center" vertical="center"/>
    </xf>
    <xf numFmtId="3" fontId="34" fillId="4" borderId="113" xfId="0" applyNumberFormat="1" applyFont="1" applyFill="1" applyBorder="1" applyAlignment="1">
      <alignment horizontal="left" vertical="center"/>
    </xf>
    <xf numFmtId="176" fontId="62" fillId="20" borderId="50" xfId="0" applyNumberFormat="1" applyFont="1" applyFill="1" applyBorder="1" applyAlignment="1">
      <alignment horizontal="center" vertical="center" wrapText="1"/>
    </xf>
    <xf numFmtId="176" fontId="62" fillId="20" borderId="21" xfId="0" applyNumberFormat="1" applyFont="1" applyFill="1" applyBorder="1" applyAlignment="1">
      <alignment horizontal="center" vertical="center" wrapText="1"/>
    </xf>
    <xf numFmtId="4" fontId="22" fillId="4" borderId="113" xfId="0" applyNumberFormat="1" applyFont="1" applyFill="1" applyBorder="1" applyAlignment="1">
      <alignment horizontal="center" vertical="center"/>
    </xf>
    <xf numFmtId="190" fontId="24" fillId="0" borderId="111" xfId="2" applyNumberFormat="1" applyFont="1" applyBorder="1" applyAlignment="1">
      <alignment horizontal="right" vertical="center"/>
    </xf>
    <xf numFmtId="190" fontId="24" fillId="0" borderId="113" xfId="2" applyNumberFormat="1" applyFont="1" applyBorder="1" applyAlignment="1">
      <alignment horizontal="right" vertical="center"/>
    </xf>
    <xf numFmtId="0" fontId="79" fillId="0" borderId="50" xfId="10" applyFont="1" applyBorder="1" applyAlignment="1">
      <alignment horizontal="center" vertical="center" readingOrder="1"/>
    </xf>
    <xf numFmtId="0" fontId="79" fillId="0" borderId="21" xfId="10" applyFont="1" applyBorder="1" applyAlignment="1">
      <alignment horizontal="center" vertical="center" readingOrder="1"/>
    </xf>
    <xf numFmtId="0" fontId="79" fillId="0" borderId="35" xfId="10" applyFont="1" applyBorder="1" applyAlignment="1">
      <alignment horizontal="center" vertical="center" readingOrder="1"/>
    </xf>
    <xf numFmtId="0" fontId="2" fillId="0" borderId="51" xfId="10" applyFont="1" applyBorder="1" applyAlignment="1">
      <alignment horizontal="center" vertical="center"/>
    </xf>
    <xf numFmtId="0" fontId="4" fillId="0" borderId="64" xfId="10" applyBorder="1" applyAlignment="1">
      <alignment horizontal="center" vertical="center"/>
    </xf>
    <xf numFmtId="0" fontId="4" fillId="0" borderId="33" xfId="10" applyBorder="1" applyAlignment="1">
      <alignment horizontal="center" vertical="center"/>
    </xf>
    <xf numFmtId="0" fontId="4" fillId="0" borderId="51" xfId="10" applyBorder="1" applyAlignment="1">
      <alignment horizontal="center" vertical="center"/>
    </xf>
    <xf numFmtId="0" fontId="80" fillId="0" borderId="50" xfId="10" applyFont="1" applyBorder="1" applyAlignment="1">
      <alignment horizontal="center" vertical="center" wrapText="1" readingOrder="1"/>
    </xf>
    <xf numFmtId="0" fontId="80" fillId="0" borderId="21" xfId="10" applyFont="1" applyBorder="1" applyAlignment="1">
      <alignment horizontal="center" vertical="center" wrapText="1" readingOrder="1"/>
    </xf>
    <xf numFmtId="0" fontId="80" fillId="0" borderId="35" xfId="10" applyFont="1" applyBorder="1" applyAlignment="1">
      <alignment horizontal="center" vertical="center" wrapText="1" readingOrder="1"/>
    </xf>
    <xf numFmtId="0" fontId="77" fillId="0" borderId="64" xfId="10" applyFont="1" applyBorder="1" applyAlignment="1">
      <alignment horizontal="center" vertical="center" readingOrder="1"/>
    </xf>
    <xf numFmtId="0" fontId="77" fillId="0" borderId="33" xfId="10" applyFont="1" applyBorder="1" applyAlignment="1">
      <alignment horizontal="center" vertical="center" readingOrder="1"/>
    </xf>
    <xf numFmtId="0" fontId="77" fillId="0" borderId="186" xfId="10" applyFont="1" applyBorder="1" applyAlignment="1">
      <alignment horizontal="center" vertical="center" readingOrder="1"/>
    </xf>
    <xf numFmtId="0" fontId="77" fillId="0" borderId="173" xfId="10" applyFont="1" applyBorder="1" applyAlignment="1">
      <alignment horizontal="center" vertical="center" readingOrder="1"/>
    </xf>
    <xf numFmtId="0" fontId="77" fillId="0" borderId="181" xfId="10" applyFont="1" applyBorder="1" applyAlignment="1">
      <alignment horizontal="center" vertical="center" readingOrder="1"/>
    </xf>
    <xf numFmtId="0" fontId="77" fillId="0" borderId="198" xfId="10" applyFont="1" applyBorder="1" applyAlignment="1">
      <alignment horizontal="center" vertical="center" readingOrder="1"/>
    </xf>
    <xf numFmtId="0" fontId="77" fillId="0" borderId="177" xfId="10" applyFont="1" applyBorder="1" applyAlignment="1">
      <alignment horizontal="center" vertical="center" readingOrder="1"/>
    </xf>
    <xf numFmtId="0" fontId="80" fillId="0" borderId="228" xfId="10" applyFont="1" applyBorder="1" applyAlignment="1">
      <alignment horizontal="center" vertical="center" wrapText="1" readingOrder="1"/>
    </xf>
    <xf numFmtId="0" fontId="80" fillId="0" borderId="202" xfId="10" applyFont="1" applyBorder="1" applyAlignment="1">
      <alignment horizontal="center" vertical="center" wrapText="1" readingOrder="1"/>
    </xf>
    <xf numFmtId="0" fontId="80" fillId="0" borderId="204" xfId="10" applyFont="1" applyBorder="1" applyAlignment="1">
      <alignment horizontal="center" vertical="center" wrapText="1" readingOrder="1"/>
    </xf>
    <xf numFmtId="0" fontId="80" fillId="0" borderId="246" xfId="10" applyFont="1" applyBorder="1" applyAlignment="1">
      <alignment horizontal="center" vertical="center" wrapText="1" readingOrder="1"/>
    </xf>
    <xf numFmtId="0" fontId="80" fillId="0" borderId="247" xfId="10" applyFont="1" applyBorder="1" applyAlignment="1">
      <alignment horizontal="center" vertical="center" wrapText="1" readingOrder="1"/>
    </xf>
    <xf numFmtId="0" fontId="80" fillId="0" borderId="248" xfId="10" applyFont="1" applyBorder="1" applyAlignment="1">
      <alignment horizontal="center" vertical="center" wrapText="1" readingOrder="1"/>
    </xf>
    <xf numFmtId="0" fontId="77" fillId="0" borderId="205" xfId="10" applyFont="1" applyBorder="1" applyAlignment="1">
      <alignment horizontal="center" vertical="center" readingOrder="1"/>
    </xf>
    <xf numFmtId="0" fontId="77" fillId="0" borderId="206" xfId="10" applyFont="1" applyBorder="1" applyAlignment="1">
      <alignment horizontal="center" vertical="center" readingOrder="1"/>
    </xf>
    <xf numFmtId="0" fontId="77" fillId="0" borderId="207" xfId="10" applyFont="1" applyBorder="1" applyAlignment="1">
      <alignment horizontal="center" vertical="center" readingOrder="1"/>
    </xf>
    <xf numFmtId="2" fontId="77" fillId="0" borderId="69" xfId="10" applyNumberFormat="1" applyFont="1" applyBorder="1" applyAlignment="1">
      <alignment horizontal="center" vertical="center" readingOrder="1"/>
    </xf>
    <xf numFmtId="0" fontId="77" fillId="0" borderId="69" xfId="10" applyFont="1" applyBorder="1" applyAlignment="1">
      <alignment horizontal="center" vertical="center" readingOrder="1"/>
    </xf>
    <xf numFmtId="0" fontId="77" fillId="0" borderId="180" xfId="10" applyFont="1" applyBorder="1" applyAlignment="1">
      <alignment horizontal="center" vertical="center" readingOrder="1"/>
    </xf>
    <xf numFmtId="10" fontId="77" fillId="0" borderId="68" xfId="12" applyNumberFormat="1" applyFont="1" applyBorder="1" applyAlignment="1">
      <alignment horizontal="center" vertical="center" readingOrder="1"/>
    </xf>
    <xf numFmtId="10" fontId="77" fillId="0" borderId="184" xfId="12" applyNumberFormat="1" applyFont="1" applyBorder="1" applyAlignment="1">
      <alignment horizontal="center" vertical="center" readingOrder="1"/>
    </xf>
    <xf numFmtId="10" fontId="77" fillId="0" borderId="68" xfId="10" applyNumberFormat="1" applyFont="1" applyBorder="1" applyAlignment="1">
      <alignment horizontal="center" vertical="center"/>
    </xf>
    <xf numFmtId="10" fontId="77" fillId="0" borderId="184" xfId="10" applyNumberFormat="1" applyFont="1" applyBorder="1" applyAlignment="1">
      <alignment horizontal="center" vertical="center"/>
    </xf>
    <xf numFmtId="3" fontId="77" fillId="0" borderId="50" xfId="10" applyNumberFormat="1" applyFont="1" applyBorder="1" applyAlignment="1">
      <alignment horizontal="center" vertical="center" readingOrder="1"/>
    </xf>
    <xf numFmtId="3" fontId="77" fillId="0" borderId="21" xfId="10" applyNumberFormat="1" applyFont="1" applyBorder="1" applyAlignment="1">
      <alignment horizontal="center" vertical="center" readingOrder="1"/>
    </xf>
    <xf numFmtId="3" fontId="77" fillId="0" borderId="216" xfId="10" applyNumberFormat="1" applyFont="1" applyBorder="1" applyAlignment="1">
      <alignment horizontal="center" vertical="center" readingOrder="1"/>
    </xf>
    <xf numFmtId="0" fontId="100" fillId="0" borderId="50" xfId="10" applyFont="1" applyBorder="1" applyAlignment="1">
      <alignment horizontal="center" vertical="center" wrapText="1"/>
    </xf>
    <xf numFmtId="0" fontId="100" fillId="0" borderId="21" xfId="10" applyFont="1" applyBorder="1" applyAlignment="1">
      <alignment horizontal="center" vertical="center" wrapText="1"/>
    </xf>
    <xf numFmtId="0" fontId="100" fillId="0" borderId="35" xfId="10" applyFont="1" applyBorder="1" applyAlignment="1">
      <alignment horizontal="center" vertical="center" wrapText="1"/>
    </xf>
    <xf numFmtId="0" fontId="100" fillId="0" borderId="51" xfId="10" applyFont="1" applyBorder="1" applyAlignment="1">
      <alignment horizontal="center" vertical="center" wrapText="1"/>
    </xf>
    <xf numFmtId="0" fontId="100" fillId="0" borderId="64" xfId="10" applyFont="1" applyBorder="1" applyAlignment="1">
      <alignment horizontal="center" vertical="center" wrapText="1"/>
    </xf>
    <xf numFmtId="0" fontId="100" fillId="0" borderId="33" xfId="10" applyFont="1" applyBorder="1" applyAlignment="1">
      <alignment horizontal="center" vertical="center" wrapText="1"/>
    </xf>
    <xf numFmtId="3" fontId="77" fillId="0" borderId="35" xfId="10" applyNumberFormat="1" applyFont="1" applyBorder="1" applyAlignment="1">
      <alignment horizontal="center" vertical="center" readingOrder="1"/>
    </xf>
    <xf numFmtId="0" fontId="100" fillId="0" borderId="49" xfId="10" applyFont="1" applyBorder="1" applyAlignment="1">
      <alignment horizontal="center" vertical="center" wrapText="1"/>
    </xf>
    <xf numFmtId="0" fontId="100" fillId="0" borderId="72" xfId="10" applyFont="1" applyBorder="1" applyAlignment="1">
      <alignment horizontal="center" vertical="center" wrapText="1" readingOrder="1"/>
    </xf>
    <xf numFmtId="0" fontId="77" fillId="0" borderId="187" xfId="10" applyFont="1" applyBorder="1" applyAlignment="1">
      <alignment horizontal="center" vertical="center" readingOrder="1"/>
    </xf>
    <xf numFmtId="0" fontId="77" fillId="0" borderId="174" xfId="10" applyFont="1" applyBorder="1" applyAlignment="1">
      <alignment horizontal="center" vertical="center" readingOrder="1"/>
    </xf>
    <xf numFmtId="0" fontId="77" fillId="0" borderId="182" xfId="10" applyFont="1" applyBorder="1" applyAlignment="1">
      <alignment horizontal="center" vertical="center" readingOrder="1"/>
    </xf>
    <xf numFmtId="10" fontId="77" fillId="0" borderId="186" xfId="12" applyNumberFormat="1" applyFont="1" applyBorder="1" applyAlignment="1">
      <alignment horizontal="center" vertical="center" readingOrder="1"/>
    </xf>
    <xf numFmtId="10" fontId="77" fillId="0" borderId="173" xfId="12" applyNumberFormat="1" applyFont="1" applyBorder="1" applyAlignment="1">
      <alignment horizontal="center" vertical="center" readingOrder="1"/>
    </xf>
    <xf numFmtId="10" fontId="77" fillId="0" borderId="181" xfId="12" applyNumberFormat="1" applyFont="1" applyBorder="1" applyAlignment="1">
      <alignment horizontal="center" vertical="center" readingOrder="1"/>
    </xf>
    <xf numFmtId="10" fontId="77" fillId="0" borderId="186" xfId="10" applyNumberFormat="1" applyFont="1" applyBorder="1" applyAlignment="1">
      <alignment horizontal="center" vertical="center"/>
    </xf>
    <xf numFmtId="10" fontId="77" fillId="0" borderId="173" xfId="10" applyNumberFormat="1" applyFont="1" applyBorder="1" applyAlignment="1">
      <alignment horizontal="center" vertical="center"/>
    </xf>
    <xf numFmtId="10" fontId="77" fillId="0" borderId="181" xfId="10" applyNumberFormat="1" applyFont="1" applyBorder="1" applyAlignment="1">
      <alignment horizontal="center" vertical="center"/>
    </xf>
    <xf numFmtId="0" fontId="77" fillId="0" borderId="229" xfId="10" applyFont="1" applyBorder="1" applyAlignment="1">
      <alignment horizontal="center" vertical="center" readingOrder="1"/>
    </xf>
    <xf numFmtId="0" fontId="77" fillId="0" borderId="179" xfId="10" applyFont="1" applyBorder="1" applyAlignment="1">
      <alignment horizontal="center" vertical="center" readingOrder="1"/>
    </xf>
    <xf numFmtId="10" fontId="77" fillId="0" borderId="178" xfId="10" applyNumberFormat="1" applyFont="1" applyBorder="1" applyAlignment="1">
      <alignment horizontal="center" vertical="center"/>
    </xf>
    <xf numFmtId="0" fontId="77" fillId="0" borderId="49" xfId="10" applyFont="1" applyBorder="1" applyAlignment="1">
      <alignment horizontal="center" vertical="center" readingOrder="1"/>
    </xf>
    <xf numFmtId="0" fontId="77" fillId="0" borderId="51" xfId="10" applyFont="1" applyBorder="1" applyAlignment="1">
      <alignment horizontal="center" vertical="center" readingOrder="1"/>
    </xf>
    <xf numFmtId="0" fontId="77" fillId="0" borderId="237" xfId="10" applyFont="1" applyBorder="1" applyAlignment="1">
      <alignment horizontal="left" vertical="center" wrapText="1" readingOrder="1"/>
    </xf>
    <xf numFmtId="0" fontId="77" fillId="0" borderId="85" xfId="10" applyFont="1" applyBorder="1" applyAlignment="1">
      <alignment horizontal="left" vertical="center" wrapText="1" readingOrder="1"/>
    </xf>
    <xf numFmtId="0" fontId="77" fillId="0" borderId="235" xfId="10" applyFont="1" applyBorder="1" applyAlignment="1">
      <alignment horizontal="left" vertical="center" wrapText="1" readingOrder="1"/>
    </xf>
    <xf numFmtId="0" fontId="77" fillId="0" borderId="236" xfId="10" applyFont="1" applyBorder="1" applyAlignment="1">
      <alignment horizontal="left" vertical="center" wrapText="1" readingOrder="1"/>
    </xf>
    <xf numFmtId="10" fontId="77" fillId="0" borderId="178" xfId="12" applyNumberFormat="1" applyFont="1" applyBorder="1" applyAlignment="1">
      <alignment horizontal="center" vertical="center" readingOrder="1"/>
    </xf>
    <xf numFmtId="0" fontId="79" fillId="22" borderId="74" xfId="10" applyFont="1" applyFill="1" applyBorder="1" applyAlignment="1">
      <alignment horizontal="center" vertical="center" wrapText="1" readingOrder="1"/>
    </xf>
    <xf numFmtId="0" fontId="79" fillId="22" borderId="251" xfId="10" applyFont="1" applyFill="1" applyBorder="1" applyAlignment="1">
      <alignment horizontal="center" vertical="center" wrapText="1" readingOrder="1"/>
    </xf>
    <xf numFmtId="0" fontId="77" fillId="0" borderId="35" xfId="10" applyFont="1" applyBorder="1" applyAlignment="1">
      <alignment horizontal="center" vertical="center"/>
    </xf>
    <xf numFmtId="0" fontId="77" fillId="0" borderId="72" xfId="10" applyFont="1" applyBorder="1" applyAlignment="1">
      <alignment horizontal="center" vertical="center"/>
    </xf>
    <xf numFmtId="0" fontId="77" fillId="0" borderId="49" xfId="10" applyFont="1" applyBorder="1" applyAlignment="1">
      <alignment horizontal="center" vertical="center"/>
    </xf>
    <xf numFmtId="0" fontId="77" fillId="0" borderId="35" xfId="10" applyFont="1" applyBorder="1" applyAlignment="1">
      <alignment horizontal="center" vertical="center" wrapText="1" readingOrder="1"/>
    </xf>
    <xf numFmtId="0" fontId="77" fillId="0" borderId="72" xfId="10" applyFont="1" applyBorder="1" applyAlignment="1">
      <alignment horizontal="center" vertical="center" wrapText="1" readingOrder="1"/>
    </xf>
    <xf numFmtId="0" fontId="79" fillId="22" borderId="77" xfId="10" applyFont="1" applyFill="1" applyBorder="1" applyAlignment="1">
      <alignment horizontal="center" vertical="center" wrapText="1" readingOrder="1"/>
    </xf>
    <xf numFmtId="0" fontId="79" fillId="22" borderId="75" xfId="10" applyFont="1" applyFill="1" applyBorder="1" applyAlignment="1">
      <alignment horizontal="center" vertical="center" wrapText="1" readingOrder="1"/>
    </xf>
    <xf numFmtId="0" fontId="79" fillId="22" borderId="76" xfId="10" applyFont="1" applyFill="1" applyBorder="1" applyAlignment="1">
      <alignment horizontal="center" vertical="center" wrapText="1" readingOrder="1"/>
    </xf>
    <xf numFmtId="0" fontId="79" fillId="22" borderId="70" xfId="10" applyFont="1" applyFill="1" applyBorder="1" applyAlignment="1">
      <alignment horizontal="center" vertical="center" wrapText="1" readingOrder="1"/>
    </xf>
    <xf numFmtId="0" fontId="79" fillId="22" borderId="78" xfId="10" applyFont="1" applyFill="1" applyBorder="1" applyAlignment="1">
      <alignment horizontal="center" vertical="center" wrapText="1" readingOrder="1"/>
    </xf>
    <xf numFmtId="0" fontId="79" fillId="22" borderId="208" xfId="10" applyFont="1" applyFill="1" applyBorder="1" applyAlignment="1">
      <alignment horizontal="center" vertical="center" wrapText="1" readingOrder="1"/>
    </xf>
    <xf numFmtId="0" fontId="14" fillId="11" borderId="0" xfId="10" applyFont="1" applyFill="1">
      <alignment vertical="center"/>
    </xf>
    <xf numFmtId="0" fontId="79" fillId="22" borderId="73" xfId="10" applyFont="1" applyFill="1" applyBorder="1" applyAlignment="1">
      <alignment horizontal="center" vertical="center" readingOrder="1"/>
    </xf>
    <xf numFmtId="0" fontId="79" fillId="22" borderId="84" xfId="10" applyFont="1" applyFill="1" applyBorder="1" applyAlignment="1">
      <alignment horizontal="center" vertical="center" readingOrder="1"/>
    </xf>
    <xf numFmtId="0" fontId="79" fillId="22" borderId="80" xfId="10" applyFont="1" applyFill="1" applyBorder="1" applyAlignment="1">
      <alignment horizontal="center" vertical="center" wrapText="1" readingOrder="1"/>
    </xf>
    <xf numFmtId="0" fontId="79" fillId="22" borderId="81" xfId="10" applyFont="1" applyFill="1" applyBorder="1" applyAlignment="1">
      <alignment horizontal="center" vertical="center" readingOrder="1"/>
    </xf>
    <xf numFmtId="0" fontId="79" fillId="22" borderId="77" xfId="10" applyFont="1" applyFill="1" applyBorder="1" applyAlignment="1">
      <alignment horizontal="center" vertical="center" readingOrder="1"/>
    </xf>
    <xf numFmtId="0" fontId="79" fillId="22" borderId="75" xfId="10" applyFont="1" applyFill="1" applyBorder="1" applyAlignment="1">
      <alignment horizontal="center" vertical="center" readingOrder="1"/>
    </xf>
    <xf numFmtId="0" fontId="79" fillId="22" borderId="249" xfId="10" applyFont="1" applyFill="1" applyBorder="1" applyAlignment="1">
      <alignment horizontal="center" vertical="center" readingOrder="1"/>
    </xf>
    <xf numFmtId="0" fontId="79" fillId="22" borderId="191" xfId="10" applyFont="1" applyFill="1" applyBorder="1" applyAlignment="1">
      <alignment horizontal="center" vertical="center" readingOrder="1"/>
    </xf>
    <xf numFmtId="0" fontId="79" fillId="22" borderId="251" xfId="10" applyFont="1" applyFill="1" applyBorder="1" applyAlignment="1">
      <alignment horizontal="center" vertical="center" readingOrder="1"/>
    </xf>
    <xf numFmtId="0" fontId="79" fillId="22" borderId="79" xfId="10" applyFont="1" applyFill="1" applyBorder="1" applyAlignment="1">
      <alignment horizontal="center" vertical="center" wrapText="1" readingOrder="1"/>
    </xf>
    <xf numFmtId="0" fontId="79" fillId="22" borderId="83" xfId="10" applyFont="1" applyFill="1" applyBorder="1" applyAlignment="1">
      <alignment horizontal="center" vertical="center" wrapText="1" readingOrder="1"/>
    </xf>
    <xf numFmtId="0" fontId="81" fillId="11" borderId="0" xfId="10" applyFont="1" applyFill="1">
      <alignment vertical="center"/>
    </xf>
    <xf numFmtId="0" fontId="79" fillId="22" borderId="220" xfId="10" applyFont="1" applyFill="1" applyBorder="1" applyAlignment="1">
      <alignment horizontal="center" vertical="center" wrapText="1" readingOrder="1"/>
    </xf>
    <xf numFmtId="40" fontId="77" fillId="0" borderId="189" xfId="2" applyNumberFormat="1" applyFont="1" applyBorder="1" applyAlignment="1">
      <alignment horizontal="center" vertical="center" readingOrder="1"/>
    </xf>
    <xf numFmtId="40" fontId="77" fillId="0" borderId="190" xfId="2" applyNumberFormat="1" applyFont="1" applyBorder="1" applyAlignment="1">
      <alignment horizontal="center" vertical="center" readingOrder="1"/>
    </xf>
    <xf numFmtId="40" fontId="77" fillId="0" borderId="234" xfId="2" applyNumberFormat="1" applyFont="1" applyBorder="1" applyAlignment="1">
      <alignment horizontal="center" vertical="center" readingOrder="1"/>
    </xf>
    <xf numFmtId="10" fontId="77" fillId="0" borderId="188" xfId="10" applyNumberFormat="1" applyFont="1" applyBorder="1" applyAlignment="1">
      <alignment horizontal="center" vertical="center"/>
    </xf>
    <xf numFmtId="0" fontId="96" fillId="0" borderId="237" xfId="10" applyFont="1" applyBorder="1" applyAlignment="1">
      <alignment horizontal="left" vertical="center" wrapText="1" readingOrder="1"/>
    </xf>
    <xf numFmtId="0" fontId="96" fillId="0" borderId="85" xfId="10" applyFont="1" applyBorder="1" applyAlignment="1">
      <alignment horizontal="left" vertical="center" wrapText="1" readingOrder="1"/>
    </xf>
    <xf numFmtId="0" fontId="0" fillId="0" borderId="85" xfId="0" applyBorder="1" applyAlignment="1">
      <alignment horizontal="left" vertical="center" wrapText="1" readingOrder="1"/>
    </xf>
    <xf numFmtId="0" fontId="80" fillId="0" borderId="189" xfId="10" applyFont="1" applyBorder="1" applyAlignment="1">
      <alignment horizontal="center" vertical="center" wrapText="1" readingOrder="1"/>
    </xf>
    <xf numFmtId="0" fontId="80" fillId="0" borderId="190" xfId="10" applyFont="1" applyBorder="1" applyAlignment="1">
      <alignment horizontal="center" vertical="center" wrapText="1" readingOrder="1"/>
    </xf>
    <xf numFmtId="0" fontId="80" fillId="0" borderId="234" xfId="10" applyFont="1" applyBorder="1" applyAlignment="1">
      <alignment horizontal="center" vertical="center" wrapText="1" readingOrder="1"/>
    </xf>
    <xf numFmtId="0" fontId="77" fillId="0" borderId="92" xfId="10" applyFont="1" applyBorder="1" applyAlignment="1">
      <alignment horizontal="center" vertical="center" readingOrder="1"/>
    </xf>
    <xf numFmtId="0" fontId="77" fillId="0" borderId="0" xfId="10" applyFont="1" applyAlignment="1">
      <alignment horizontal="center" vertical="center" readingOrder="1"/>
    </xf>
    <xf numFmtId="0" fontId="77" fillId="0" borderId="19" xfId="10" applyFont="1" applyBorder="1" applyAlignment="1">
      <alignment horizontal="center" vertical="center" readingOrder="1"/>
    </xf>
    <xf numFmtId="2" fontId="77" fillId="0" borderId="189" xfId="10" applyNumberFormat="1" applyFont="1" applyBorder="1" applyAlignment="1">
      <alignment horizontal="center" vertical="center" readingOrder="1"/>
    </xf>
    <xf numFmtId="2" fontId="77" fillId="0" borderId="190" xfId="10" applyNumberFormat="1" applyFont="1" applyBorder="1" applyAlignment="1">
      <alignment horizontal="center" vertical="center" readingOrder="1"/>
    </xf>
    <xf numFmtId="2" fontId="77" fillId="0" borderId="234" xfId="10" applyNumberFormat="1" applyFont="1" applyBorder="1" applyAlignment="1">
      <alignment horizontal="center" vertical="center" readingOrder="1"/>
    </xf>
    <xf numFmtId="10" fontId="77" fillId="0" borderId="188" xfId="12" applyNumberFormat="1" applyFont="1" applyBorder="1" applyAlignment="1">
      <alignment horizontal="center" vertical="center" readingOrder="1"/>
    </xf>
    <xf numFmtId="0" fontId="80" fillId="0" borderId="68" xfId="10" applyFont="1" applyBorder="1" applyAlignment="1">
      <alignment horizontal="center" vertical="center" wrapText="1" readingOrder="1"/>
    </xf>
    <xf numFmtId="0" fontId="80" fillId="0" borderId="72" xfId="10" applyFont="1" applyBorder="1" applyAlignment="1">
      <alignment horizontal="center" vertical="center" wrapText="1" readingOrder="1"/>
    </xf>
    <xf numFmtId="0" fontId="79" fillId="0" borderId="253" xfId="10" applyFont="1" applyBorder="1" applyAlignment="1">
      <alignment horizontal="center" vertical="center" readingOrder="1"/>
    </xf>
    <xf numFmtId="0" fontId="79" fillId="0" borderId="84" xfId="10" applyFont="1" applyBorder="1" applyAlignment="1">
      <alignment horizontal="center" vertical="center" readingOrder="1"/>
    </xf>
    <xf numFmtId="0" fontId="79" fillId="0" borderId="193" xfId="10" applyFont="1" applyBorder="1" applyAlignment="1">
      <alignment horizontal="center" vertical="center" wrapText="1" readingOrder="1"/>
    </xf>
    <xf numFmtId="0" fontId="79" fillId="0" borderId="194" xfId="10" applyFont="1" applyBorder="1" applyAlignment="1">
      <alignment horizontal="center" vertical="center" wrapText="1" readingOrder="1"/>
    </xf>
    <xf numFmtId="0" fontId="77" fillId="0" borderId="50" xfId="10" applyFont="1" applyBorder="1" applyAlignment="1">
      <alignment horizontal="center" vertical="center" readingOrder="1"/>
    </xf>
    <xf numFmtId="0" fontId="77" fillId="0" borderId="21" xfId="10" applyFont="1" applyBorder="1" applyAlignment="1">
      <alignment horizontal="center" vertical="center" readingOrder="1"/>
    </xf>
    <xf numFmtId="0" fontId="0" fillId="0" borderId="238" xfId="0" applyBorder="1" applyAlignment="1">
      <alignment horizontal="left" vertical="center" wrapText="1" readingOrder="1"/>
    </xf>
    <xf numFmtId="0" fontId="79" fillId="0" borderId="165" xfId="10" applyFont="1" applyBorder="1" applyAlignment="1">
      <alignment horizontal="center" vertical="center" readingOrder="1"/>
    </xf>
    <xf numFmtId="0" fontId="79" fillId="0" borderId="166" xfId="10" applyFont="1" applyBorder="1" applyAlignment="1">
      <alignment horizontal="center" vertical="center" readingOrder="1"/>
    </xf>
    <xf numFmtId="0" fontId="79" fillId="0" borderId="167" xfId="10" applyFont="1" applyBorder="1" applyAlignment="1">
      <alignment horizontal="center" vertical="center" readingOrder="1"/>
    </xf>
    <xf numFmtId="0" fontId="79" fillId="0" borderId="158" xfId="10" applyFont="1" applyBorder="1" applyAlignment="1">
      <alignment horizontal="center" vertical="center" wrapText="1" readingOrder="1"/>
    </xf>
    <xf numFmtId="0" fontId="79" fillId="0" borderId="72" xfId="10" applyFont="1" applyBorder="1" applyAlignment="1">
      <alignment horizontal="center" vertical="center" wrapText="1" readingOrder="1"/>
    </xf>
    <xf numFmtId="0" fontId="79" fillId="0" borderId="89" xfId="10" applyFont="1" applyBorder="1" applyAlignment="1">
      <alignment horizontal="center" vertical="center" wrapText="1" readingOrder="1"/>
    </xf>
    <xf numFmtId="0" fontId="77" fillId="0" borderId="158" xfId="10" applyFont="1" applyBorder="1" applyAlignment="1">
      <alignment horizontal="center" vertical="center" readingOrder="1"/>
    </xf>
    <xf numFmtId="0" fontId="77" fillId="0" borderId="72" xfId="10" applyFont="1" applyBorder="1" applyAlignment="1">
      <alignment horizontal="center" vertical="center" readingOrder="1"/>
    </xf>
    <xf numFmtId="0" fontId="77" fillId="0" borderId="89" xfId="10" applyFont="1" applyBorder="1" applyAlignment="1">
      <alignment horizontal="center" vertical="center" readingOrder="1"/>
    </xf>
    <xf numFmtId="0" fontId="77" fillId="0" borderId="158" xfId="10" applyFont="1" applyBorder="1" applyAlignment="1">
      <alignment horizontal="center" vertical="center" wrapText="1" readingOrder="1"/>
    </xf>
    <xf numFmtId="0" fontId="77" fillId="0" borderId="89" xfId="10" applyFont="1" applyBorder="1" applyAlignment="1">
      <alignment horizontal="center" vertical="center" wrapText="1" readingOrder="1"/>
    </xf>
    <xf numFmtId="0" fontId="80" fillId="0" borderId="23" xfId="10" applyFont="1" applyBorder="1" applyAlignment="1">
      <alignment horizontal="center" vertical="center" wrapText="1" readingOrder="1"/>
    </xf>
    <xf numFmtId="0" fontId="80" fillId="0" borderId="326" xfId="10" applyFont="1" applyBorder="1" applyAlignment="1">
      <alignment horizontal="center" vertical="center" wrapText="1" readingOrder="1"/>
    </xf>
    <xf numFmtId="40" fontId="77" fillId="0" borderId="72" xfId="10" applyNumberFormat="1" applyFont="1" applyBorder="1" applyAlignment="1">
      <alignment horizontal="center" vertical="center" readingOrder="1"/>
    </xf>
    <xf numFmtId="10" fontId="77" fillId="0" borderId="72" xfId="12" applyNumberFormat="1" applyFont="1" applyBorder="1" applyAlignment="1">
      <alignment horizontal="center" vertical="center" readingOrder="1"/>
    </xf>
    <xf numFmtId="10" fontId="77" fillId="0" borderId="89" xfId="12" applyNumberFormat="1" applyFont="1" applyBorder="1" applyAlignment="1">
      <alignment horizontal="center" vertical="center" readingOrder="1"/>
    </xf>
    <xf numFmtId="10" fontId="77" fillId="0" borderId="72" xfId="10" applyNumberFormat="1" applyFont="1" applyBorder="1" applyAlignment="1">
      <alignment horizontal="center" vertical="center"/>
    </xf>
    <xf numFmtId="10" fontId="77" fillId="0" borderId="89" xfId="10" applyNumberFormat="1" applyFont="1" applyBorder="1" applyAlignment="1">
      <alignment horizontal="center" vertical="center"/>
    </xf>
    <xf numFmtId="0" fontId="79" fillId="0" borderId="50" xfId="10" applyFont="1" applyBorder="1" applyAlignment="1">
      <alignment horizontal="center" vertical="center" wrapText="1" readingOrder="1"/>
    </xf>
    <xf numFmtId="0" fontId="81" fillId="0" borderId="50" xfId="10" applyFont="1" applyBorder="1" applyAlignment="1">
      <alignment horizontal="center" vertical="center" readingOrder="1"/>
    </xf>
    <xf numFmtId="0" fontId="81" fillId="0" borderId="21" xfId="10" applyFont="1" applyBorder="1" applyAlignment="1">
      <alignment horizontal="center" vertical="center" readingOrder="1"/>
    </xf>
    <xf numFmtId="0" fontId="81" fillId="0" borderId="35" xfId="10" applyFont="1" applyBorder="1" applyAlignment="1">
      <alignment horizontal="center" vertical="center" readingOrder="1"/>
    </xf>
    <xf numFmtId="0" fontId="77" fillId="0" borderId="50" xfId="10" applyFont="1" applyBorder="1" applyAlignment="1">
      <alignment horizontal="center" vertical="center" wrapText="1" readingOrder="1"/>
    </xf>
    <xf numFmtId="0" fontId="77" fillId="0" borderId="21" xfId="10" applyFont="1" applyBorder="1" applyAlignment="1">
      <alignment horizontal="center" vertical="center" wrapText="1" readingOrder="1"/>
    </xf>
    <xf numFmtId="0" fontId="77" fillId="0" borderId="35" xfId="10" applyFont="1" applyBorder="1" applyAlignment="1">
      <alignment horizontal="center" vertical="center" readingOrder="1"/>
    </xf>
    <xf numFmtId="2" fontId="77" fillId="0" borderId="199" xfId="10" applyNumberFormat="1" applyFont="1" applyBorder="1" applyAlignment="1">
      <alignment horizontal="center" vertical="center" readingOrder="1"/>
    </xf>
    <xf numFmtId="2" fontId="77" fillId="0" borderId="201" xfId="10" applyNumberFormat="1" applyFont="1" applyBorder="1" applyAlignment="1">
      <alignment horizontal="center" vertical="center" readingOrder="1"/>
    </xf>
    <xf numFmtId="2" fontId="77" fillId="0" borderId="203" xfId="10" applyNumberFormat="1" applyFont="1" applyBorder="1" applyAlignment="1">
      <alignment horizontal="center" vertical="center" readingOrder="1"/>
    </xf>
    <xf numFmtId="0" fontId="81" fillId="0" borderId="72" xfId="10" applyFont="1" applyBorder="1" applyAlignment="1">
      <alignment horizontal="center" vertical="center" readingOrder="1"/>
    </xf>
    <xf numFmtId="0" fontId="40" fillId="11" borderId="86" xfId="10" applyFont="1" applyFill="1" applyBorder="1" applyAlignment="1">
      <alignment horizontal="center" vertical="center"/>
    </xf>
    <xf numFmtId="0" fontId="81" fillId="0" borderId="68" xfId="10" applyFont="1" applyBorder="1" applyAlignment="1">
      <alignment horizontal="center" vertical="center" readingOrder="1"/>
    </xf>
    <xf numFmtId="0" fontId="77" fillId="0" borderId="68" xfId="10" applyFont="1" applyBorder="1" applyAlignment="1">
      <alignment horizontal="center" vertical="center" wrapText="1" readingOrder="1"/>
    </xf>
    <xf numFmtId="0" fontId="77" fillId="0" borderId="71" xfId="10" applyFont="1" applyBorder="1" applyAlignment="1">
      <alignment horizontal="center" vertical="center" readingOrder="1"/>
    </xf>
    <xf numFmtId="0" fontId="77" fillId="0" borderId="68" xfId="10" applyFont="1" applyBorder="1" applyAlignment="1">
      <alignment horizontal="center" vertical="center" readingOrder="1"/>
    </xf>
    <xf numFmtId="0" fontId="79" fillId="0" borderId="252" xfId="10" applyFont="1" applyBorder="1" applyAlignment="1">
      <alignment horizontal="center" vertical="center" readingOrder="1"/>
    </xf>
    <xf numFmtId="0" fontId="79" fillId="22" borderId="74" xfId="10" applyFont="1" applyFill="1" applyBorder="1" applyAlignment="1">
      <alignment horizontal="center" vertical="center" readingOrder="1"/>
    </xf>
    <xf numFmtId="0" fontId="79" fillId="22" borderId="70" xfId="10" applyFont="1" applyFill="1" applyBorder="1" applyAlignment="1">
      <alignment horizontal="center" vertical="center" readingOrder="1"/>
    </xf>
    <xf numFmtId="0" fontId="79" fillId="22" borderId="81" xfId="10" applyFont="1" applyFill="1" applyBorder="1" applyAlignment="1">
      <alignment horizontal="center" vertical="center" wrapText="1" readingOrder="1"/>
    </xf>
    <xf numFmtId="0" fontId="79" fillId="22" borderId="82" xfId="10" applyFont="1" applyFill="1" applyBorder="1" applyAlignment="1">
      <alignment horizontal="center" vertical="center" wrapText="1" readingOrder="1"/>
    </xf>
    <xf numFmtId="0" fontId="79" fillId="0" borderId="188" xfId="10" applyFont="1" applyBorder="1" applyAlignment="1">
      <alignment horizontal="center" vertical="center" wrapText="1" readingOrder="1"/>
    </xf>
    <xf numFmtId="0" fontId="79" fillId="0" borderId="68" xfId="10" applyFont="1" applyBorder="1" applyAlignment="1">
      <alignment horizontal="center" vertical="center" wrapText="1" readingOrder="1"/>
    </xf>
    <xf numFmtId="0" fontId="79" fillId="0" borderId="184" xfId="10" applyFont="1" applyBorder="1" applyAlignment="1">
      <alignment horizontal="center" vertical="center" wrapText="1" readingOrder="1"/>
    </xf>
    <xf numFmtId="0" fontId="80" fillId="0" borderId="189" xfId="10" applyFont="1" applyBorder="1" applyAlignment="1">
      <alignment horizontal="center" vertical="center" wrapText="1"/>
    </xf>
    <xf numFmtId="0" fontId="80" fillId="0" borderId="190" xfId="10" applyFont="1" applyBorder="1" applyAlignment="1">
      <alignment horizontal="center" vertical="center" wrapText="1"/>
    </xf>
    <xf numFmtId="0" fontId="80" fillId="0" borderId="234" xfId="10" applyFont="1" applyBorder="1" applyAlignment="1">
      <alignment horizontal="center" vertical="center" wrapText="1"/>
    </xf>
    <xf numFmtId="0" fontId="77" fillId="0" borderId="193" xfId="10" applyFont="1" applyBorder="1" applyAlignment="1">
      <alignment horizontal="center" vertical="center" readingOrder="1"/>
    </xf>
    <xf numFmtId="0" fontId="77" fillId="0" borderId="194" xfId="10" applyFont="1" applyBorder="1" applyAlignment="1">
      <alignment horizontal="center" vertical="center" readingOrder="1"/>
    </xf>
    <xf numFmtId="0" fontId="80" fillId="0" borderId="188" xfId="10" applyFont="1" applyBorder="1" applyAlignment="1">
      <alignment horizontal="center" vertical="center" wrapText="1" readingOrder="1"/>
    </xf>
    <xf numFmtId="0" fontId="77" fillId="0" borderId="92" xfId="10" applyFont="1" applyBorder="1" applyAlignment="1">
      <alignment horizontal="center" vertical="center" wrapText="1" readingOrder="1"/>
    </xf>
    <xf numFmtId="0" fontId="77" fillId="0" borderId="0" xfId="10" applyFont="1" applyAlignment="1">
      <alignment horizontal="center" vertical="center" wrapText="1" readingOrder="1"/>
    </xf>
    <xf numFmtId="0" fontId="77" fillId="0" borderId="19" xfId="10" applyFont="1" applyBorder="1" applyAlignment="1">
      <alignment horizontal="center" vertical="center" wrapText="1" readingOrder="1"/>
    </xf>
    <xf numFmtId="40" fontId="77" fillId="0" borderId="185" xfId="2" applyNumberFormat="1" applyFont="1" applyBorder="1" applyAlignment="1">
      <alignment horizontal="center" vertical="center" readingOrder="1"/>
    </xf>
    <xf numFmtId="40" fontId="77" fillId="0" borderId="69" xfId="2" applyNumberFormat="1" applyFont="1" applyBorder="1" applyAlignment="1">
      <alignment horizontal="center" vertical="center" readingOrder="1"/>
    </xf>
    <xf numFmtId="0" fontId="77" fillId="0" borderId="23" xfId="10" applyFont="1" applyBorder="1" applyAlignment="1">
      <alignment horizontal="center" vertical="center" readingOrder="1"/>
    </xf>
    <xf numFmtId="10" fontId="77" fillId="0" borderId="314" xfId="10" applyNumberFormat="1" applyFont="1" applyBorder="1" applyAlignment="1">
      <alignment horizontal="center" vertical="center"/>
    </xf>
    <xf numFmtId="2" fontId="77" fillId="0" borderId="313" xfId="10" applyNumberFormat="1" applyFont="1" applyBorder="1" applyAlignment="1">
      <alignment horizontal="center" vertical="center" readingOrder="1"/>
    </xf>
    <xf numFmtId="10" fontId="77" fillId="0" borderId="314" xfId="12" applyNumberFormat="1" applyFont="1" applyFill="1" applyBorder="1" applyAlignment="1">
      <alignment horizontal="center" vertical="center" readingOrder="1"/>
    </xf>
    <xf numFmtId="10" fontId="77" fillId="0" borderId="68" xfId="12" applyNumberFormat="1" applyFont="1" applyFill="1" applyBorder="1" applyAlignment="1">
      <alignment horizontal="center" vertical="center" readingOrder="1"/>
    </xf>
    <xf numFmtId="0" fontId="80" fillId="0" borderId="158" xfId="10" applyFont="1" applyBorder="1" applyAlignment="1">
      <alignment horizontal="center" vertical="center" wrapText="1" readingOrder="1"/>
    </xf>
    <xf numFmtId="10" fontId="77" fillId="0" borderId="186" xfId="12" applyNumberFormat="1" applyFont="1" applyFill="1" applyBorder="1" applyAlignment="1">
      <alignment horizontal="center" vertical="center" readingOrder="1"/>
    </xf>
    <xf numFmtId="10" fontId="77" fillId="0" borderId="173" xfId="12" applyNumberFormat="1" applyFont="1" applyFill="1" applyBorder="1" applyAlignment="1">
      <alignment horizontal="center" vertical="center" readingOrder="1"/>
    </xf>
    <xf numFmtId="10" fontId="77" fillId="0" borderId="181" xfId="12" applyNumberFormat="1" applyFont="1" applyFill="1" applyBorder="1" applyAlignment="1">
      <alignment horizontal="center" vertical="center" readingOrder="1"/>
    </xf>
    <xf numFmtId="10" fontId="77" fillId="0" borderId="72" xfId="12" applyNumberFormat="1" applyFont="1" applyFill="1" applyBorder="1" applyAlignment="1">
      <alignment horizontal="center" vertical="center" readingOrder="1"/>
    </xf>
    <xf numFmtId="2" fontId="77" fillId="0" borderId="180" xfId="10" applyNumberFormat="1" applyFont="1" applyBorder="1" applyAlignment="1">
      <alignment horizontal="center" vertical="center" readingOrder="1"/>
    </xf>
    <xf numFmtId="0" fontId="0" fillId="0" borderId="250" xfId="0" applyBorder="1" applyAlignment="1">
      <alignment horizontal="left" vertical="center" wrapText="1" readingOrder="1"/>
    </xf>
    <xf numFmtId="10" fontId="77" fillId="0" borderId="23" xfId="10" applyNumberFormat="1" applyFont="1" applyBorder="1" applyAlignment="1">
      <alignment horizontal="center" vertical="center"/>
    </xf>
    <xf numFmtId="0" fontId="77" fillId="0" borderId="233" xfId="10" applyFont="1" applyBorder="1" applyAlignment="1">
      <alignment horizontal="center" vertical="center" readingOrder="1"/>
    </xf>
    <xf numFmtId="10" fontId="77" fillId="0" borderId="311" xfId="12" applyNumberFormat="1" applyFont="1" applyFill="1" applyBorder="1" applyAlignment="1">
      <alignment horizontal="center" vertical="center" readingOrder="1"/>
    </xf>
    <xf numFmtId="10" fontId="77" fillId="0" borderId="311" xfId="10" applyNumberFormat="1" applyFont="1" applyBorder="1" applyAlignment="1">
      <alignment horizontal="center" vertical="center"/>
    </xf>
    <xf numFmtId="10" fontId="77" fillId="0" borderId="312" xfId="10" applyNumberFormat="1" applyFont="1" applyBorder="1" applyAlignment="1">
      <alignment horizontal="center" vertical="center"/>
    </xf>
    <xf numFmtId="0" fontId="80" fillId="0" borderId="93" xfId="10" applyFont="1" applyBorder="1" applyAlignment="1">
      <alignment horizontal="center" vertical="center" wrapText="1" readingOrder="1"/>
    </xf>
    <xf numFmtId="0" fontId="80" fillId="0" borderId="232" xfId="10" applyFont="1" applyBorder="1" applyAlignment="1">
      <alignment horizontal="center" vertical="center" wrapText="1" readingOrder="1"/>
    </xf>
    <xf numFmtId="0" fontId="77" fillId="0" borderId="212" xfId="10" applyFont="1" applyBorder="1" applyAlignment="1">
      <alignment horizontal="center" vertical="center" readingOrder="1"/>
    </xf>
    <xf numFmtId="40" fontId="77" fillId="0" borderId="35" xfId="10" applyNumberFormat="1" applyFont="1" applyBorder="1" applyAlignment="1">
      <alignment horizontal="center" vertical="center" readingOrder="1"/>
    </xf>
    <xf numFmtId="10" fontId="77" fillId="0" borderId="35" xfId="12" applyNumberFormat="1" applyFont="1" applyBorder="1" applyAlignment="1">
      <alignment horizontal="center" vertical="center" readingOrder="1"/>
    </xf>
    <xf numFmtId="10" fontId="77" fillId="0" borderId="212" xfId="12" applyNumberFormat="1" applyFont="1" applyBorder="1" applyAlignment="1">
      <alignment horizontal="center" vertical="center" readingOrder="1"/>
    </xf>
    <xf numFmtId="10" fontId="77" fillId="0" borderId="35" xfId="10" applyNumberFormat="1" applyFont="1" applyBorder="1" applyAlignment="1">
      <alignment horizontal="center" vertical="center"/>
    </xf>
    <xf numFmtId="10" fontId="77" fillId="0" borderId="212" xfId="10" applyNumberFormat="1" applyFont="1" applyBorder="1" applyAlignment="1">
      <alignment horizontal="center" vertical="center"/>
    </xf>
    <xf numFmtId="40" fontId="77" fillId="0" borderId="233" xfId="2" applyNumberFormat="1" applyFont="1" applyBorder="1" applyAlignment="1">
      <alignment horizontal="center" vertical="center" readingOrder="1"/>
    </xf>
    <xf numFmtId="10" fontId="77" fillId="0" borderId="311" xfId="12" applyNumberFormat="1" applyFont="1" applyBorder="1" applyAlignment="1">
      <alignment horizontal="center" vertical="center" readingOrder="1"/>
    </xf>
    <xf numFmtId="0" fontId="87" fillId="0" borderId="166" xfId="10" applyFont="1" applyBorder="1" applyAlignment="1">
      <alignment horizontal="center" vertical="center" readingOrder="1"/>
    </xf>
    <xf numFmtId="0" fontId="87" fillId="0" borderId="50" xfId="10" applyFont="1" applyBorder="1" applyAlignment="1">
      <alignment horizontal="center" vertical="center" readingOrder="1"/>
    </xf>
    <xf numFmtId="0" fontId="87" fillId="0" borderId="21" xfId="10" applyFont="1" applyBorder="1" applyAlignment="1">
      <alignment horizontal="center" vertical="center" readingOrder="1"/>
    </xf>
    <xf numFmtId="0" fontId="87" fillId="0" borderId="35" xfId="10" applyFont="1" applyBorder="1" applyAlignment="1">
      <alignment horizontal="center" vertical="center" readingOrder="1"/>
    </xf>
    <xf numFmtId="0" fontId="87" fillId="0" borderId="158" xfId="10" applyFont="1" applyBorder="1" applyAlignment="1">
      <alignment horizontal="center" vertical="center" readingOrder="1"/>
    </xf>
    <xf numFmtId="0" fontId="87" fillId="0" borderId="72" xfId="10" applyFont="1" applyBorder="1" applyAlignment="1">
      <alignment horizontal="center" vertical="center" readingOrder="1"/>
    </xf>
    <xf numFmtId="0" fontId="87" fillId="0" borderId="89" xfId="10" applyFont="1" applyBorder="1" applyAlignment="1">
      <alignment horizontal="center" vertical="center" readingOrder="1"/>
    </xf>
    <xf numFmtId="0" fontId="87" fillId="0" borderId="88" xfId="10" applyFont="1" applyBorder="1" applyAlignment="1">
      <alignment horizontal="center" vertical="center" readingOrder="1"/>
    </xf>
    <xf numFmtId="0" fontId="86" fillId="0" borderId="165" xfId="10" applyFont="1" applyBorder="1" applyAlignment="1">
      <alignment horizontal="center" vertical="center"/>
    </xf>
    <xf numFmtId="0" fontId="86" fillId="0" borderId="158" xfId="10" applyFont="1" applyBorder="1" applyAlignment="1">
      <alignment horizontal="center" vertical="center"/>
    </xf>
    <xf numFmtId="0" fontId="0" fillId="0" borderId="166" xfId="10" applyFont="1" applyBorder="1" applyAlignment="1">
      <alignment horizontal="center" vertical="center"/>
    </xf>
    <xf numFmtId="0" fontId="0" fillId="0" borderId="167" xfId="10" applyFont="1" applyBorder="1" applyAlignment="1">
      <alignment horizontal="center" vertical="center"/>
    </xf>
    <xf numFmtId="0" fontId="106" fillId="0" borderId="166" xfId="10" applyFont="1" applyBorder="1" applyAlignment="1">
      <alignment horizontal="center" vertical="center" readingOrder="1"/>
    </xf>
    <xf numFmtId="0" fontId="106" fillId="0" borderId="167" xfId="10" applyFont="1" applyBorder="1" applyAlignment="1">
      <alignment horizontal="center" vertical="center" readingOrder="1"/>
    </xf>
    <xf numFmtId="0" fontId="0" fillId="0" borderId="168" xfId="10" applyFont="1" applyBorder="1" applyAlignment="1">
      <alignment horizontal="center" vertical="center"/>
    </xf>
    <xf numFmtId="0" fontId="0" fillId="0" borderId="169" xfId="10" applyFont="1" applyBorder="1" applyAlignment="1">
      <alignment horizontal="center" vertical="center"/>
    </xf>
    <xf numFmtId="0" fontId="0" fillId="0" borderId="170" xfId="10" applyFont="1" applyBorder="1" applyAlignment="1">
      <alignment horizontal="center" vertical="center"/>
    </xf>
    <xf numFmtId="0" fontId="87" fillId="0" borderId="165" xfId="10" applyFont="1" applyBorder="1" applyAlignment="1">
      <alignment horizontal="center" vertical="center" readingOrder="1"/>
    </xf>
    <xf numFmtId="0" fontId="0" fillId="0" borderId="157" xfId="10" applyFont="1" applyBorder="1" applyAlignment="1">
      <alignment horizontal="center" vertical="center"/>
    </xf>
    <xf numFmtId="0" fontId="0" fillId="0" borderId="160" xfId="10" applyFont="1" applyBorder="1" applyAlignment="1">
      <alignment horizontal="center" vertical="center"/>
    </xf>
    <xf numFmtId="0" fontId="0" fillId="0" borderId="162" xfId="10" applyFont="1" applyBorder="1" applyAlignment="1">
      <alignment horizontal="center" vertical="center"/>
    </xf>
    <xf numFmtId="0" fontId="0" fillId="0" borderId="290" xfId="10" applyFont="1" applyBorder="1" applyAlignment="1">
      <alignment horizontal="center" vertical="center" wrapText="1"/>
    </xf>
    <xf numFmtId="0" fontId="0" fillId="0" borderId="291" xfId="10" applyFont="1" applyBorder="1" applyAlignment="1">
      <alignment horizontal="center" vertical="center" wrapText="1"/>
    </xf>
    <xf numFmtId="0" fontId="0" fillId="0" borderId="292" xfId="10" applyFont="1" applyBorder="1" applyAlignment="1">
      <alignment horizontal="center" vertical="center" wrapText="1"/>
    </xf>
    <xf numFmtId="0" fontId="87" fillId="0" borderId="167" xfId="10" applyFont="1" applyBorder="1" applyAlignment="1">
      <alignment horizontal="center" vertical="center" readingOrder="1"/>
    </xf>
    <xf numFmtId="0" fontId="87" fillId="24" borderId="72" xfId="10" applyFont="1" applyFill="1" applyBorder="1" applyAlignment="1">
      <alignment horizontal="center" vertical="center" readingOrder="1"/>
    </xf>
    <xf numFmtId="0" fontId="68" fillId="2" borderId="124" xfId="0" applyFont="1" applyFill="1" applyBorder="1" applyAlignment="1">
      <alignment horizontal="center" vertical="center" wrapText="1"/>
    </xf>
    <xf numFmtId="0" fontId="68" fillId="2" borderId="125" xfId="0" applyFont="1" applyFill="1" applyBorder="1" applyAlignment="1">
      <alignment horizontal="center" vertical="center" wrapText="1"/>
    </xf>
    <xf numFmtId="0" fontId="22" fillId="21" borderId="18" xfId="0" applyFont="1" applyFill="1" applyBorder="1" applyAlignment="1">
      <alignment horizontal="center" vertical="center" wrapText="1"/>
    </xf>
    <xf numFmtId="0" fontId="22" fillId="21" borderId="0" xfId="0" applyFont="1" applyFill="1" applyAlignment="1">
      <alignment horizontal="center" vertical="center" wrapText="1"/>
    </xf>
    <xf numFmtId="0" fontId="22" fillId="21" borderId="17" xfId="0" applyFont="1" applyFill="1" applyBorder="1" applyAlignment="1">
      <alignment horizontal="center" vertical="center" wrapText="1"/>
    </xf>
    <xf numFmtId="4" fontId="24" fillId="21" borderId="0" xfId="0" applyNumberFormat="1" applyFont="1" applyFill="1" applyAlignment="1">
      <alignment horizontal="center" vertical="center" wrapText="1"/>
    </xf>
    <xf numFmtId="4" fontId="24" fillId="21" borderId="17" xfId="0" applyNumberFormat="1" applyFont="1" applyFill="1" applyBorder="1" applyAlignment="1">
      <alignment horizontal="center" vertical="center" wrapText="1"/>
    </xf>
    <xf numFmtId="0" fontId="22" fillId="0" borderId="128" xfId="0" quotePrefix="1" applyFont="1" applyBorder="1" applyAlignment="1">
      <alignment horizontal="left" vertical="center" wrapText="1"/>
    </xf>
    <xf numFmtId="0" fontId="22" fillId="0" borderId="119" xfId="0" applyFont="1" applyBorder="1" applyAlignment="1">
      <alignment horizontal="left" vertical="center"/>
    </xf>
    <xf numFmtId="0" fontId="22" fillId="0" borderId="123" xfId="0" applyFont="1" applyBorder="1" applyAlignment="1">
      <alignment horizontal="left" vertical="center"/>
    </xf>
    <xf numFmtId="38" fontId="23" fillId="0" borderId="0" xfId="0" applyNumberFormat="1" applyFont="1" applyAlignment="1">
      <alignment horizontal="center" vertical="center"/>
    </xf>
    <xf numFmtId="38" fontId="23" fillId="0" borderId="129" xfId="0" applyNumberFormat="1" applyFont="1" applyBorder="1" applyAlignment="1">
      <alignment horizontal="center" vertical="center"/>
    </xf>
    <xf numFmtId="0" fontId="22" fillId="0" borderId="0" xfId="0" applyFont="1" applyAlignment="1">
      <alignment horizontal="center" vertical="center"/>
    </xf>
    <xf numFmtId="0" fontId="22" fillId="0" borderId="129" xfId="0" applyFont="1" applyBorder="1" applyAlignment="1">
      <alignment horizontal="center" vertical="center"/>
    </xf>
    <xf numFmtId="3" fontId="24" fillId="0" borderId="0" xfId="0" applyNumberFormat="1" applyFont="1" applyAlignment="1">
      <alignment horizontal="center" vertical="center"/>
    </xf>
    <xf numFmtId="3" fontId="24" fillId="0" borderId="129" xfId="0" applyNumberFormat="1" applyFont="1" applyBorder="1" applyAlignment="1">
      <alignment horizontal="center" vertical="center"/>
    </xf>
    <xf numFmtId="0" fontId="22" fillId="0" borderId="130" xfId="0" quotePrefix="1" applyFont="1" applyBorder="1" applyAlignment="1">
      <alignment horizontal="left" vertical="center" wrapText="1"/>
    </xf>
    <xf numFmtId="0" fontId="22" fillId="0" borderId="119" xfId="0" quotePrefix="1" applyFont="1" applyBorder="1" applyAlignment="1">
      <alignment horizontal="left" vertical="center" wrapText="1"/>
    </xf>
    <xf numFmtId="0" fontId="46" fillId="12" borderId="28" xfId="0" applyFont="1" applyFill="1" applyBorder="1" applyAlignment="1">
      <alignment vertical="center" wrapText="1"/>
    </xf>
    <xf numFmtId="0" fontId="46" fillId="12" borderId="21" xfId="0" applyFont="1" applyFill="1" applyBorder="1" applyAlignment="1">
      <alignment vertical="center" wrapText="1"/>
    </xf>
    <xf numFmtId="0" fontId="48" fillId="12" borderId="30" xfId="0" applyFont="1" applyFill="1" applyBorder="1" applyAlignment="1">
      <alignment vertical="center" wrapText="1"/>
    </xf>
    <xf numFmtId="0" fontId="48" fillId="12" borderId="29" xfId="0" applyFont="1" applyFill="1" applyBorder="1" applyAlignment="1">
      <alignment vertical="center" wrapText="1"/>
    </xf>
    <xf numFmtId="0" fontId="46" fillId="12" borderId="31" xfId="0" applyFont="1" applyFill="1" applyBorder="1" applyAlignment="1">
      <alignment vertical="center" wrapText="1"/>
    </xf>
    <xf numFmtId="0" fontId="46" fillId="12" borderId="32" xfId="0" applyFont="1" applyFill="1" applyBorder="1" applyAlignment="1">
      <alignment vertical="center" wrapText="1"/>
    </xf>
    <xf numFmtId="0" fontId="46" fillId="0" borderId="23" xfId="0" applyFont="1" applyBorder="1">
      <alignment vertical="center"/>
    </xf>
    <xf numFmtId="0" fontId="46" fillId="0" borderId="39" xfId="0" applyFont="1" applyBorder="1">
      <alignment vertical="center"/>
    </xf>
    <xf numFmtId="0" fontId="46" fillId="0" borderId="24" xfId="0" applyFont="1" applyBorder="1">
      <alignment vertical="center"/>
    </xf>
    <xf numFmtId="0" fontId="42" fillId="0" borderId="39" xfId="0" applyFont="1" applyBorder="1">
      <alignment vertical="center"/>
    </xf>
    <xf numFmtId="0" fontId="42" fillId="0" borderId="24" xfId="0" applyFont="1" applyBorder="1">
      <alignment vertical="center"/>
    </xf>
    <xf numFmtId="0" fontId="46" fillId="9" borderId="28" xfId="0" applyFont="1" applyFill="1" applyBorder="1" applyAlignment="1">
      <alignment vertical="center" wrapText="1"/>
    </xf>
    <xf numFmtId="0" fontId="46" fillId="9" borderId="21" xfId="0" applyFont="1" applyFill="1" applyBorder="1" applyAlignment="1">
      <alignment vertical="center" wrapText="1"/>
    </xf>
    <xf numFmtId="0" fontId="46" fillId="12" borderId="28" xfId="0" applyFont="1" applyFill="1" applyBorder="1">
      <alignment vertical="center"/>
    </xf>
    <xf numFmtId="0" fontId="47" fillId="14" borderId="28" xfId="0" applyFont="1" applyFill="1" applyBorder="1" applyAlignment="1">
      <alignment vertical="center" wrapText="1"/>
    </xf>
    <xf numFmtId="0" fontId="47" fillId="14" borderId="21" xfId="0" applyFont="1" applyFill="1" applyBorder="1" applyAlignment="1">
      <alignment vertical="center" wrapText="1"/>
    </xf>
    <xf numFmtId="0" fontId="46" fillId="12" borderId="20" xfId="0" applyFont="1" applyFill="1" applyBorder="1">
      <alignment vertical="center"/>
    </xf>
    <xf numFmtId="0" fontId="46" fillId="12" borderId="22" xfId="0" applyFont="1" applyFill="1" applyBorder="1">
      <alignment vertical="center"/>
    </xf>
    <xf numFmtId="0" fontId="46" fillId="12" borderId="25" xfId="0" applyFont="1" applyFill="1" applyBorder="1">
      <alignment vertical="center"/>
    </xf>
    <xf numFmtId="0" fontId="46" fillId="12" borderId="26" xfId="0" applyFont="1" applyFill="1" applyBorder="1">
      <alignment vertical="center"/>
    </xf>
    <xf numFmtId="0" fontId="46" fillId="12" borderId="27" xfId="0" applyFont="1" applyFill="1" applyBorder="1">
      <alignment vertical="center"/>
    </xf>
    <xf numFmtId="0" fontId="46" fillId="12" borderId="20" xfId="0" applyFont="1" applyFill="1" applyBorder="1" applyAlignment="1">
      <alignment vertical="center" wrapText="1"/>
    </xf>
    <xf numFmtId="0" fontId="41" fillId="11" borderId="0" xfId="0" applyFont="1" applyFill="1">
      <alignment vertical="center"/>
    </xf>
    <xf numFmtId="0" fontId="46" fillId="12" borderId="50" xfId="0" applyFont="1" applyFill="1" applyBorder="1" applyAlignment="1">
      <alignment vertical="center" wrapText="1"/>
    </xf>
    <xf numFmtId="0" fontId="46" fillId="13" borderId="23" xfId="0" applyFont="1" applyFill="1" applyBorder="1" applyAlignment="1">
      <alignment vertical="center" wrapText="1"/>
    </xf>
    <xf numFmtId="0" fontId="46" fillId="13" borderId="24" xfId="0" applyFont="1" applyFill="1" applyBorder="1" applyAlignment="1">
      <alignment vertical="center" wrapText="1"/>
    </xf>
    <xf numFmtId="0" fontId="22" fillId="24" borderId="0" xfId="0" quotePrefix="1" applyFont="1" applyFill="1" applyAlignment="1">
      <alignment horizontal="left" vertical="center" wrapText="1"/>
    </xf>
    <xf numFmtId="0" fontId="22" fillId="0" borderId="16" xfId="0" quotePrefix="1" applyFont="1" applyBorder="1" applyAlignment="1">
      <alignment horizontal="left" vertical="center" wrapText="1"/>
    </xf>
    <xf numFmtId="0" fontId="22" fillId="0" borderId="0" xfId="0" applyFont="1" applyAlignment="1">
      <alignment horizontal="left" vertical="center"/>
    </xf>
    <xf numFmtId="0" fontId="22" fillId="0" borderId="17" xfId="0" applyFont="1" applyBorder="1" applyAlignment="1">
      <alignment horizontal="left" vertical="center"/>
    </xf>
    <xf numFmtId="176" fontId="62" fillId="20" borderId="101" xfId="0" applyNumberFormat="1" applyFont="1" applyFill="1" applyBorder="1" applyAlignment="1">
      <alignment vertical="center" wrapText="1"/>
    </xf>
    <xf numFmtId="176" fontId="62" fillId="20" borderId="102" xfId="0" applyNumberFormat="1" applyFont="1" applyFill="1" applyBorder="1" applyAlignment="1">
      <alignment vertical="center" wrapText="1"/>
    </xf>
    <xf numFmtId="0" fontId="67" fillId="3" borderId="91" xfId="0" applyFont="1" applyFill="1" applyBorder="1" applyAlignment="1">
      <alignment horizontal="left" vertical="center"/>
    </xf>
    <xf numFmtId="0" fontId="67" fillId="3" borderId="2" xfId="0" applyFont="1" applyFill="1" applyBorder="1" applyAlignment="1">
      <alignment horizontal="left" vertical="center"/>
    </xf>
    <xf numFmtId="0" fontId="67" fillId="3" borderId="3" xfId="0" applyFont="1" applyFill="1" applyBorder="1" applyAlignment="1">
      <alignment horizontal="left" vertical="center"/>
    </xf>
    <xf numFmtId="0" fontId="67" fillId="3" borderId="127" xfId="0" applyFont="1" applyFill="1" applyBorder="1" applyAlignment="1">
      <alignment horizontal="left" vertical="center"/>
    </xf>
    <xf numFmtId="0" fontId="68" fillId="2" borderId="126" xfId="0" applyFont="1" applyFill="1" applyBorder="1" applyAlignment="1">
      <alignment horizontal="center" vertical="center" wrapText="1"/>
    </xf>
    <xf numFmtId="0" fontId="126" fillId="29" borderId="270" xfId="0" applyFont="1" applyFill="1" applyBorder="1" applyAlignment="1">
      <alignment horizontal="center" vertical="center" wrapText="1" readingOrder="1"/>
    </xf>
    <xf numFmtId="0" fontId="126" fillId="29" borderId="274" xfId="0" applyFont="1" applyFill="1" applyBorder="1" applyAlignment="1">
      <alignment horizontal="center" vertical="center" wrapText="1" readingOrder="1"/>
    </xf>
    <xf numFmtId="0" fontId="62" fillId="29" borderId="270" xfId="0" applyFont="1" applyFill="1" applyBorder="1" applyAlignment="1">
      <alignment horizontal="center" vertical="center" wrapText="1" readingOrder="1"/>
    </xf>
    <xf numFmtId="0" fontId="62" fillId="29" borderId="274" xfId="0" applyFont="1" applyFill="1" applyBorder="1" applyAlignment="1">
      <alignment horizontal="center" vertical="center" wrapText="1" readingOrder="1"/>
    </xf>
    <xf numFmtId="0" fontId="24" fillId="29" borderId="277" xfId="0" applyFont="1" applyFill="1" applyBorder="1" applyAlignment="1">
      <alignment horizontal="left" vertical="center" wrapText="1" indent="1" readingOrder="1"/>
    </xf>
    <xf numFmtId="0" fontId="24" fillId="29" borderId="270" xfId="0" applyFont="1" applyFill="1" applyBorder="1" applyAlignment="1">
      <alignment horizontal="left" vertical="center" wrapText="1" indent="1" readingOrder="1"/>
    </xf>
    <xf numFmtId="0" fontId="24" fillId="29" borderId="274" xfId="0" applyFont="1" applyFill="1" applyBorder="1" applyAlignment="1">
      <alignment horizontal="left" vertical="center" wrapText="1" indent="1" readingOrder="1"/>
    </xf>
    <xf numFmtId="0" fontId="127" fillId="29" borderId="277" xfId="0" applyFont="1" applyFill="1" applyBorder="1" applyAlignment="1">
      <alignment horizontal="center" vertical="center" wrapText="1" readingOrder="1"/>
    </xf>
    <xf numFmtId="0" fontId="127" fillId="29" borderId="274" xfId="0" applyFont="1" applyFill="1" applyBorder="1" applyAlignment="1">
      <alignment horizontal="center" vertical="center" wrapText="1" readingOrder="1"/>
    </xf>
    <xf numFmtId="4" fontId="14" fillId="0" borderId="0" xfId="0" applyNumberFormat="1" applyFont="1" applyAlignment="1">
      <alignment horizontal="center" vertical="center"/>
    </xf>
    <xf numFmtId="0" fontId="14" fillId="0" borderId="0" xfId="0" applyFont="1" applyAlignment="1">
      <alignment horizontal="center" vertical="center"/>
    </xf>
    <xf numFmtId="0" fontId="14" fillId="0" borderId="17" xfId="0" applyFont="1" applyBorder="1" applyAlignment="1">
      <alignment horizontal="center" vertical="center"/>
    </xf>
    <xf numFmtId="4" fontId="14" fillId="0" borderId="92" xfId="0" applyNumberFormat="1" applyFont="1" applyBorder="1" applyAlignment="1">
      <alignment horizontal="center" vertical="center"/>
    </xf>
    <xf numFmtId="4" fontId="14" fillId="0" borderId="18" xfId="0" applyNumberFormat="1" applyFont="1" applyBorder="1" applyAlignment="1">
      <alignment horizontal="center" vertical="center"/>
    </xf>
    <xf numFmtId="4" fontId="14" fillId="0" borderId="17" xfId="0" applyNumberFormat="1" applyFont="1" applyBorder="1" applyAlignment="1">
      <alignment horizontal="center" vertical="center"/>
    </xf>
    <xf numFmtId="40" fontId="62" fillId="0" borderId="230" xfId="2" applyNumberFormat="1" applyFont="1" applyFill="1" applyBorder="1" applyAlignment="1">
      <alignment horizontal="center" wrapText="1"/>
    </xf>
    <xf numFmtId="40" fontId="62" fillId="0" borderId="146" xfId="2" applyNumberFormat="1" applyFont="1" applyFill="1" applyBorder="1" applyAlignment="1">
      <alignment horizontal="center" wrapText="1"/>
    </xf>
    <xf numFmtId="40" fontId="62" fillId="0" borderId="146" xfId="2" applyNumberFormat="1" applyFont="1" applyFill="1" applyBorder="1" applyAlignment="1">
      <alignment horizontal="center" vertical="top" wrapText="1"/>
    </xf>
    <xf numFmtId="40" fontId="62" fillId="0" borderId="293" xfId="2" applyNumberFormat="1" applyFont="1" applyFill="1" applyBorder="1" applyAlignment="1">
      <alignment horizontal="center" vertical="top" wrapText="1"/>
    </xf>
    <xf numFmtId="0" fontId="111" fillId="0" borderId="0" xfId="0" applyFont="1" applyAlignment="1">
      <alignment horizontal="right"/>
    </xf>
    <xf numFmtId="3" fontId="24" fillId="4" borderId="151" xfId="0" applyNumberFormat="1" applyFont="1" applyFill="1" applyBorder="1" applyAlignment="1">
      <alignment horizontal="right" vertical="center"/>
    </xf>
    <xf numFmtId="3" fontId="24" fillId="4" borderId="147" xfId="0" applyNumberFormat="1" applyFont="1" applyFill="1" applyBorder="1" applyAlignment="1">
      <alignment horizontal="right" vertical="center"/>
    </xf>
    <xf numFmtId="0" fontId="62" fillId="0" borderId="267" xfId="0" applyFont="1" applyBorder="1" applyAlignment="1">
      <alignment horizontal="center" vertical="center" wrapText="1"/>
    </xf>
    <xf numFmtId="0" fontId="62" fillId="0" borderId="268" xfId="0" applyFont="1" applyBorder="1" applyAlignment="1">
      <alignment horizontal="center" vertical="center" wrapText="1"/>
    </xf>
    <xf numFmtId="0" fontId="62" fillId="0" borderId="101" xfId="0" applyFont="1" applyBorder="1" applyAlignment="1">
      <alignment horizontal="center" vertical="center" wrapText="1"/>
    </xf>
    <xf numFmtId="0" fontId="62" fillId="0" borderId="262" xfId="0" applyFont="1" applyBorder="1" applyAlignment="1">
      <alignment horizontal="center" vertical="center" wrapText="1"/>
    </xf>
    <xf numFmtId="0" fontId="62" fillId="0" borderId="102" xfId="0" applyFont="1" applyBorder="1" applyAlignment="1">
      <alignment horizontal="center" vertical="center" wrapText="1"/>
    </xf>
    <xf numFmtId="0" fontId="62" fillId="0" borderId="282" xfId="0" applyFont="1" applyBorder="1" applyAlignment="1">
      <alignment horizontal="center" vertical="center" wrapText="1"/>
    </xf>
    <xf numFmtId="3" fontId="28" fillId="4" borderId="284" xfId="0" applyNumberFormat="1" applyFont="1" applyFill="1" applyBorder="1" applyAlignment="1">
      <alignment horizontal="left" vertical="center"/>
    </xf>
    <xf numFmtId="3" fontId="28" fillId="4" borderId="135" xfId="0" applyNumberFormat="1" applyFont="1" applyFill="1" applyBorder="1" applyAlignment="1">
      <alignment horizontal="left" vertical="center"/>
    </xf>
    <xf numFmtId="3" fontId="28" fillId="4" borderId="295" xfId="0" applyNumberFormat="1" applyFont="1" applyFill="1" applyBorder="1" applyAlignment="1">
      <alignment horizontal="left" vertical="center"/>
    </xf>
    <xf numFmtId="176" fontId="62" fillId="0" borderId="146" xfId="0" applyNumberFormat="1" applyFont="1" applyBorder="1" applyAlignment="1">
      <alignment horizontal="center" wrapText="1"/>
    </xf>
    <xf numFmtId="40" fontId="62" fillId="0" borderId="101" xfId="2" applyNumberFormat="1" applyFont="1" applyFill="1" applyBorder="1" applyAlignment="1">
      <alignment horizontal="center" vertical="top" wrapText="1"/>
    </xf>
    <xf numFmtId="40" fontId="62" fillId="0" borderId="95" xfId="2" applyNumberFormat="1" applyFont="1" applyFill="1" applyBorder="1" applyAlignment="1">
      <alignment horizontal="center" vertical="top" wrapText="1"/>
    </xf>
    <xf numFmtId="40" fontId="62" fillId="0" borderId="102" xfId="2" applyNumberFormat="1" applyFont="1" applyFill="1" applyBorder="1" applyAlignment="1">
      <alignment horizontal="center" vertical="top" wrapText="1"/>
    </xf>
    <xf numFmtId="40" fontId="62" fillId="0" borderId="100" xfId="2" applyNumberFormat="1" applyFont="1" applyFill="1" applyBorder="1" applyAlignment="1">
      <alignment horizontal="center" vertical="top" wrapText="1"/>
    </xf>
    <xf numFmtId="0" fontId="117" fillId="0" borderId="0" xfId="0" applyFont="1" applyAlignment="1">
      <alignment horizontal="left" vertical="center"/>
    </xf>
    <xf numFmtId="184" fontId="22" fillId="4" borderId="151" xfId="0" applyNumberFormat="1" applyFont="1" applyFill="1" applyBorder="1" applyAlignment="1">
      <alignment horizontal="center" vertical="center"/>
    </xf>
    <xf numFmtId="184" fontId="22" fillId="4" borderId="147" xfId="0" applyNumberFormat="1" applyFont="1" applyFill="1" applyBorder="1" applyAlignment="1">
      <alignment horizontal="center" vertical="center"/>
    </xf>
    <xf numFmtId="38" fontId="73" fillId="4" borderId="51" xfId="0" applyNumberFormat="1" applyFont="1" applyFill="1" applyBorder="1" applyAlignment="1">
      <alignment horizontal="center" vertical="center"/>
    </xf>
    <xf numFmtId="38" fontId="73" fillId="4" borderId="64" xfId="0" applyNumberFormat="1" applyFont="1" applyFill="1" applyBorder="1" applyAlignment="1">
      <alignment horizontal="center" vertical="center"/>
    </xf>
    <xf numFmtId="40" fontId="22" fillId="0" borderId="148" xfId="2" applyNumberFormat="1" applyFont="1" applyBorder="1" applyAlignment="1">
      <alignment horizontal="right" vertical="center"/>
    </xf>
    <xf numFmtId="0" fontId="68" fillId="27" borderId="139" xfId="0" applyFont="1" applyFill="1" applyBorder="1" applyAlignment="1">
      <alignment horizontal="center" vertical="center" wrapText="1"/>
    </xf>
    <xf numFmtId="0" fontId="68" fillId="27" borderId="140" xfId="0" applyFont="1" applyFill="1" applyBorder="1" applyAlignment="1">
      <alignment horizontal="center" vertical="center" wrapText="1"/>
    </xf>
    <xf numFmtId="3" fontId="24" fillId="4" borderId="148" xfId="0" applyNumberFormat="1" applyFont="1" applyFill="1" applyBorder="1" applyAlignment="1">
      <alignment horizontal="right" vertical="center"/>
    </xf>
    <xf numFmtId="38" fontId="24" fillId="0" borderId="148" xfId="2" applyFont="1" applyBorder="1" applyAlignment="1">
      <alignment horizontal="center" vertical="center"/>
    </xf>
    <xf numFmtId="38" fontId="22" fillId="4" borderId="148" xfId="1" applyNumberFormat="1" applyFont="1" applyFill="1" applyBorder="1" applyAlignment="1">
      <alignment horizontal="left" vertical="center"/>
    </xf>
    <xf numFmtId="184" fontId="22" fillId="4" borderId="148" xfId="0" applyNumberFormat="1" applyFont="1" applyFill="1" applyBorder="1" applyAlignment="1">
      <alignment horizontal="center" vertical="center"/>
    </xf>
    <xf numFmtId="0" fontId="22" fillId="0" borderId="148" xfId="0" applyFont="1" applyBorder="1" applyAlignment="1" applyProtection="1">
      <alignment horizontal="left" vertical="center" wrapText="1" indent="1"/>
      <protection locked="0"/>
    </xf>
    <xf numFmtId="0" fontId="22" fillId="0" borderId="148" xfId="0" applyFont="1" applyBorder="1" applyAlignment="1" applyProtection="1">
      <alignment horizontal="left" vertical="center" indent="1"/>
      <protection locked="0"/>
    </xf>
    <xf numFmtId="0" fontId="111" fillId="0" borderId="150" xfId="0" applyFont="1" applyBorder="1" applyAlignment="1">
      <alignment horizontal="right" vertical="center" wrapText="1"/>
    </xf>
    <xf numFmtId="4" fontId="120" fillId="0" borderId="256" xfId="0" applyNumberFormat="1" applyFont="1" applyBorder="1" applyAlignment="1">
      <alignment vertical="center" readingOrder="1"/>
    </xf>
    <xf numFmtId="0" fontId="120" fillId="0" borderId="257" xfId="0" applyFont="1" applyBorder="1" applyAlignment="1">
      <alignment vertical="center" readingOrder="1"/>
    </xf>
    <xf numFmtId="176" fontId="62" fillId="0" borderId="152" xfId="0" applyNumberFormat="1" applyFont="1" applyBorder="1" applyAlignment="1">
      <alignment horizontal="center" wrapText="1"/>
    </xf>
    <xf numFmtId="176" fontId="62" fillId="0" borderId="99" xfId="0" applyNumberFormat="1" applyFont="1" applyBorder="1" applyAlignment="1">
      <alignment horizontal="center" wrapText="1"/>
    </xf>
    <xf numFmtId="176" fontId="62" fillId="0" borderId="101" xfId="0" applyNumberFormat="1" applyFont="1" applyBorder="1" applyAlignment="1">
      <alignment horizontal="center" wrapText="1"/>
    </xf>
    <xf numFmtId="176" fontId="62" fillId="0" borderId="95" xfId="0" applyNumberFormat="1" applyFont="1" applyBorder="1" applyAlignment="1">
      <alignment horizontal="center" wrapText="1"/>
    </xf>
    <xf numFmtId="3" fontId="24" fillId="4" borderId="134" xfId="0" applyNumberFormat="1" applyFont="1" applyFill="1" applyBorder="1" applyAlignment="1">
      <alignment horizontal="right" vertical="center"/>
    </xf>
    <xf numFmtId="176" fontId="62" fillId="0" borderId="146" xfId="0" applyNumberFormat="1" applyFont="1" applyBorder="1" applyAlignment="1">
      <alignment horizontal="center" vertical="center" wrapText="1"/>
    </xf>
    <xf numFmtId="3" fontId="28" fillId="4" borderId="285" xfId="0" applyNumberFormat="1" applyFont="1" applyFill="1" applyBorder="1" applyAlignment="1">
      <alignment horizontal="left" vertical="center"/>
    </xf>
    <xf numFmtId="0" fontId="62" fillId="0" borderId="305" xfId="0" applyFont="1" applyBorder="1" applyAlignment="1">
      <alignment horizontal="center" vertical="center" wrapText="1"/>
    </xf>
    <xf numFmtId="0" fontId="62" fillId="0" borderId="303" xfId="0" applyFont="1" applyBorder="1" applyAlignment="1">
      <alignment horizontal="center" vertical="center" wrapText="1"/>
    </xf>
    <xf numFmtId="0" fontId="8" fillId="8" borderId="64" xfId="0" applyFont="1" applyFill="1" applyBorder="1" applyAlignment="1">
      <alignment horizontal="center" vertical="center"/>
    </xf>
    <xf numFmtId="0" fontId="8" fillId="8" borderId="33" xfId="0" applyFont="1" applyFill="1" applyBorder="1" applyAlignment="1">
      <alignment horizontal="center" vertical="center"/>
    </xf>
    <xf numFmtId="0" fontId="8" fillId="8" borderId="51" xfId="0" applyFont="1" applyFill="1" applyBorder="1" applyAlignment="1">
      <alignment horizontal="center" vertical="center" wrapText="1"/>
    </xf>
    <xf numFmtId="0" fontId="8" fillId="8" borderId="64" xfId="0" applyFont="1" applyFill="1" applyBorder="1" applyAlignment="1">
      <alignment horizontal="center" vertical="center" wrapText="1"/>
    </xf>
    <xf numFmtId="0" fontId="22" fillId="8" borderId="64" xfId="0" applyFont="1" applyFill="1" applyBorder="1" applyAlignment="1">
      <alignment horizontal="center" vertical="center"/>
    </xf>
    <xf numFmtId="0" fontId="22" fillId="8" borderId="33" xfId="0" applyFont="1" applyFill="1" applyBorder="1" applyAlignment="1">
      <alignment horizontal="center" vertical="center"/>
    </xf>
    <xf numFmtId="0" fontId="93" fillId="8" borderId="51" xfId="0" applyFont="1" applyFill="1" applyBorder="1" applyAlignment="1" applyProtection="1">
      <alignment horizontal="center" vertical="center"/>
      <protection locked="0"/>
    </xf>
    <xf numFmtId="0" fontId="93" fillId="8" borderId="64" xfId="0" applyFont="1" applyFill="1" applyBorder="1" applyAlignment="1" applyProtection="1">
      <alignment horizontal="center" vertical="center"/>
      <protection locked="0"/>
    </xf>
    <xf numFmtId="0" fontId="93" fillId="8" borderId="33" xfId="0" applyFont="1" applyFill="1" applyBorder="1" applyAlignment="1" applyProtection="1">
      <alignment horizontal="center" vertical="center"/>
      <protection locked="0"/>
    </xf>
    <xf numFmtId="0" fontId="22" fillId="8" borderId="16" xfId="0" quotePrefix="1" applyFont="1" applyFill="1" applyBorder="1" applyAlignment="1">
      <alignment horizontal="left" vertical="center" wrapText="1"/>
    </xf>
    <xf numFmtId="0" fontId="22" fillId="8" borderId="0" xfId="0" quotePrefix="1" applyFont="1" applyFill="1" applyAlignment="1">
      <alignment horizontal="left" vertical="center" wrapText="1"/>
    </xf>
    <xf numFmtId="0" fontId="22" fillId="8" borderId="19" xfId="0" quotePrefix="1" applyFont="1" applyFill="1" applyBorder="1" applyAlignment="1">
      <alignment horizontal="left" vertical="center" wrapText="1"/>
    </xf>
  </cellXfs>
  <cellStyles count="20">
    <cellStyle name="백분율" xfId="14" builtinId="5"/>
    <cellStyle name="백분율 2" xfId="8" xr:uid="{AEEC733E-9B99-4DCD-ADBF-A5BB25990DA1}"/>
    <cellStyle name="백분율 2 2" xfId="12" xr:uid="{6768A453-CD32-45A2-82F1-2527FA1362FB}"/>
    <cellStyle name="백분율 3" xfId="19" xr:uid="{5DD0A39A-B816-4747-8EB8-85B63CEC0426}"/>
    <cellStyle name="쉼표" xfId="1" builtinId="3"/>
    <cellStyle name="쉼표 [0]" xfId="2" builtinId="6"/>
    <cellStyle name="쉼표 [0] 2" xfId="4" xr:uid="{09704372-7642-4024-BA01-E39818D67B07}"/>
    <cellStyle name="쉼표 [0] 3" xfId="9" xr:uid="{7E050471-9C02-4B9E-AD70-8B37BE2BF774}"/>
    <cellStyle name="쉼표 [0] 3 2" xfId="13" xr:uid="{1FE8DB28-7BDA-486E-8C40-26020360E913}"/>
    <cellStyle name="쉼표 [0] 4" xfId="11" xr:uid="{F329D3AC-B235-4413-9F33-3ECC25DEFD54}"/>
    <cellStyle name="쉼표 [0] 5" xfId="17" xr:uid="{A80563A7-D453-4702-8E7B-847C4EB8E518}"/>
    <cellStyle name="통화 [0] 2" xfId="18" xr:uid="{6900ADA2-B508-4993-B911-889446265CED}"/>
    <cellStyle name="표준" xfId="0" builtinId="0"/>
    <cellStyle name="표준 2" xfId="3" xr:uid="{17601748-AC4D-4A3E-96EF-E9DCB509486D}"/>
    <cellStyle name="표준 3" xfId="7" xr:uid="{3BCDF371-CD58-4F3C-91C8-BA23074FC458}"/>
    <cellStyle name="표준 3 2" xfId="5" xr:uid="{21B61557-3E4C-424E-A4F1-E108043155D3}"/>
    <cellStyle name="표준 3 3" xfId="10" xr:uid="{079656EE-F326-4DB2-8F37-8F9F631002D2}"/>
    <cellStyle name="표준 3 3 2" xfId="16" xr:uid="{4A2AD5C6-4A84-4F62-AB78-E05EE857D5E8}"/>
    <cellStyle name="표준 32" xfId="6" xr:uid="{E88BB8BD-20B7-4D7E-A46D-D337AA8056D2}"/>
    <cellStyle name="표준 4" xfId="15" xr:uid="{5FBDA4FD-5A64-4D80-AA45-026A3B21FF1F}"/>
  </cellStyles>
  <dxfs count="6">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rgb="FFFF0000"/>
      </font>
      <fill>
        <patternFill>
          <bgColor rgb="FFFFFF00"/>
        </patternFill>
      </fill>
    </dxf>
    <dxf>
      <font>
        <strike val="0"/>
        <color theme="1"/>
      </font>
      <fill>
        <patternFill patternType="none">
          <bgColor auto="1"/>
        </patternFill>
      </fill>
    </dxf>
    <dxf>
      <numFmt numFmtId="177" formatCode="_(* #,##0_);_(* \(#,##0\);_(* &quot;-&quot;??_);_(@_)"/>
    </dxf>
  </dxfs>
  <tableStyles count="0" defaultTableStyle="TableStyleMedium2" defaultPivotStyle="PivotStyleLight16"/>
  <colors>
    <mruColors>
      <color rgb="FF0000FF"/>
      <color rgb="FF153D64"/>
      <color rgb="FFFFFFFF"/>
      <color rgb="FFC00000"/>
      <color rgb="FF156082"/>
      <color rgb="FFFAACFA"/>
      <color rgb="FFFFCCFF"/>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pivotCacheDefinition" Target="pivotCache/pivotCacheDefinition1.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ocumenttasks/documenttask1.xml><?xml version="1.0" encoding="utf-8"?>
<Tasks xmlns="http://schemas.microsoft.com/office/tasks/2019/documenttasks">
  <Task id="{F233015A-45F7-4CEC-84DE-AD7E69281872}">
    <Anchor>
      <Comment id="{B43A930B-DF01-45D0-8204-E70F973EACEA}"/>
    </Anchor>
    <History>
      <Event time="2025-04-28T02:59:07.40" id="{621EFE5B-C2FE-42BB-89B0-7BEEEC1F2858}">
        <Attribution userId="S::eunji@originated.co.kr::b31f2fe0-0ce4-4608-99c4-3af328bf4e10" userName="Jung Eunji" userProvider="AD"/>
        <Anchor>
          <Comment id="{B43A930B-DF01-45D0-8204-E70F973EACEA}"/>
        </Anchor>
        <Create/>
      </Event>
      <Event time="2025-04-28T02:59:07.40" id="{B77E48C9-D1BE-4293-A786-2EC95BE07263}">
        <Attribution userId="S::eunji@originated.co.kr::b31f2fe0-0ce4-4608-99c4-3af328bf4e10" userName="Jung Eunji" userProvider="AD"/>
        <Anchor>
          <Comment id="{B43A930B-DF01-45D0-8204-E70F973EACEA}"/>
        </Anchor>
        <Assign userId="S::jskim@originated.co.kr::6f189366-9030-45ca-952c-af8df133d7f9" userName="Kim Jeongsik" userProvider="AD"/>
      </Event>
      <Event time="2025-04-28T02:59:07.40" id="{0918CB69-35AD-4472-95FE-601B3B22D87E}">
        <Attribution userId="S::eunji@originated.co.kr::b31f2fe0-0ce4-4608-99c4-3af328bf4e10" userName="Jung Eunji" userProvider="AD"/>
        <Anchor>
          <Comment id="{B43A930B-DF01-45D0-8204-E70F973EACEA}"/>
        </Anchor>
        <SetTitle title="@Kim Jeongsik 이사님 41-행 부터 에너지플랜 새 물건 업데이트 해놨습니다. 숫자 업데이트 부탁드립니다."/>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tmp"/></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8</xdr:col>
      <xdr:colOff>723900</xdr:colOff>
      <xdr:row>35</xdr:row>
      <xdr:rowOff>38100</xdr:rowOff>
    </xdr:from>
    <xdr:to>
      <xdr:col>17</xdr:col>
      <xdr:colOff>229831</xdr:colOff>
      <xdr:row>85</xdr:row>
      <xdr:rowOff>57779</xdr:rowOff>
    </xdr:to>
    <xdr:pic>
      <xdr:nvPicPr>
        <xdr:cNvPr id="3" name="그림 1">
          <a:extLst>
            <a:ext uri="{FF2B5EF4-FFF2-40B4-BE49-F238E27FC236}">
              <a16:creationId xmlns:a16="http://schemas.microsoft.com/office/drawing/2014/main" id="{B627C4EE-7A9A-ACC3-D99F-123898477B41}"/>
            </a:ext>
          </a:extLst>
        </xdr:cNvPr>
        <xdr:cNvPicPr>
          <a:picLocks noChangeAspect="1"/>
        </xdr:cNvPicPr>
      </xdr:nvPicPr>
      <xdr:blipFill>
        <a:blip xmlns:r="http://schemas.openxmlformats.org/officeDocument/2006/relationships" r:embed="rId1"/>
        <a:stretch>
          <a:fillRect/>
        </a:stretch>
      </xdr:blipFill>
      <xdr:spPr>
        <a:xfrm>
          <a:off x="8086725" y="8667750"/>
          <a:ext cx="8821381" cy="4505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43</xdr:row>
      <xdr:rowOff>0</xdr:rowOff>
    </xdr:from>
    <xdr:to>
      <xdr:col>17</xdr:col>
      <xdr:colOff>496026</xdr:colOff>
      <xdr:row>104</xdr:row>
      <xdr:rowOff>153416</xdr:rowOff>
    </xdr:to>
    <xdr:pic>
      <xdr:nvPicPr>
        <xdr:cNvPr id="2" name="그림 1">
          <a:extLst>
            <a:ext uri="{FF2B5EF4-FFF2-40B4-BE49-F238E27FC236}">
              <a16:creationId xmlns:a16="http://schemas.microsoft.com/office/drawing/2014/main" id="{76B0F890-3335-3E84-117E-62152EB4F509}"/>
            </a:ext>
          </a:extLst>
        </xdr:cNvPr>
        <xdr:cNvPicPr>
          <a:picLocks noChangeAspect="1"/>
        </xdr:cNvPicPr>
      </xdr:nvPicPr>
      <xdr:blipFill>
        <a:blip xmlns:r="http://schemas.openxmlformats.org/officeDocument/2006/relationships" r:embed="rId1"/>
        <a:stretch>
          <a:fillRect/>
        </a:stretch>
      </xdr:blipFill>
      <xdr:spPr>
        <a:xfrm>
          <a:off x="9086850" y="7762875"/>
          <a:ext cx="5201376" cy="7278116"/>
        </a:xfrm>
        <a:prstGeom prst="rect">
          <a:avLst/>
        </a:prstGeom>
      </xdr:spPr>
    </xdr:pic>
    <xdr:clientData/>
  </xdr:twoCellAnchor>
  <xdr:twoCellAnchor editAs="oneCell">
    <xdr:from>
      <xdr:col>11</xdr:col>
      <xdr:colOff>0</xdr:colOff>
      <xdr:row>89</xdr:row>
      <xdr:rowOff>0</xdr:rowOff>
    </xdr:from>
    <xdr:to>
      <xdr:col>18</xdr:col>
      <xdr:colOff>57938</xdr:colOff>
      <xdr:row>133</xdr:row>
      <xdr:rowOff>994</xdr:rowOff>
    </xdr:to>
    <xdr:pic>
      <xdr:nvPicPr>
        <xdr:cNvPr id="5" name="그림 4">
          <a:extLst>
            <a:ext uri="{FF2B5EF4-FFF2-40B4-BE49-F238E27FC236}">
              <a16:creationId xmlns:a16="http://schemas.microsoft.com/office/drawing/2014/main" id="{EA54E06E-7662-285F-B3B9-B67370A3555C}"/>
            </a:ext>
          </a:extLst>
        </xdr:cNvPr>
        <xdr:cNvPicPr>
          <a:picLocks noChangeAspect="1"/>
        </xdr:cNvPicPr>
      </xdr:nvPicPr>
      <xdr:blipFill>
        <a:blip xmlns:r="http://schemas.openxmlformats.org/officeDocument/2006/relationships" r:embed="rId2"/>
        <a:stretch>
          <a:fillRect/>
        </a:stretch>
      </xdr:blipFill>
      <xdr:spPr>
        <a:xfrm>
          <a:off x="9086850" y="15268575"/>
          <a:ext cx="5649113" cy="71256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343618</xdr:colOff>
      <xdr:row>31</xdr:row>
      <xdr:rowOff>181878</xdr:rowOff>
    </xdr:to>
    <xdr:pic>
      <xdr:nvPicPr>
        <xdr:cNvPr id="2" name="그림 1">
          <a:extLst>
            <a:ext uri="{FF2B5EF4-FFF2-40B4-BE49-F238E27FC236}">
              <a16:creationId xmlns:a16="http://schemas.microsoft.com/office/drawing/2014/main" id="{887431EC-2A58-0116-A9C4-9AA0C01EF78D}"/>
            </a:ext>
          </a:extLst>
        </xdr:cNvPr>
        <xdr:cNvPicPr>
          <a:picLocks noChangeAspect="1"/>
        </xdr:cNvPicPr>
      </xdr:nvPicPr>
      <xdr:blipFill>
        <a:blip xmlns:r="http://schemas.openxmlformats.org/officeDocument/2006/relationships" r:embed="rId1"/>
        <a:stretch>
          <a:fillRect/>
        </a:stretch>
      </xdr:blipFill>
      <xdr:spPr>
        <a:xfrm>
          <a:off x="685800" y="209550"/>
          <a:ext cx="5144218" cy="6468378"/>
        </a:xfrm>
        <a:prstGeom prst="rect">
          <a:avLst/>
        </a:prstGeom>
      </xdr:spPr>
    </xdr:pic>
    <xdr:clientData/>
  </xdr:twoCellAnchor>
  <xdr:twoCellAnchor editAs="oneCell">
    <xdr:from>
      <xdr:col>1</xdr:col>
      <xdr:colOff>0</xdr:colOff>
      <xdr:row>32</xdr:row>
      <xdr:rowOff>0</xdr:rowOff>
    </xdr:from>
    <xdr:to>
      <xdr:col>8</xdr:col>
      <xdr:colOff>295986</xdr:colOff>
      <xdr:row>37</xdr:row>
      <xdr:rowOff>181146</xdr:rowOff>
    </xdr:to>
    <xdr:pic>
      <xdr:nvPicPr>
        <xdr:cNvPr id="3" name="그림 2">
          <a:extLst>
            <a:ext uri="{FF2B5EF4-FFF2-40B4-BE49-F238E27FC236}">
              <a16:creationId xmlns:a16="http://schemas.microsoft.com/office/drawing/2014/main" id="{EF0B7F44-5A7E-A5EF-E0D3-B93F3A1E87A5}"/>
            </a:ext>
          </a:extLst>
        </xdr:cNvPr>
        <xdr:cNvPicPr>
          <a:picLocks noChangeAspect="1"/>
        </xdr:cNvPicPr>
      </xdr:nvPicPr>
      <xdr:blipFill>
        <a:blip xmlns:r="http://schemas.openxmlformats.org/officeDocument/2006/relationships" r:embed="rId2"/>
        <a:stretch>
          <a:fillRect/>
        </a:stretch>
      </xdr:blipFill>
      <xdr:spPr>
        <a:xfrm>
          <a:off x="685800" y="6705600"/>
          <a:ext cx="5096586" cy="12288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36</xdr:col>
      <xdr:colOff>826770</xdr:colOff>
      <xdr:row>0</xdr:row>
      <xdr:rowOff>278131</xdr:rowOff>
    </xdr:from>
    <xdr:to>
      <xdr:col>38</xdr:col>
      <xdr:colOff>5715</xdr:colOff>
      <xdr:row>0</xdr:row>
      <xdr:rowOff>514350</xdr:rowOff>
    </xdr:to>
    <xdr:sp macro="" textlink="">
      <xdr:nvSpPr>
        <xdr:cNvPr id="2" name="TextBox 1">
          <a:extLst>
            <a:ext uri="{FF2B5EF4-FFF2-40B4-BE49-F238E27FC236}">
              <a16:creationId xmlns:a16="http://schemas.microsoft.com/office/drawing/2014/main" id="{783E2B05-80AF-48AD-9F3E-9B73ECB27AA6}"/>
            </a:ext>
          </a:extLst>
        </xdr:cNvPr>
        <xdr:cNvSpPr txBox="1"/>
      </xdr:nvSpPr>
      <xdr:spPr>
        <a:xfrm>
          <a:off x="28220670" y="278131"/>
          <a:ext cx="946785" cy="236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t>Excl.</a:t>
          </a:r>
          <a:r>
            <a:rPr lang="en-US" altLang="ko-KR" sz="1000" baseline="0"/>
            <a:t> VAT(10%)</a:t>
          </a:r>
          <a:endParaRPr lang="ko-KR" altLang="en-US" sz="10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47</xdr:col>
      <xdr:colOff>0</xdr:colOff>
      <xdr:row>93</xdr:row>
      <xdr:rowOff>0</xdr:rowOff>
    </xdr:from>
    <xdr:to>
      <xdr:col>47</xdr:col>
      <xdr:colOff>0</xdr:colOff>
      <xdr:row>93</xdr:row>
      <xdr:rowOff>19050</xdr:rowOff>
    </xdr:to>
    <xdr:pic>
      <xdr:nvPicPr>
        <xdr:cNvPr id="2" name="그림 1">
          <a:extLst>
            <a:ext uri="{FF2B5EF4-FFF2-40B4-BE49-F238E27FC236}">
              <a16:creationId xmlns:a16="http://schemas.microsoft.com/office/drawing/2014/main" id="{2FCDDE94-420F-DBE5-A825-4636AA6639B2}"/>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3" name="그림 2">
          <a:extLst>
            <a:ext uri="{FF2B5EF4-FFF2-40B4-BE49-F238E27FC236}">
              <a16:creationId xmlns:a16="http://schemas.microsoft.com/office/drawing/2014/main" id="{39F38006-6507-BBFC-DCA2-4BB30A84A1A8}"/>
            </a:ext>
            <a:ext uri="{147F2762-F138-4A5C-976F-8EAC2B608ADB}">
              <a16:predDERef xmlns:a16="http://schemas.microsoft.com/office/drawing/2014/main" pred="{2FCDDE94-420F-DBE5-A825-4636AA6639B2}"/>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4" name="그림 3">
          <a:extLst>
            <a:ext uri="{FF2B5EF4-FFF2-40B4-BE49-F238E27FC236}">
              <a16:creationId xmlns:a16="http://schemas.microsoft.com/office/drawing/2014/main" id="{6351DA08-C46C-41D0-B8AE-D80BB1E7848D}"/>
            </a:ext>
            <a:ext uri="{147F2762-F138-4A5C-976F-8EAC2B608ADB}">
              <a16:predDERef xmlns:a16="http://schemas.microsoft.com/office/drawing/2014/main" pred="{39F38006-6507-BBFC-DCA2-4BB30A84A1A8}"/>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5" name="그림 4">
          <a:extLst>
            <a:ext uri="{FF2B5EF4-FFF2-40B4-BE49-F238E27FC236}">
              <a16:creationId xmlns:a16="http://schemas.microsoft.com/office/drawing/2014/main" id="{5FE30067-C95B-5607-6652-0629DC602909}"/>
            </a:ext>
            <a:ext uri="{147F2762-F138-4A5C-976F-8EAC2B608ADB}">
              <a16:predDERef xmlns:a16="http://schemas.microsoft.com/office/drawing/2014/main" pred="{6351DA08-C46C-41D0-B8AE-D80BB1E7848D}"/>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6" name="그림 5">
          <a:extLst>
            <a:ext uri="{FF2B5EF4-FFF2-40B4-BE49-F238E27FC236}">
              <a16:creationId xmlns:a16="http://schemas.microsoft.com/office/drawing/2014/main" id="{A4A711B2-3953-36BD-CDD2-5B1D0C725532}"/>
            </a:ext>
            <a:ext uri="{147F2762-F138-4A5C-976F-8EAC2B608ADB}">
              <a16:predDERef xmlns:a16="http://schemas.microsoft.com/office/drawing/2014/main" pred="{5FE30067-C95B-5607-6652-0629DC602909}"/>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7" name="그림 6">
          <a:extLst>
            <a:ext uri="{FF2B5EF4-FFF2-40B4-BE49-F238E27FC236}">
              <a16:creationId xmlns:a16="http://schemas.microsoft.com/office/drawing/2014/main" id="{3523D345-722E-5EB7-5CA1-A6036C81D0D0}"/>
            </a:ext>
            <a:ext uri="{147F2762-F138-4A5C-976F-8EAC2B608ADB}">
              <a16:predDERef xmlns:a16="http://schemas.microsoft.com/office/drawing/2014/main" pred="{A4A711B2-3953-36BD-CDD2-5B1D0C725532}"/>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8" name="그림 7">
          <a:extLst>
            <a:ext uri="{FF2B5EF4-FFF2-40B4-BE49-F238E27FC236}">
              <a16:creationId xmlns:a16="http://schemas.microsoft.com/office/drawing/2014/main" id="{718A5B78-8776-B0B8-A212-F47D98AB0039}"/>
            </a:ext>
            <a:ext uri="{147F2762-F138-4A5C-976F-8EAC2B608ADB}">
              <a16:predDERef xmlns:a16="http://schemas.microsoft.com/office/drawing/2014/main" pred="{3523D345-722E-5EB7-5CA1-A6036C81D0D0}"/>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9" name="그림 8">
          <a:extLst>
            <a:ext uri="{FF2B5EF4-FFF2-40B4-BE49-F238E27FC236}">
              <a16:creationId xmlns:a16="http://schemas.microsoft.com/office/drawing/2014/main" id="{E4E82AF0-900A-F257-0905-A7A3F9A00A07}"/>
            </a:ext>
            <a:ext uri="{147F2762-F138-4A5C-976F-8EAC2B608ADB}">
              <a16:predDERef xmlns:a16="http://schemas.microsoft.com/office/drawing/2014/main" pred="{718A5B78-8776-B0B8-A212-F47D98AB0039}"/>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10" name="그림 9">
          <a:extLst>
            <a:ext uri="{FF2B5EF4-FFF2-40B4-BE49-F238E27FC236}">
              <a16:creationId xmlns:a16="http://schemas.microsoft.com/office/drawing/2014/main" id="{1962B69D-9EFF-0FF2-2065-767AF87541B6}"/>
            </a:ext>
            <a:ext uri="{147F2762-F138-4A5C-976F-8EAC2B608ADB}">
              <a16:predDERef xmlns:a16="http://schemas.microsoft.com/office/drawing/2014/main" pred="{E4E82AF0-900A-F257-0905-A7A3F9A00A07}"/>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twoCellAnchor editAs="oneCell">
    <xdr:from>
      <xdr:col>47</xdr:col>
      <xdr:colOff>0</xdr:colOff>
      <xdr:row>93</xdr:row>
      <xdr:rowOff>0</xdr:rowOff>
    </xdr:from>
    <xdr:to>
      <xdr:col>47</xdr:col>
      <xdr:colOff>0</xdr:colOff>
      <xdr:row>93</xdr:row>
      <xdr:rowOff>19050</xdr:rowOff>
    </xdr:to>
    <xdr:pic>
      <xdr:nvPicPr>
        <xdr:cNvPr id="11" name="그림 10">
          <a:extLst>
            <a:ext uri="{FF2B5EF4-FFF2-40B4-BE49-F238E27FC236}">
              <a16:creationId xmlns:a16="http://schemas.microsoft.com/office/drawing/2014/main" id="{18586ECE-F1E0-1F36-2A2B-74772DA34356}"/>
            </a:ext>
            <a:ext uri="{147F2762-F138-4A5C-976F-8EAC2B608ADB}">
              <a16:predDERef xmlns:a16="http://schemas.microsoft.com/office/drawing/2014/main" pred="{1962B69D-9EFF-0FF2-2065-767AF87541B6}"/>
            </a:ext>
          </a:extLst>
        </xdr:cNvPr>
        <xdr:cNvPicPr>
          <a:picLocks noChangeAspect="1"/>
        </xdr:cNvPicPr>
      </xdr:nvPicPr>
      <xdr:blipFill>
        <a:blip xmlns:r="http://schemas.openxmlformats.org/officeDocument/2006/relationships" r:embed="rId1"/>
        <a:stretch>
          <a:fillRect/>
        </a:stretch>
      </xdr:blipFill>
      <xdr:spPr>
        <a:xfrm>
          <a:off x="50339625" y="16554450"/>
          <a:ext cx="9525" cy="9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47</xdr:col>
      <xdr:colOff>9525</xdr:colOff>
      <xdr:row>0</xdr:row>
      <xdr:rowOff>209550</xdr:rowOff>
    </xdr:from>
    <xdr:to>
      <xdr:col>48</xdr:col>
      <xdr:colOff>152400</xdr:colOff>
      <xdr:row>1</xdr:row>
      <xdr:rowOff>95250</xdr:rowOff>
    </xdr:to>
    <xdr:sp macro="" textlink="">
      <xdr:nvSpPr>
        <xdr:cNvPr id="2" name="TextBox 1">
          <a:extLst>
            <a:ext uri="{FF2B5EF4-FFF2-40B4-BE49-F238E27FC236}">
              <a16:creationId xmlns:a16="http://schemas.microsoft.com/office/drawing/2014/main" id="{EC7B7561-1FB8-8981-827E-525F1CEC4B6E}"/>
            </a:ext>
          </a:extLst>
        </xdr:cNvPr>
        <xdr:cNvSpPr txBox="1"/>
      </xdr:nvSpPr>
      <xdr:spPr>
        <a:xfrm>
          <a:off x="33223200" y="209550"/>
          <a:ext cx="1095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b="1" i="0">
              <a:solidFill>
                <a:schemeClr val="bg1"/>
              </a:solidFill>
              <a:effectLst/>
              <a:latin typeface="+mn-lt"/>
              <a:ea typeface="+mn-ea"/>
              <a:cs typeface="+mn-cs"/>
            </a:rPr>
            <a:t>(Excl. 10% VAT)</a:t>
          </a:r>
          <a:endParaRPr lang="ko-KR" altLang="en-US" sz="1000">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447675</xdr:colOff>
      <xdr:row>19</xdr:row>
      <xdr:rowOff>9525</xdr:rowOff>
    </xdr:from>
    <xdr:to>
      <xdr:col>22</xdr:col>
      <xdr:colOff>606185</xdr:colOff>
      <xdr:row>21</xdr:row>
      <xdr:rowOff>59858</xdr:rowOff>
    </xdr:to>
    <xdr:pic>
      <xdr:nvPicPr>
        <xdr:cNvPr id="3" name="그림 3">
          <a:extLst>
            <a:ext uri="{FF2B5EF4-FFF2-40B4-BE49-F238E27FC236}">
              <a16:creationId xmlns:a16="http://schemas.microsoft.com/office/drawing/2014/main" id="{33B64040-B0CF-B2C8-758A-EE6EFC68729F}"/>
            </a:ext>
          </a:extLst>
        </xdr:cNvPr>
        <xdr:cNvPicPr>
          <a:picLocks noChangeAspect="1"/>
        </xdr:cNvPicPr>
      </xdr:nvPicPr>
      <xdr:blipFill>
        <a:blip xmlns:r="http://schemas.openxmlformats.org/officeDocument/2006/relationships" r:embed="rId1"/>
        <a:stretch>
          <a:fillRect/>
        </a:stretch>
      </xdr:blipFill>
      <xdr:spPr>
        <a:xfrm>
          <a:off x="13363575" y="4657725"/>
          <a:ext cx="158510" cy="469433"/>
        </a:xfrm>
        <a:prstGeom prst="rect">
          <a:avLst/>
        </a:prstGeom>
      </xdr:spPr>
    </xdr:pic>
    <xdr:clientData/>
  </xdr:twoCellAnchor>
  <xdr:twoCellAnchor editAs="oneCell">
    <xdr:from>
      <xdr:col>22</xdr:col>
      <xdr:colOff>457200</xdr:colOff>
      <xdr:row>40</xdr:row>
      <xdr:rowOff>9525</xdr:rowOff>
    </xdr:from>
    <xdr:to>
      <xdr:col>22</xdr:col>
      <xdr:colOff>615710</xdr:colOff>
      <xdr:row>42</xdr:row>
      <xdr:rowOff>59858</xdr:rowOff>
    </xdr:to>
    <xdr:pic>
      <xdr:nvPicPr>
        <xdr:cNvPr id="6" name="그림 4">
          <a:extLst>
            <a:ext uri="{FF2B5EF4-FFF2-40B4-BE49-F238E27FC236}">
              <a16:creationId xmlns:a16="http://schemas.microsoft.com/office/drawing/2014/main" id="{4AEE45E5-9209-4192-B316-243B27493883}"/>
            </a:ext>
          </a:extLst>
        </xdr:cNvPr>
        <xdr:cNvPicPr>
          <a:picLocks noChangeAspect="1"/>
        </xdr:cNvPicPr>
      </xdr:nvPicPr>
      <xdr:blipFill>
        <a:blip xmlns:r="http://schemas.openxmlformats.org/officeDocument/2006/relationships" r:embed="rId1"/>
        <a:stretch>
          <a:fillRect/>
        </a:stretch>
      </xdr:blipFill>
      <xdr:spPr>
        <a:xfrm>
          <a:off x="13373100" y="7600950"/>
          <a:ext cx="158510" cy="469433"/>
        </a:xfrm>
        <a:prstGeom prst="rect">
          <a:avLst/>
        </a:prstGeom>
      </xdr:spPr>
    </xdr:pic>
    <xdr:clientData/>
  </xdr:twoCellAnchor>
  <xdr:oneCellAnchor>
    <xdr:from>
      <xdr:col>22</xdr:col>
      <xdr:colOff>552450</xdr:colOff>
      <xdr:row>68</xdr:row>
      <xdr:rowOff>9525</xdr:rowOff>
    </xdr:from>
    <xdr:ext cx="158510" cy="469433"/>
    <xdr:pic>
      <xdr:nvPicPr>
        <xdr:cNvPr id="2" name="그림 1">
          <a:extLst>
            <a:ext uri="{FF2B5EF4-FFF2-40B4-BE49-F238E27FC236}">
              <a16:creationId xmlns:a16="http://schemas.microsoft.com/office/drawing/2014/main" id="{F393F6F7-B434-40F2-ACFC-2B36CAA12E68}"/>
            </a:ext>
          </a:extLst>
        </xdr:cNvPr>
        <xdr:cNvPicPr>
          <a:picLocks noChangeAspect="1"/>
        </xdr:cNvPicPr>
      </xdr:nvPicPr>
      <xdr:blipFill>
        <a:blip xmlns:r="http://schemas.openxmlformats.org/officeDocument/2006/relationships" r:embed="rId1"/>
        <a:stretch>
          <a:fillRect/>
        </a:stretch>
      </xdr:blipFill>
      <xdr:spPr>
        <a:xfrm>
          <a:off x="12725400" y="7600950"/>
          <a:ext cx="158510" cy="469433"/>
        </a:xfrm>
        <a:prstGeom prst="rect">
          <a:avLst/>
        </a:prstGeom>
      </xdr:spPr>
    </xdr:pic>
    <xdr:clientData/>
  </xdr:oneCellAnchor>
  <xdr:oneCellAnchor>
    <xdr:from>
      <xdr:col>22</xdr:col>
      <xdr:colOff>552450</xdr:colOff>
      <xdr:row>68</xdr:row>
      <xdr:rowOff>0</xdr:rowOff>
    </xdr:from>
    <xdr:ext cx="158510" cy="469433"/>
    <xdr:pic>
      <xdr:nvPicPr>
        <xdr:cNvPr id="4" name="그림 3">
          <a:extLst>
            <a:ext uri="{FF2B5EF4-FFF2-40B4-BE49-F238E27FC236}">
              <a16:creationId xmlns:a16="http://schemas.microsoft.com/office/drawing/2014/main" id="{329B39D5-8275-4DDC-A45F-6C8D415FD6AA}"/>
            </a:ext>
          </a:extLst>
        </xdr:cNvPr>
        <xdr:cNvPicPr>
          <a:picLocks noChangeAspect="1"/>
        </xdr:cNvPicPr>
      </xdr:nvPicPr>
      <xdr:blipFill>
        <a:blip xmlns:r="http://schemas.openxmlformats.org/officeDocument/2006/relationships" r:embed="rId1"/>
        <a:stretch>
          <a:fillRect/>
        </a:stretch>
      </xdr:blipFill>
      <xdr:spPr>
        <a:xfrm>
          <a:off x="13677900" y="11172825"/>
          <a:ext cx="158510" cy="469433"/>
        </a:xfrm>
        <a:prstGeom prst="rect">
          <a:avLst/>
        </a:prstGeom>
      </xdr:spPr>
    </xdr:pic>
    <xdr:clientData/>
  </xdr:oneCellAnchor>
  <xdr:oneCellAnchor>
    <xdr:from>
      <xdr:col>22</xdr:col>
      <xdr:colOff>552450</xdr:colOff>
      <xdr:row>95</xdr:row>
      <xdr:rowOff>9525</xdr:rowOff>
    </xdr:from>
    <xdr:ext cx="158510" cy="469433"/>
    <xdr:pic>
      <xdr:nvPicPr>
        <xdr:cNvPr id="5" name="그림 4">
          <a:extLst>
            <a:ext uri="{FF2B5EF4-FFF2-40B4-BE49-F238E27FC236}">
              <a16:creationId xmlns:a16="http://schemas.microsoft.com/office/drawing/2014/main" id="{711714CD-B487-4D62-91A7-E96128DC7303}"/>
            </a:ext>
          </a:extLst>
        </xdr:cNvPr>
        <xdr:cNvPicPr>
          <a:picLocks noChangeAspect="1"/>
        </xdr:cNvPicPr>
      </xdr:nvPicPr>
      <xdr:blipFill>
        <a:blip xmlns:r="http://schemas.openxmlformats.org/officeDocument/2006/relationships" r:embed="rId1"/>
        <a:stretch>
          <a:fillRect/>
        </a:stretch>
      </xdr:blipFill>
      <xdr:spPr>
        <a:xfrm>
          <a:off x="13677900" y="9477375"/>
          <a:ext cx="158510" cy="469433"/>
        </a:xfrm>
        <a:prstGeom prst="rect">
          <a:avLst/>
        </a:prstGeom>
      </xdr:spPr>
    </xdr:pic>
    <xdr:clientData/>
  </xdr:oneCellAnchor>
  <xdr:oneCellAnchor>
    <xdr:from>
      <xdr:col>22</xdr:col>
      <xdr:colOff>552450</xdr:colOff>
      <xdr:row>95</xdr:row>
      <xdr:rowOff>0</xdr:rowOff>
    </xdr:from>
    <xdr:ext cx="158510" cy="469433"/>
    <xdr:pic>
      <xdr:nvPicPr>
        <xdr:cNvPr id="7" name="그림 6">
          <a:extLst>
            <a:ext uri="{FF2B5EF4-FFF2-40B4-BE49-F238E27FC236}">
              <a16:creationId xmlns:a16="http://schemas.microsoft.com/office/drawing/2014/main" id="{FFAFA4B4-51FB-43B5-B583-78EADC644FC6}"/>
            </a:ext>
          </a:extLst>
        </xdr:cNvPr>
        <xdr:cNvPicPr>
          <a:picLocks noChangeAspect="1"/>
        </xdr:cNvPicPr>
      </xdr:nvPicPr>
      <xdr:blipFill>
        <a:blip xmlns:r="http://schemas.openxmlformats.org/officeDocument/2006/relationships" r:embed="rId1"/>
        <a:stretch>
          <a:fillRect/>
        </a:stretch>
      </xdr:blipFill>
      <xdr:spPr>
        <a:xfrm>
          <a:off x="13677900" y="9467850"/>
          <a:ext cx="158510" cy="46943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8046699f46284e5f/&#47928;&#49436;/DG_Batch12_DEVEX%20Payment%20Plan_Revised_Aug%2026_Financial%20Condition%20%202nd%20Drawdown%20plan_v4.xlsx" TargetMode="External"/><Relationship Id="rId1" Type="http://schemas.openxmlformats.org/officeDocument/2006/relationships/externalLinkPath" Target="https://d.docs.live.net/8046699f46284e5f/&#47928;&#49436;/DG_Batch12_DEVEX%20Payment%20Plan_Revised_Aug%2026_Financial%20Condition%20%202nd%20Drawdown%20plan_v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istributedgeneratio\Desktop\&#49352;%20&#54260;&#45908;\1.%20&#44536;&#47536;&#48380;&#53944;\&#50900;&#44036;&#48372;&#44256;\SPV%20&#51204;&#52404;%20&#51088;&#44552;%20&#54788;&#54889;\Cash%20Position%20by%20SPV%20as%20of%20Sep%2030,%202025.xlsx" TargetMode="External"/><Relationship Id="rId1" Type="http://schemas.openxmlformats.org/officeDocument/2006/relationships/externalLinkPath" Target="https://originated.sharepoint.com/Users/distributedgeneratio/Desktop/&#49352;%20&#54260;&#45908;/1.%20&#44536;&#47536;&#48380;&#53944;/&#50900;&#44036;&#48372;&#44256;/SPV%20&#51204;&#52404;%20&#51088;&#44552;%20&#54788;&#54889;/Cash%20Position%20by%20SPV%20as%20of%20Sep%2030,%20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originated.sharepoint.com/sites/vdr/Shared%20Documents/Plants%20(DG,%20Conventional)%20-South%20Korea/05_1.%20Payment%20Status/2.%20DG_Batch12_DEVEX%20Payment%20Plan_Jan.%2008.%2026_V1.xlsx" TargetMode="External"/><Relationship Id="rId1" Type="http://schemas.openxmlformats.org/officeDocument/2006/relationships/externalLinkPath" Target="https://originated.sharepoint.com/sites/vdr/Shared%20Documents/Plants%20(DG,%20Conventional)%20-South%20Korea/05_1.%20Payment%20Status/2.%20DG_Batch12_DEVEX%20Payment%20Plan_Jan.%2008.%2026_V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originated.sharepoint.com/sites/vdr/Shared%20Documents/Plants%20(DG,%20Conventional)%20-South%20Korea/13.%20Project%20Inputsheet/GM%20Batch%202/1.%20Inputsheet_GM%20Batch2_20250521.xlsx" TargetMode="External"/><Relationship Id="rId1" Type="http://schemas.openxmlformats.org/officeDocument/2006/relationships/externalLinkPath" Target="https://originated.sharepoint.com/sites/vdr/Shared%20Documents/Plants%20(DG,%20Conventional)%20-South%20Korea/13.%20Project%20Inputsheet/GM%20Batch%202/1.%20Inputsheet_GM%20Batch2_2025052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originated\&#51116;&#47924;&#47784;&#45944;\Input%20Sheet\1.%20Inputsheet_Shinan(9Project)_6.500MW_20250502_V1.xlsx" TargetMode="External"/><Relationship Id="rId1" Type="http://schemas.openxmlformats.org/officeDocument/2006/relationships/externalLinkPath" Target="https://originated-my.sharepoint.com/originated/&#51116;&#47924;&#47784;&#45944;/Input%20Sheet/1.%20Inputsheet_Shinan(9Project)_6.500MW_20250502_V1.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originated.sharepoint.com/sites/vdr/Shared%20Documents/Plants%20(DG,%20Conventional)%20-South%20Korea/05_1.%20Payment%20Status/2.%20DG_Batch12_DEVEX%20Payment%20Plan_Nov.%2014_V1.xlsx" TargetMode="External"/><Relationship Id="rId1" Type="http://schemas.openxmlformats.org/officeDocument/2006/relationships/externalLinkPath" Target="https://originated.sharepoint.com/sites/vdr/Shared%20Documents/Plants%20(DG,%20Conventional)%20-South%20Korea/05_1.%20Payment%20Status/2.%20DG_Batch12_DEVEX%20Payment%20Plan_Nov.%2014_V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germa\Downloads\GM_Batch2_Broker%20Fee_&#51088;&#44552;%20&#44228;&#54925;_V1.xlsx" TargetMode="External"/><Relationship Id="rId1" Type="http://schemas.openxmlformats.org/officeDocument/2006/relationships/externalLinkPath" Target="https://originated.sharepoint.com/Users/germa/Downloads/GM_Batch2_Broker%20Fee_&#51088;&#44552;%20&#44228;&#54925;_V1.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originated\&#48277;&#51064;&#49436;&#47448;\SPV%20List_JPedits_&#51452;&#51452;&#47749;&#48512;,&#48277;&#51064;&#54788;&#54889;&#54364;.xlsx" TargetMode="External"/><Relationship Id="rId1" Type="http://schemas.openxmlformats.org/officeDocument/2006/relationships/externalLinkPath" Target="/originated/&#48277;&#51064;&#49436;&#47448;/SPV%20List_JPedits_&#51452;&#51452;&#47749;&#48512;,&#48277;&#51064;&#54788;&#54889;&#5436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2HO-Account detail"/>
      <sheetName val="3HO-Account detail"/>
      <sheetName val="6HO-Account detail"/>
      <sheetName val="7HO-Account detail"/>
      <sheetName val="2HO-evidence of collection"/>
      <sheetName val="3HO-evidence of collection"/>
      <sheetName val="6HO-evidence of collection"/>
      <sheetName val="7HO-evidence of collection"/>
      <sheetName val="Liquidity Monthly Schedule"/>
      <sheetName val="Sheet2"/>
      <sheetName val="자금현황"/>
      <sheetName val="SPV Balance by bank_1"/>
      <sheetName val="SPV Balance by bank"/>
      <sheetName val="Current Financial Requirements"/>
      <sheetName val="Amount to be paid in 2025(이전)"/>
      <sheetName val="Amount to be paid in 2025(0826)"/>
      <sheetName val="Bolt Taeyanggwang 2HO"/>
      <sheetName val="Bolt Taeyanggwang 3HO"/>
      <sheetName val="Bolt Taeyanggwang 6HO"/>
      <sheetName val="지급비율"/>
      <sheetName val="Bolt Taeyanggwang 7HO"/>
      <sheetName val="Dropped Project (2)"/>
      <sheetName val="Dropped Proj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E5" t="str">
            <v>Balance</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V Balance by bank"/>
      <sheetName val="SPV Balance by bank_1"/>
      <sheetName val="Bolt1ho"/>
      <sheetName val="Bolt2ho"/>
      <sheetName val="Bolt3ho"/>
      <sheetName val="Bolt4ho"/>
      <sheetName val="Bolt5ho"/>
      <sheetName val="Bolt6ho"/>
      <sheetName val="Bolt7ho"/>
      <sheetName val="Bolt8ho"/>
      <sheetName val="Honam1ho"/>
      <sheetName val="Honam2ho"/>
      <sheetName val="POSN2HO"/>
      <sheetName val="Galsan"/>
      <sheetName val="Mineuri"/>
      <sheetName val="Saegol"/>
      <sheetName val="Jaesan"/>
    </sheetNames>
    <sheetDataSet>
      <sheetData sheetId="0"/>
      <sheetData sheetId="1">
        <row r="8">
          <cell r="L8">
            <v>115042926</v>
          </cell>
        </row>
      </sheetData>
      <sheetData sheetId="2">
        <row r="8">
          <cell r="M8">
            <v>556033915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3HO-Account detail"/>
      <sheetName val="6HO-Account detail"/>
      <sheetName val="2HO-evidence of collection"/>
      <sheetName val="3HO-evidence of collection"/>
      <sheetName val="6HO-evidence of collection"/>
      <sheetName val="7HO-evidence of collection"/>
      <sheetName val="Liquidity Monthly Schedule"/>
      <sheetName val="Sheet2"/>
      <sheetName val="자금현황"/>
      <sheetName val="Summary"/>
      <sheetName val="SPV Balance by bank_1"/>
      <sheetName val="SPV Balance by bank"/>
      <sheetName val="Current Financial Requirements"/>
      <sheetName val="Amount to be paid in 2025(이전)"/>
      <sheetName val="CAPEX_Input_2HO"/>
      <sheetName val="CAPEX_Amount to be paid in 2025"/>
      <sheetName val="확인 작업"/>
      <sheetName val="DEVEX_Amount to be paid in 2025"/>
      <sheetName val="BT 2HO (2)"/>
      <sheetName val="DEVEX Payment Status"/>
      <sheetName val="INPUTSHEET(BOLT 2)"/>
      <sheetName val="INPUTSHEET(BOLT 3)"/>
      <sheetName val="민감도분석_3,7"/>
      <sheetName val="PPAN"/>
      <sheetName val="EPC Liquidity Plan"/>
      <sheetName val="Lease Agreement (2)"/>
      <sheetName val="Lease Agreement"/>
      <sheetName val="CAPEX Breakdown"/>
      <sheetName val="CAPEX_Input_3,7HO(수정용)"/>
      <sheetName val="민감도분석_4"/>
      <sheetName val="입금요청"/>
      <sheetName val="SPV별 CAPEX 현황"/>
      <sheetName val="INPUTSHEET(BOLT 7,4)"/>
      <sheetName val="Input 기초"/>
      <sheetName val="SPV별 DEVEX 현황"/>
      <sheetName val="선납임차료"/>
      <sheetName val="BT 2HO"/>
      <sheetName val="지급비율"/>
      <sheetName val="BT 3HO"/>
      <sheetName val="BT 4HO"/>
      <sheetName val="BT 6HO"/>
      <sheetName val="BT 7HO"/>
      <sheetName val="DEVEX(Info)"/>
      <sheetName val="DEVEX(지급)"/>
      <sheetName val="CAPEX_Input_2HO_DK 요청"/>
      <sheetName val="Bolt Taeyanggwang 5HO"/>
      <sheetName val="Dropped Project (2)"/>
      <sheetName val="Dropped 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65">
          <cell r="E165">
            <v>653768000</v>
          </cell>
        </row>
        <row r="197">
          <cell r="E197">
            <v>147097800</v>
          </cell>
        </row>
        <row r="293">
          <cell r="B293" t="str">
            <v>Other</v>
          </cell>
        </row>
      </sheetData>
      <sheetData sheetId="22">
        <row r="163">
          <cell r="B163" t="str">
            <v>BOS</v>
          </cell>
        </row>
        <row r="181">
          <cell r="B181" t="str">
            <v>Modules</v>
          </cell>
        </row>
        <row r="199">
          <cell r="B199" t="str">
            <v>Grid Connection Cost</v>
          </cell>
        </row>
      </sheetData>
      <sheetData sheetId="23"/>
      <sheetData sheetId="24"/>
      <sheetData sheetId="25"/>
      <sheetData sheetId="26"/>
      <sheetData sheetId="27"/>
      <sheetData sheetId="28"/>
      <sheetData sheetId="29">
        <row r="33">
          <cell r="T33">
            <v>2.4285621E-2</v>
          </cell>
        </row>
        <row r="34">
          <cell r="T34">
            <v>3.6847296000000002E-2</v>
          </cell>
        </row>
        <row r="35">
          <cell r="T35">
            <v>1.9635E-2</v>
          </cell>
        </row>
        <row r="37">
          <cell r="T37">
            <v>1.1211799999999999E-2</v>
          </cell>
        </row>
        <row r="40">
          <cell r="T40">
            <v>8.4744677000000004E-2</v>
          </cell>
        </row>
        <row r="41">
          <cell r="T41">
            <v>4.2398399999999996E-2</v>
          </cell>
        </row>
        <row r="44">
          <cell r="G44">
            <v>1410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ck up"/>
      <sheetName val="GM_Batch2_Inputsheet"/>
      <sheetName val="GM_Batch2_Inputsheet(연결)"/>
      <sheetName val="민감도분석"/>
      <sheetName val="입력 시트(0124)"/>
      <sheetName val="CAPEX,DEVEX"/>
      <sheetName val="O&amp;M"/>
      <sheetName val="지급현황"/>
      <sheetName val="Sheet1"/>
    </sheetNames>
    <sheetDataSet>
      <sheetData sheetId="0"/>
      <sheetData sheetId="1"/>
      <sheetData sheetId="2"/>
      <sheetData sheetId="3"/>
      <sheetData sheetId="4">
        <row r="8">
          <cell r="E8" t="str">
            <v>Haenam, South Jeolla Province</v>
          </cell>
        </row>
        <row r="10">
          <cell r="E10" t="str">
            <v>RTB</v>
          </cell>
          <cell r="F10" t="str">
            <v>RTB</v>
          </cell>
          <cell r="G10" t="str">
            <v>RTB</v>
          </cell>
          <cell r="H10" t="str">
            <v>RTB</v>
          </cell>
          <cell r="I10" t="str">
            <v>RTB</v>
          </cell>
          <cell r="J10" t="str">
            <v>RTB</v>
          </cell>
          <cell r="K10" t="str">
            <v>RTB</v>
          </cell>
          <cell r="L10" t="str">
            <v>RTB</v>
          </cell>
          <cell r="M10" t="str">
            <v>RTB</v>
          </cell>
          <cell r="N10" t="str">
            <v>RTB</v>
          </cell>
        </row>
      </sheetData>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ck up"/>
      <sheetName val="Shinan(9 Project) Inputsheet"/>
      <sheetName val="Shinan(9 Project) 7.5816MW"/>
      <sheetName val="민감도분석"/>
      <sheetName val="입력 시트(0124)"/>
      <sheetName val="O&amp;M"/>
      <sheetName val="Sheet1"/>
    </sheetNames>
    <sheetDataSet>
      <sheetData sheetId="0" refreshError="1"/>
      <sheetData sheetId="1" refreshError="1"/>
      <sheetData sheetId="2" refreshError="1"/>
      <sheetData sheetId="3" refreshError="1"/>
      <sheetData sheetId="4" refreshError="1">
        <row r="72">
          <cell r="E72" t="str">
            <v>CPI</v>
          </cell>
          <cell r="F72" t="str">
            <v>CPI</v>
          </cell>
          <cell r="G72" t="str">
            <v>CPI</v>
          </cell>
        </row>
        <row r="80">
          <cell r="E80">
            <v>45901</v>
          </cell>
          <cell r="F80">
            <v>45901</v>
          </cell>
          <cell r="G80">
            <v>45901</v>
          </cell>
          <cell r="H80">
            <v>45901</v>
          </cell>
          <cell r="I80">
            <v>45931</v>
          </cell>
        </row>
        <row r="81">
          <cell r="E81" t="str">
            <v>CPI</v>
          </cell>
          <cell r="F81" t="str">
            <v>CPI</v>
          </cell>
          <cell r="G81" t="str">
            <v>CPI</v>
          </cell>
          <cell r="H81" t="str">
            <v>CPI</v>
          </cell>
          <cell r="I81" t="str">
            <v>CPI</v>
          </cell>
        </row>
        <row r="82">
          <cell r="E82">
            <v>45901</v>
          </cell>
          <cell r="F82">
            <v>45901</v>
          </cell>
          <cell r="G82">
            <v>45901</v>
          </cell>
          <cell r="H82">
            <v>45901</v>
          </cell>
          <cell r="I82">
            <v>45931</v>
          </cell>
        </row>
        <row r="90">
          <cell r="E90" t="str">
            <v>CPI</v>
          </cell>
        </row>
        <row r="99">
          <cell r="E99" t="str">
            <v>N/A</v>
          </cell>
          <cell r="F99" t="str">
            <v>N/A</v>
          </cell>
          <cell r="G99" t="str">
            <v>N/A</v>
          </cell>
          <cell r="H99" t="str">
            <v>N/A</v>
          </cell>
          <cell r="I99" t="str">
            <v>N/A</v>
          </cell>
        </row>
        <row r="100">
          <cell r="E100">
            <v>45901</v>
          </cell>
          <cell r="F100">
            <v>45901</v>
          </cell>
          <cell r="G100">
            <v>45901</v>
          </cell>
          <cell r="H100">
            <v>45901</v>
          </cell>
          <cell r="I100">
            <v>45931</v>
          </cell>
        </row>
        <row r="108">
          <cell r="E108" t="str">
            <v>N/A</v>
          </cell>
          <cell r="F108" t="str">
            <v>N/A</v>
          </cell>
          <cell r="G108" t="str">
            <v>N/A</v>
          </cell>
          <cell r="H108" t="str">
            <v>N/A</v>
          </cell>
          <cell r="I108" t="str">
            <v>N/A</v>
          </cell>
        </row>
        <row r="116">
          <cell r="H116">
            <v>45901</v>
          </cell>
          <cell r="I116">
            <v>45931</v>
          </cell>
        </row>
        <row r="117">
          <cell r="E117" t="str">
            <v>N/A</v>
          </cell>
          <cell r="F117" t="str">
            <v>N/A</v>
          </cell>
          <cell r="G117" t="str">
            <v>N/A</v>
          </cell>
          <cell r="H117" t="str">
            <v>N/A</v>
          </cell>
          <cell r="I117" t="str">
            <v>N/A</v>
          </cell>
        </row>
        <row r="118">
          <cell r="H118">
            <v>45901</v>
          </cell>
          <cell r="I118">
            <v>45931</v>
          </cell>
        </row>
        <row r="127">
          <cell r="E127" t="str">
            <v>N/A</v>
          </cell>
        </row>
        <row r="154">
          <cell r="E154" t="str">
            <v>CPI</v>
          </cell>
          <cell r="F154" t="str">
            <v>CPI</v>
          </cell>
          <cell r="G154" t="str">
            <v>CPI</v>
          </cell>
          <cell r="H154" t="str">
            <v>CPI</v>
          </cell>
          <cell r="I154" t="str">
            <v>CPI</v>
          </cell>
        </row>
        <row r="200">
          <cell r="E200"/>
          <cell r="F200"/>
          <cell r="G200"/>
          <cell r="H200"/>
          <cell r="I200"/>
        </row>
        <row r="201">
          <cell r="E201"/>
          <cell r="F201"/>
          <cell r="G201"/>
          <cell r="H201"/>
          <cell r="I201"/>
        </row>
        <row r="202">
          <cell r="E202"/>
          <cell r="F202"/>
          <cell r="G202"/>
          <cell r="H202"/>
          <cell r="I202"/>
        </row>
        <row r="204">
          <cell r="E204"/>
          <cell r="F204"/>
          <cell r="G204"/>
          <cell r="H204"/>
          <cell r="I204"/>
        </row>
        <row r="205">
          <cell r="E205"/>
          <cell r="F205"/>
          <cell r="G205"/>
          <cell r="H205"/>
          <cell r="I205"/>
        </row>
        <row r="206">
          <cell r="E206"/>
          <cell r="F206"/>
          <cell r="G206"/>
          <cell r="H206"/>
          <cell r="I206"/>
        </row>
        <row r="207">
          <cell r="E207"/>
          <cell r="F207"/>
          <cell r="G207"/>
          <cell r="H207"/>
          <cell r="I207"/>
        </row>
        <row r="208">
          <cell r="E208"/>
          <cell r="F208"/>
          <cell r="G208"/>
          <cell r="H208"/>
          <cell r="I208"/>
        </row>
        <row r="232">
          <cell r="E232"/>
          <cell r="F232"/>
          <cell r="G232"/>
          <cell r="H232"/>
          <cell r="I232"/>
        </row>
        <row r="233">
          <cell r="E233"/>
          <cell r="F233"/>
          <cell r="G233"/>
          <cell r="H233"/>
          <cell r="I233"/>
        </row>
        <row r="234">
          <cell r="E234"/>
          <cell r="F234"/>
          <cell r="G234"/>
          <cell r="H234"/>
          <cell r="I234"/>
        </row>
        <row r="235">
          <cell r="E235"/>
          <cell r="F235"/>
          <cell r="G235"/>
          <cell r="H235"/>
          <cell r="I235"/>
        </row>
        <row r="236">
          <cell r="E236"/>
          <cell r="F236"/>
          <cell r="G236"/>
          <cell r="H236"/>
          <cell r="I236"/>
        </row>
        <row r="237">
          <cell r="E237"/>
          <cell r="F237"/>
          <cell r="G237"/>
          <cell r="H237"/>
          <cell r="I237"/>
        </row>
        <row r="238">
          <cell r="E238"/>
          <cell r="F238"/>
          <cell r="G238"/>
          <cell r="H238"/>
          <cell r="I238"/>
        </row>
        <row r="239">
          <cell r="E239"/>
          <cell r="F239"/>
          <cell r="G239"/>
          <cell r="H239"/>
          <cell r="I239"/>
        </row>
        <row r="240">
          <cell r="E240"/>
          <cell r="F240"/>
          <cell r="G240"/>
          <cell r="H240"/>
          <cell r="I240"/>
        </row>
        <row r="264">
          <cell r="E264"/>
          <cell r="F264"/>
          <cell r="G264"/>
          <cell r="H264"/>
          <cell r="I264"/>
        </row>
        <row r="267">
          <cell r="E267"/>
          <cell r="F267"/>
          <cell r="G267"/>
          <cell r="H267"/>
          <cell r="I267"/>
        </row>
        <row r="272">
          <cell r="E272"/>
          <cell r="F272"/>
          <cell r="G272"/>
          <cell r="H272"/>
          <cell r="I272"/>
        </row>
        <row r="370">
          <cell r="E370">
            <v>1</v>
          </cell>
          <cell r="F370">
            <v>1</v>
          </cell>
          <cell r="G370">
            <v>1</v>
          </cell>
          <cell r="H370">
            <v>1</v>
          </cell>
          <cell r="I370">
            <v>1</v>
          </cell>
        </row>
        <row r="398">
          <cell r="E398">
            <v>0</v>
          </cell>
          <cell r="F398">
            <v>0</v>
          </cell>
          <cell r="G398">
            <v>0</v>
          </cell>
          <cell r="H398">
            <v>0</v>
          </cell>
          <cell r="I398">
            <v>0</v>
          </cell>
        </row>
        <row r="402">
          <cell r="E402"/>
          <cell r="F402"/>
          <cell r="G402"/>
          <cell r="H402"/>
          <cell r="I402"/>
        </row>
        <row r="403">
          <cell r="E403"/>
          <cell r="F403"/>
          <cell r="G403"/>
          <cell r="H403"/>
          <cell r="I403"/>
        </row>
        <row r="404">
          <cell r="E404"/>
          <cell r="F404"/>
          <cell r="G404"/>
          <cell r="H404"/>
          <cell r="I404"/>
        </row>
        <row r="405">
          <cell r="E405"/>
          <cell r="F405"/>
          <cell r="G405"/>
          <cell r="H405"/>
          <cell r="I405"/>
        </row>
        <row r="406">
          <cell r="E406"/>
          <cell r="F406"/>
          <cell r="G406"/>
          <cell r="H406"/>
          <cell r="I406"/>
        </row>
        <row r="407">
          <cell r="E407"/>
          <cell r="F407"/>
          <cell r="G407"/>
          <cell r="H407"/>
          <cell r="I407"/>
        </row>
        <row r="408">
          <cell r="E408"/>
          <cell r="F408"/>
          <cell r="G408"/>
          <cell r="H408"/>
          <cell r="I408"/>
        </row>
        <row r="409">
          <cell r="E409"/>
          <cell r="F409"/>
          <cell r="G409"/>
          <cell r="H409"/>
          <cell r="I409"/>
        </row>
        <row r="410">
          <cell r="E410"/>
          <cell r="F410"/>
          <cell r="G410"/>
          <cell r="H410"/>
          <cell r="I410"/>
        </row>
        <row r="411">
          <cell r="E411"/>
          <cell r="F411"/>
          <cell r="G411"/>
          <cell r="H411"/>
          <cell r="I411"/>
        </row>
        <row r="412">
          <cell r="E412"/>
          <cell r="F412"/>
          <cell r="G412"/>
          <cell r="H412"/>
          <cell r="I412"/>
        </row>
        <row r="413">
          <cell r="E413"/>
          <cell r="F413"/>
          <cell r="G413"/>
          <cell r="H413"/>
          <cell r="I413"/>
        </row>
        <row r="414">
          <cell r="E414"/>
          <cell r="F414"/>
          <cell r="G414"/>
          <cell r="H414"/>
          <cell r="I414"/>
        </row>
        <row r="415">
          <cell r="E415"/>
          <cell r="F415"/>
          <cell r="G415"/>
          <cell r="H415"/>
          <cell r="I415"/>
        </row>
        <row r="416">
          <cell r="E416"/>
          <cell r="F416"/>
          <cell r="G416"/>
          <cell r="H416"/>
          <cell r="I416"/>
        </row>
        <row r="417">
          <cell r="E417"/>
          <cell r="F417"/>
          <cell r="G417"/>
          <cell r="H417"/>
          <cell r="I417"/>
        </row>
        <row r="418">
          <cell r="E418"/>
          <cell r="F418"/>
          <cell r="G418"/>
          <cell r="H418"/>
          <cell r="I418"/>
        </row>
        <row r="419">
          <cell r="E419"/>
          <cell r="F419"/>
          <cell r="G419"/>
          <cell r="H419"/>
          <cell r="I419"/>
        </row>
        <row r="420">
          <cell r="E420"/>
          <cell r="F420"/>
          <cell r="G420"/>
          <cell r="H420"/>
          <cell r="I420"/>
        </row>
        <row r="421">
          <cell r="E421"/>
          <cell r="F421"/>
          <cell r="G421"/>
          <cell r="H421"/>
          <cell r="I421"/>
        </row>
        <row r="422">
          <cell r="E422"/>
          <cell r="F422"/>
          <cell r="G422"/>
          <cell r="H422"/>
          <cell r="I422"/>
        </row>
        <row r="423">
          <cell r="E423"/>
          <cell r="F423"/>
          <cell r="G423"/>
          <cell r="H423"/>
          <cell r="I423"/>
        </row>
        <row r="424">
          <cell r="E424"/>
          <cell r="F424"/>
          <cell r="G424"/>
          <cell r="H424"/>
          <cell r="I424"/>
        </row>
        <row r="425">
          <cell r="E425"/>
          <cell r="F425"/>
          <cell r="G425"/>
          <cell r="H425"/>
          <cell r="I425"/>
        </row>
      </sheetData>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3HO-Account detail"/>
      <sheetName val="6HO-Account detail"/>
      <sheetName val="2HO-evidence of collection"/>
      <sheetName val="3HO-evidence of collection"/>
      <sheetName val="6HO-evidence of collection"/>
      <sheetName val="7HO-evidence of collection"/>
      <sheetName val="Liquidity Monthly Schedule"/>
      <sheetName val="Sheet2"/>
      <sheetName val="자금현황"/>
      <sheetName val="Summary"/>
      <sheetName val="SPV Balance by bank_1"/>
      <sheetName val="SPV Balance by bank"/>
      <sheetName val="Current Financial Requirements"/>
      <sheetName val="Amount to be paid in 2025(이전)"/>
      <sheetName val="CAPEX_Input_2HO"/>
      <sheetName val="CAPEX_Amount to be paid in 2025"/>
      <sheetName val="확인 작업"/>
      <sheetName val="DEVEX_Amount to be paid in 2025"/>
      <sheetName val="BT 2HO (2)"/>
      <sheetName val="DEVEX Payment Status"/>
      <sheetName val="Input 기초"/>
      <sheetName val="INPUTSHEET(BOLT 2)"/>
      <sheetName val="INPUTSHEET(BOLT 3)"/>
      <sheetName val="INPUTSHEET(BOLT 7)"/>
      <sheetName val="민감도분석_3,7"/>
      <sheetName val="PPAN"/>
      <sheetName val="EPC Liquidity Plan"/>
      <sheetName val="Lease Agreement (2)"/>
      <sheetName val="Lease Agreement"/>
      <sheetName val="CAPEX Breakdown"/>
      <sheetName val="CAPEX_Input_3,7HO(수정용)"/>
      <sheetName val="민감도분석_4"/>
      <sheetName val="입금요청"/>
      <sheetName val="SPV별 CAPEX 현황"/>
      <sheetName val="SPV별 DEVEX 현황"/>
      <sheetName val="Sheet1"/>
      <sheetName val="BT 2HO"/>
      <sheetName val="지급비율"/>
      <sheetName val="BT 3HO"/>
      <sheetName val="BT 4HO"/>
      <sheetName val="BT 6HO"/>
      <sheetName val="BT 7HO"/>
      <sheetName val="DEVEX(Info)"/>
      <sheetName val="DEVEX(지급)"/>
      <sheetName val="CAPEX_Input_2HO_DK 요청"/>
      <sheetName val="Bolt Taeyanggwang 5HO"/>
      <sheetName val="Dropped Project (2)"/>
      <sheetName val="Dropped Proj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82">
          <cell r="O82">
            <v>45922</v>
          </cell>
          <cell r="R82">
            <v>31185000</v>
          </cell>
        </row>
        <row r="83">
          <cell r="R83">
            <v>20790000</v>
          </cell>
        </row>
      </sheetData>
      <sheetData sheetId="38" refreshError="1"/>
      <sheetData sheetId="39">
        <row r="17">
          <cell r="AB17">
            <v>45930</v>
          </cell>
        </row>
        <row r="22">
          <cell r="AB22">
            <v>45831</v>
          </cell>
        </row>
        <row r="27">
          <cell r="AB27">
            <v>45831</v>
          </cell>
        </row>
        <row r="32">
          <cell r="AB32">
            <v>45930</v>
          </cell>
        </row>
        <row r="37">
          <cell r="AB37">
            <v>45930</v>
          </cell>
        </row>
        <row r="42">
          <cell r="AB42">
            <v>45930</v>
          </cell>
        </row>
      </sheetData>
      <sheetData sheetId="40" refreshError="1"/>
      <sheetData sheetId="41">
        <row r="11">
          <cell r="D11">
            <v>150</v>
          </cell>
        </row>
        <row r="12">
          <cell r="N12">
            <v>45631</v>
          </cell>
          <cell r="O12">
            <v>45631</v>
          </cell>
          <cell r="R12">
            <v>9900000</v>
          </cell>
        </row>
        <row r="13">
          <cell r="R13">
            <v>6600000</v>
          </cell>
        </row>
        <row r="16">
          <cell r="D16">
            <v>144.15</v>
          </cell>
        </row>
        <row r="17">
          <cell r="N17">
            <v>45631</v>
          </cell>
          <cell r="O17">
            <v>45631</v>
          </cell>
          <cell r="R17">
            <v>9513900</v>
          </cell>
        </row>
        <row r="18">
          <cell r="R18">
            <v>6342600</v>
          </cell>
        </row>
        <row r="21">
          <cell r="D21">
            <v>138.43</v>
          </cell>
        </row>
        <row r="22">
          <cell r="N22">
            <v>45631</v>
          </cell>
          <cell r="O22">
            <v>45631</v>
          </cell>
          <cell r="R22">
            <v>9136380</v>
          </cell>
        </row>
        <row r="23">
          <cell r="R23">
            <v>6090920</v>
          </cell>
        </row>
        <row r="26">
          <cell r="D26">
            <v>2444.8000000000002</v>
          </cell>
        </row>
      </sheetData>
      <sheetData sheetId="42">
        <row r="12">
          <cell r="N12">
            <v>45650</v>
          </cell>
          <cell r="O12">
            <v>45650</v>
          </cell>
          <cell r="R12">
            <v>21067200</v>
          </cell>
          <cell r="U12">
            <v>45737</v>
          </cell>
          <cell r="V12">
            <v>45737</v>
          </cell>
          <cell r="Y12">
            <v>21067200</v>
          </cell>
          <cell r="AB12">
            <v>45791</v>
          </cell>
          <cell r="AC12">
            <v>45791</v>
          </cell>
          <cell r="AF12">
            <v>52668000</v>
          </cell>
        </row>
        <row r="13">
          <cell r="R13">
            <v>14044800</v>
          </cell>
          <cell r="Y13">
            <v>14044800</v>
          </cell>
          <cell r="AF13">
            <v>35112000</v>
          </cell>
        </row>
        <row r="17">
          <cell r="N17">
            <v>45679</v>
          </cell>
          <cell r="O17">
            <v>45679</v>
          </cell>
          <cell r="R17">
            <v>36000360</v>
          </cell>
          <cell r="U17">
            <v>45791</v>
          </cell>
          <cell r="V17">
            <v>45791</v>
          </cell>
          <cell r="Y17">
            <v>36000360</v>
          </cell>
          <cell r="AB17">
            <v>45991</v>
          </cell>
        </row>
        <row r="18">
          <cell r="R18">
            <v>24000240</v>
          </cell>
          <cell r="Y18">
            <v>24000240</v>
          </cell>
        </row>
        <row r="22">
          <cell r="N22">
            <v>45808</v>
          </cell>
          <cell r="O22">
            <v>45791</v>
          </cell>
          <cell r="R22">
            <v>16093440</v>
          </cell>
          <cell r="U22">
            <v>45855</v>
          </cell>
          <cell r="V22">
            <v>45867</v>
          </cell>
          <cell r="Y22">
            <v>16093440</v>
          </cell>
          <cell r="AB22">
            <v>45930</v>
          </cell>
          <cell r="AC22">
            <v>45922</v>
          </cell>
          <cell r="AF22">
            <v>34214400</v>
          </cell>
        </row>
        <row r="23">
          <cell r="R23">
            <v>10728960</v>
          </cell>
          <cell r="Y23">
            <v>10728960</v>
          </cell>
          <cell r="AF23">
            <v>14784000</v>
          </cell>
        </row>
        <row r="27">
          <cell r="N27">
            <v>45737</v>
          </cell>
          <cell r="O27">
            <v>45737</v>
          </cell>
          <cell r="R27">
            <v>13914120</v>
          </cell>
          <cell r="U27">
            <v>45820</v>
          </cell>
          <cell r="V27">
            <v>45820</v>
          </cell>
          <cell r="Y27">
            <v>13914120</v>
          </cell>
          <cell r="AB27">
            <v>45900</v>
          </cell>
          <cell r="AC27">
            <v>45883</v>
          </cell>
          <cell r="AF27">
            <v>34785300</v>
          </cell>
        </row>
        <row r="28">
          <cell r="R28">
            <v>9276080</v>
          </cell>
          <cell r="Y28">
            <v>9276080</v>
          </cell>
          <cell r="AF28">
            <v>23190200</v>
          </cell>
        </row>
        <row r="32">
          <cell r="N32">
            <v>45679</v>
          </cell>
          <cell r="O32">
            <v>45679</v>
          </cell>
          <cell r="R32">
            <v>9974580</v>
          </cell>
          <cell r="U32">
            <v>45791</v>
          </cell>
          <cell r="V32">
            <v>45791</v>
          </cell>
          <cell r="Y32">
            <v>9974580</v>
          </cell>
          <cell r="AB32">
            <v>45820</v>
          </cell>
          <cell r="AC32">
            <v>45820</v>
          </cell>
          <cell r="AF32">
            <v>24936450</v>
          </cell>
        </row>
        <row r="33">
          <cell r="R33">
            <v>6649720</v>
          </cell>
          <cell r="Y33">
            <v>6649720</v>
          </cell>
          <cell r="AF33">
            <v>16624300</v>
          </cell>
        </row>
        <row r="37">
          <cell r="N37">
            <v>45705</v>
          </cell>
          <cell r="O37">
            <v>45705</v>
          </cell>
          <cell r="R37">
            <v>4730880.0000000009</v>
          </cell>
          <cell r="U37">
            <v>45820</v>
          </cell>
          <cell r="V37">
            <v>45820</v>
          </cell>
          <cell r="Y37">
            <v>4730880</v>
          </cell>
          <cell r="AB37">
            <v>46022</v>
          </cell>
        </row>
        <row r="38">
          <cell r="R38">
            <v>3153920.0000000005</v>
          </cell>
          <cell r="Y38">
            <v>3233120</v>
          </cell>
        </row>
        <row r="42">
          <cell r="N42">
            <v>45705</v>
          </cell>
          <cell r="O42">
            <v>45705</v>
          </cell>
          <cell r="R42">
            <v>2534400</v>
          </cell>
          <cell r="U42">
            <v>45820</v>
          </cell>
          <cell r="V42">
            <v>45820</v>
          </cell>
          <cell r="Y42">
            <v>2534400</v>
          </cell>
          <cell r="AB42">
            <v>46022</v>
          </cell>
        </row>
        <row r="43">
          <cell r="R43">
            <v>1689600</v>
          </cell>
          <cell r="Y43">
            <v>1689600</v>
          </cell>
        </row>
        <row r="47">
          <cell r="N47">
            <v>45705</v>
          </cell>
          <cell r="O47">
            <v>45705</v>
          </cell>
          <cell r="R47">
            <v>10477500</v>
          </cell>
          <cell r="U47">
            <v>45820</v>
          </cell>
          <cell r="V47">
            <v>45820</v>
          </cell>
          <cell r="Y47">
            <v>10477500</v>
          </cell>
          <cell r="AB47">
            <v>45930</v>
          </cell>
          <cell r="AF47">
            <v>26193750</v>
          </cell>
        </row>
        <row r="48">
          <cell r="R48">
            <v>6985000</v>
          </cell>
          <cell r="Y48">
            <v>6985000</v>
          </cell>
          <cell r="AF48">
            <v>17462500</v>
          </cell>
        </row>
      </sheetData>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tch1 calculation"/>
      <sheetName val="Week news"/>
      <sheetName val="ref.Phase 1 (2)"/>
      <sheetName val="관련 현황"/>
      <sheetName val="GM Total"/>
      <sheetName val="GM Payment(1)"/>
      <sheetName val="GM Payment Plan"/>
      <sheetName val="GM Payment(APA)"/>
      <sheetName val="GM Payment(SPA)"/>
      <sheetName val="지급비율"/>
      <sheetName val="지급비율(1)"/>
      <sheetName val="DG-PV Organic"/>
      <sheetName val="GM payment(재작성 중)"/>
      <sheetName val="SPVs Status 3"/>
      <sheetName val="ref.지급기준 (2)"/>
      <sheetName val="Solar M&amp;A"/>
      <sheetName val="Sheet1"/>
      <sheetName val="Rationales_Solar M&amp;A"/>
      <sheetName val="Solar Organic"/>
      <sheetName val="DG-PV M&amp;A"/>
      <sheetName val="Rationales_DG-PV Organic"/>
      <sheetName val="DG정리"/>
      <sheetName val="Quarterly BD Projection"/>
      <sheetName val="Wind"/>
      <sheetName val="Rationales_Wind"/>
      <sheetName val="Down PJ"/>
      <sheetName val="Back up"/>
      <sheetName val="Pivot"/>
    </sheetNames>
    <sheetDataSet>
      <sheetData sheetId="0"/>
      <sheetData sheetId="1"/>
      <sheetData sheetId="2"/>
      <sheetData sheetId="3"/>
      <sheetData sheetId="4"/>
      <sheetData sheetId="5"/>
      <sheetData sheetId="6"/>
      <sheetData sheetId="7"/>
      <sheetData sheetId="8">
        <row r="11">
          <cell r="C11" t="str">
            <v>Galsan (SPA)</v>
          </cell>
          <cell r="D11">
            <v>993.6</v>
          </cell>
        </row>
        <row r="17">
          <cell r="C17" t="str">
            <v>Mineuri (SPA)</v>
          </cell>
          <cell r="D17">
            <v>993.6</v>
          </cell>
        </row>
        <row r="23">
          <cell r="C23" t="str">
            <v>GM Payment(SPA)</v>
          </cell>
          <cell r="D23">
            <v>993.6</v>
          </cell>
        </row>
        <row r="29">
          <cell r="C29" t="str">
            <v>Jaesan (SPA)</v>
          </cell>
          <cell r="D29">
            <v>993.6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영문법인현황"/>
      <sheetName val="국문법인현황"/>
      <sheetName val="주주명부(1호)"/>
      <sheetName val="주주명부(2호)"/>
      <sheetName val="주주명부(3호)"/>
      <sheetName val="주주명부(4호)"/>
      <sheetName val="주주명부(5호)"/>
      <sheetName val="주주명부(6호)"/>
      <sheetName val="주주명부(7호)"/>
      <sheetName val="주주명부(8호)"/>
      <sheetName val="주주명부(9호)"/>
      <sheetName val="주주명부(10호)"/>
    </sheetNames>
    <sheetDataSet>
      <sheetData sheetId="0" refreshError="1"/>
      <sheetData sheetId="1">
        <row r="15">
          <cell r="D15" t="str">
            <v>096301-04-103327</v>
          </cell>
          <cell r="E15" t="str">
            <v>096301-04-103330</v>
          </cell>
          <cell r="H15" t="str">
            <v>096337-04-011223</v>
          </cell>
          <cell r="I15" t="str">
            <v>096301-04-103343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Kim Jeongsik" id="{CFAC48E3-C6F6-4045-86FB-6F15274DE6FF}" userId="jskim@originated.co.kr" providerId="PeoplePicker"/>
  <person displayName="distributed generation" id="{436C6567-3A21-42FB-877A-CB2FEF21A7D6}" userId="S::dg@originated.co.kr::471da4b1-347d-4037-8281-85ce65981424" providerId="AD"/>
  <person displayName="Jung Eunji" id="{C7196D56-78D4-4D72-A93B-A73E12FA0000}" userId="S::eunji@originated.co.kr::b31f2fe0-0ce4-4608-99c4-3af328bf4e10" providerId="AD"/>
  <person displayName="Kim Jeongsik" id="{7CC3146B-4D76-4CD5-A5AD-886DE9985929}" userId="S::jskim@originated.co.kr::6f189366-9030-45ca-952c-af8df133d7f9" providerId="AD"/>
  <person displayName="Kim Doyoung" id="{FBFC598E-18EF-441B-BC33-6B8934130A57}" userId="S::dy.kim@originated.co.kr::0d0cbb3f-cef5-4fc8-8186-ed561411be0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V_emanuel" refreshedDate="45329.646965046297" createdVersion="8" refreshedVersion="8" minRefreshableVersion="3" recordCount="20" xr:uid="{D8D33903-7991-4256-BD68-4D50BE9EF0E8}">
  <cacheSource type="worksheet">
    <worksheetSource ref="B28:AY28" sheet="Solar M&amp;A"/>
  </cacheSource>
  <cacheFields count="45">
    <cacheField name=" Proyect Name" numFmtId="0">
      <sharedItems count="20">
        <s v="HV21214"/>
        <s v="HV21240"/>
        <s v="HV21237"/>
        <s v="HV21022"/>
        <s v="HV22034"/>
        <s v="HV22013"/>
        <s v="HV23027"/>
        <s v="HV23036"/>
        <s v="HV22058"/>
        <s v="HV23028"/>
        <s v="HV23055"/>
        <s v="HV21356"/>
        <s v="HV23052"/>
        <s v="HV23049"/>
        <s v="HV23077"/>
        <s v="HV23073"/>
        <s v="HV23070"/>
        <s v="HV23002"/>
        <s v="HV23056"/>
        <s v="HV23024"/>
      </sharedItems>
    </cacheField>
    <cacheField name="PM" numFmtId="0">
      <sharedItems/>
    </cacheField>
    <cacheField name="Location" numFmtId="0">
      <sharedItems/>
    </cacheField>
    <cacheField name="Location（kanji）" numFmtId="0">
      <sharedItems/>
    </cacheField>
    <cacheField name="Coordinates" numFmtId="0">
      <sharedItems/>
    </cacheField>
    <cacheField name="Class" numFmtId="0">
      <sharedItems count="3">
        <s v="A"/>
        <s v="C"/>
        <s v="B"/>
      </sharedItems>
    </cacheField>
    <cacheField name="DC" numFmtId="0">
      <sharedItems containsSemiMixedTypes="0" containsString="0" containsNumber="1" minValue="287.2" maxValue="24275" count="18">
        <n v="558.6"/>
        <n v="1197"/>
        <n v="957.6"/>
        <n v="287.2"/>
        <n v="2300"/>
        <n v="468.48"/>
        <n v="2713"/>
        <n v="968.2"/>
        <n v="944.28"/>
        <n v="402.5"/>
        <n v="933.6"/>
        <n v="691.6"/>
        <n v="622.4"/>
        <n v="1106"/>
        <n v="2178"/>
        <n v="430.9"/>
        <n v="968.24"/>
        <n v="24275"/>
      </sharedItems>
    </cacheField>
    <cacheField name="AC" numFmtId="0">
      <sharedItems containsSemiMixedTypes="0" containsString="0" containsNumber="1" minValue="250" maxValue="19500"/>
    </cacheField>
    <cacheField name="RTB_x000a_Date" numFmtId="14">
      <sharedItems containsSemiMixedTypes="0" containsNonDate="0" containsDate="1" containsString="0" minDate="2023-08-31T00:00:00" maxDate="2025-02-01T00:00:00" count="13">
        <d v="2023-08-31T00:00:00"/>
        <d v="2023-10-01T00:00:00"/>
        <d v="2023-12-31T00:00:00"/>
        <d v="2024-02-29T00:00:00"/>
        <d v="2024-07-05T00:00:00"/>
        <d v="2024-12-30T00:00:00"/>
        <d v="2024-09-30T00:00:00"/>
        <d v="2024-11-30T00:00:00"/>
        <d v="2024-09-20T00:00:00"/>
        <d v="2024-10-31T00:00:00"/>
        <d v="2024-12-25T00:00:00"/>
        <d v="2024-12-28T00:00:00"/>
        <d v="2025-01-31T00:00:00"/>
      </sharedItems>
      <fieldGroup par="41"/>
    </cacheField>
    <cacheField name="COD_x000a_Date" numFmtId="14">
      <sharedItems containsSemiMixedTypes="0" containsNonDate="0" containsDate="1" containsString="0" minDate="2024-09-01T00:00:00" maxDate="2026-11-01T00:00:00"/>
    </cacheField>
    <cacheField name="Utility Progress" numFmtId="0">
      <sharedItems/>
    </cacheField>
    <cacheField name="Preliminary app date" numFmtId="0">
      <sharedItems containsDate="1" containsMixedTypes="1" minDate="2022-10-07T00:00:00" maxDate="2023-12-26T00:00:00"/>
    </cacheField>
    <cacheField name="Secondary app date" numFmtId="14">
      <sharedItems containsSemiMixedTypes="0" containsNonDate="0" containsDate="1" containsString="0" minDate="2021-09-28T00:00:00" maxDate="2024-03-02T00:00:00"/>
    </cacheField>
    <cacheField name="Secondary response date" numFmtId="14">
      <sharedItems containsSemiMixedTypes="0" containsNonDate="0" containsDate="1" containsString="0" minDate="2021-10-28T00:00:00" maxDate="2024-06-02T00:00:00" count="18">
        <d v="2022-06-29T00:00:00"/>
        <d v="2022-08-22T00:00:00"/>
        <d v="2022-08-29T00:00:00"/>
        <d v="2021-10-28T00:00:00"/>
        <d v="2023-12-05T00:00:00"/>
        <d v="2024-05-20T00:00:00"/>
        <d v="2023-11-22T00:00:00"/>
        <d v="2024-04-17T00:00:00"/>
        <d v="2024-02-15T00:00:00"/>
        <d v="2024-02-13T00:00:00"/>
        <d v="2024-02-17T00:00:00"/>
        <d v="2024-02-16T00:00:00"/>
        <d v="2024-04-30T00:00:00"/>
        <d v="2024-04-09T00:00:00"/>
        <d v="2024-04-22T00:00:00"/>
        <d v="2024-06-01T00:00:00"/>
        <d v="2024-02-09T00:00:00"/>
        <d v="2024-03-14T00:00:00"/>
      </sharedItems>
      <fieldGroup par="44"/>
    </cacheField>
    <cacheField name="ICC reception date" numFmtId="14">
      <sharedItems containsSemiMixedTypes="0" containsNonDate="0" containsDate="1" containsString="0" minDate="2023-07-28T00:00:00" maxDate="2025-02-01T00:00:00"/>
    </cacheField>
    <cacheField name="Interconnection fee" numFmtId="0">
      <sharedItems containsMixedTypes="1" containsNumber="1" minValue="615700" maxValue="6400000"/>
    </cacheField>
    <cacheField name="Utility construction period (months)" numFmtId="0">
      <sharedItems containsMixedTypes="1" containsNumber="1" containsInteger="1" minValue="4" maxValue="6"/>
    </cacheField>
    <cacheField name="Utility Company Area" numFmtId="0">
      <sharedItems/>
    </cacheField>
    <cacheField name="LOI_x000a_contract" numFmtId="0">
      <sharedItems/>
    </cacheField>
    <cacheField name="Source" numFmtId="0">
      <sharedItems/>
    </cacheField>
    <cacheField name="Land Contract" numFmtId="0">
      <sharedItems/>
    </cacheField>
    <cacheField name="Land Price(JPY)" numFmtId="38">
      <sharedItems containsSemiMixedTypes="0" containsString="0" containsNumber="1" containsInteger="1" minValue="0" maxValue="325346700"/>
    </cacheField>
    <cacheField name="Land Price/Tsubo" numFmtId="38">
      <sharedItems containsSemiMixedTypes="0" containsString="0" containsNumber="1" minValue="0" maxValue="7206"/>
    </cacheField>
    <cacheField name="Lease Price(JPY)/Year" numFmtId="38">
      <sharedItems containsSemiMixedTypes="0" containsString="0" containsNumber="1" containsInteger="1" minValue="0" maxValue="160000"/>
    </cacheField>
    <cacheField name="Lease Price/Tsubo /Year" numFmtId="38">
      <sharedItems containsSemiMixedTypes="0" containsString="0" containsNumber="1" minValue="0" maxValue="42.531971366524573"/>
    </cacheField>
    <cacheField name="Catg" numFmtId="0">
      <sharedItems/>
    </cacheField>
    <cacheField name="Land Area(㎡)" numFmtId="38">
      <sharedItems containsSemiMixedTypes="0" containsString="0" containsNumber="1" minValue="3839" maxValue="430516"/>
    </cacheField>
    <cacheField name="FIP" numFmtId="0">
      <sharedItems/>
    </cacheField>
    <cacheField name="National Land Use Planning Act" numFmtId="0">
      <sharedItems/>
    </cacheField>
    <cacheField name="Noshin" numFmtId="0">
      <sharedItems/>
    </cacheField>
    <cacheField name="Noten" numFmtId="0">
      <sharedItems/>
    </cacheField>
    <cacheField name="Cultural Property" numFmtId="0">
      <sharedItems/>
    </cacheField>
    <cacheField name="Forestland Development" numFmtId="0">
      <sharedItems/>
    </cacheField>
    <cacheField name="Monday.com" numFmtId="0">
      <sharedItems/>
    </cacheField>
    <cacheField name="Last updated on" numFmtId="14">
      <sharedItems containsSemiMixedTypes="0" containsNonDate="0" containsDate="1" containsString="0" minDate="2023-01-30T00:00:00" maxDate="2023-01-31T00:00:00"/>
    </cacheField>
    <cacheField name="Plant type" numFmtId="0">
      <sharedItems/>
    </cacheField>
    <cacheField name="Comments" numFmtId="0">
      <sharedItems/>
    </cacheField>
    <cacheField name="ex project ower" numFmtId="0">
      <sharedItems containsBlank="1"/>
    </cacheField>
    <cacheField name="Project owner" numFmtId="0">
      <sharedItems/>
    </cacheField>
    <cacheField name="Months (RTB_x000a_Date)" numFmtId="0" databaseField="0">
      <fieldGroup base="8">
        <rangePr groupBy="months" startDate="2023-08-31T00:00:00" endDate="2025-02-01T00:00:00"/>
        <groupItems count="14">
          <s v="&lt;8/31/2023"/>
          <s v="1月"/>
          <s v="2月"/>
          <s v="3月"/>
          <s v="4月"/>
          <s v="5月"/>
          <s v="6月"/>
          <s v="7月"/>
          <s v="8月"/>
          <s v="9月"/>
          <s v="10月"/>
          <s v="11月"/>
          <s v="12月"/>
          <s v="&gt;2/1/2025"/>
        </groupItems>
      </fieldGroup>
    </cacheField>
    <cacheField name="Quarters (RTB_x000a_Date)" numFmtId="0" databaseField="0">
      <fieldGroup base="8">
        <rangePr groupBy="quarters" startDate="2023-08-31T00:00:00" endDate="2025-02-01T00:00:00"/>
        <groupItems count="6">
          <s v="&lt;8/31/2023"/>
          <s v="第1四半期"/>
          <s v="第2四半期"/>
          <s v="第3四半期"/>
          <s v="第4四半期"/>
          <s v="&gt;2/1/2025"/>
        </groupItems>
      </fieldGroup>
    </cacheField>
    <cacheField name="Years (RTB_x000a_Date)" numFmtId="0" databaseField="0">
      <fieldGroup base="8">
        <rangePr groupBy="years" startDate="2023-08-31T00:00:00" endDate="2025-02-01T00:00:00"/>
        <groupItems count="5">
          <s v="&lt;8/31/2023"/>
          <s v="2023年"/>
          <s v="2024年"/>
          <s v="2025年"/>
          <s v="&gt;2/1/2025"/>
        </groupItems>
      </fieldGroup>
    </cacheField>
    <cacheField name="Months (Secondary response date)" numFmtId="0" databaseField="0">
      <fieldGroup base="13">
        <rangePr groupBy="months" startDate="2021-10-28T00:00:00" endDate="2024-06-02T00:00:00"/>
        <groupItems count="14">
          <s v="&lt;10/28/2021"/>
          <s v="1月"/>
          <s v="2月"/>
          <s v="3月"/>
          <s v="4月"/>
          <s v="5月"/>
          <s v="6月"/>
          <s v="7月"/>
          <s v="8月"/>
          <s v="9月"/>
          <s v="10月"/>
          <s v="11月"/>
          <s v="12月"/>
          <s v="&gt;6/2/2024"/>
        </groupItems>
      </fieldGroup>
    </cacheField>
    <cacheField name="Quarters (Secondary response date)" numFmtId="0" databaseField="0">
      <fieldGroup base="13">
        <rangePr groupBy="quarters" startDate="2021-10-28T00:00:00" endDate="2024-06-02T00:00:00"/>
        <groupItems count="6">
          <s v="&lt;10/28/2021"/>
          <s v="第1四半期"/>
          <s v="第2四半期"/>
          <s v="第3四半期"/>
          <s v="第4四半期"/>
          <s v="&gt;6/2/2024"/>
        </groupItems>
      </fieldGroup>
    </cacheField>
    <cacheField name="Years (Secondary response date)" numFmtId="0" databaseField="0">
      <fieldGroup base="13">
        <rangePr groupBy="years" startDate="2021-10-28T00:00:00" endDate="2024-06-02T00:00:00"/>
        <groupItems count="6">
          <s v="&lt;10/28/2021"/>
          <s v="2021年"/>
          <s v="2022年"/>
          <s v="2023年"/>
          <s v="2024年"/>
          <s v="&gt;6/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Emanuel"/>
    <s v="Niigata Kashiwazaki Kenno 1013-2"/>
    <s v="新潟県柏崎市大字釼野1013-2"/>
    <s v="37.34574114786531, 138.54711813071174"/>
    <x v="0"/>
    <x v="0"/>
    <n v="437.5"/>
    <x v="0"/>
    <d v="2024-09-01T00:00:00"/>
    <s v="6.IC contract received"/>
    <s v="-"/>
    <d v="2022-04-01T00:00:00"/>
    <x v="0"/>
    <d v="2023-11-30T00:00:00"/>
    <n v="3412473.6842105198"/>
    <n v="6"/>
    <s v="Tohoku"/>
    <s v="Unnecessary"/>
    <s v="Real estate"/>
    <s v="Signed"/>
    <n v="3752000"/>
    <n v="1800.2577154244625"/>
    <n v="0"/>
    <n v="0"/>
    <s v="Farmland"/>
    <n v="6889.77"/>
    <s v="Applied"/>
    <s v="Necessary"/>
    <s v="Unaplicable area"/>
    <s v="Allow"/>
    <s v="YES"/>
    <s v="Unnecessary"/>
    <s v="YES"/>
    <d v="2023-01-30T00:00:00"/>
    <s v="PV"/>
    <s v="RTB, FIP tender applied"/>
    <s v="UNIVERGY K.K."/>
    <s v="Greenvolt Solar Japan"/>
  </r>
  <r>
    <x v="1"/>
    <s v="Emanuel"/>
    <s v="Akita Odate Iwase 37-1"/>
    <s v="秋田県大館市岩瀬字赤沼37-1"/>
    <s v="40.271529591799855, 140.45310568585768"/>
    <x v="0"/>
    <x v="1"/>
    <n v="937.5"/>
    <x v="1"/>
    <d v="2024-09-01T00:00:00"/>
    <s v="6.IC contract received"/>
    <s v="-"/>
    <d v="2022-06-22T00:00:00"/>
    <x v="1"/>
    <d v="2023-07-30T00:00:00"/>
    <n v="868305"/>
    <n v="5"/>
    <s v="Tohoku"/>
    <s v="Unnecessary"/>
    <s v="Real estate"/>
    <s v="Signed"/>
    <n v="12510000"/>
    <n v="3002.4363293161032"/>
    <n v="0"/>
    <n v="0"/>
    <s v="Multiple use"/>
    <n v="13774"/>
    <s v="Scheduled to apply"/>
    <s v="Necessary"/>
    <s v="Unaplicable area"/>
    <s v="N/A"/>
    <s v="NO"/>
    <s v="Unnecessary"/>
    <s v="YES"/>
    <d v="2023-01-30T00:00:00"/>
    <s v="PV"/>
    <s v="RTB, FIP tender applied"/>
    <s v="UNIVERGY K.K."/>
    <s v="Greenvolt Solar Japan"/>
  </r>
  <r>
    <x v="2"/>
    <s v="Emanuel"/>
    <s v="Niigata Niigata Kita 3753"/>
    <s v="新潟県新潟市北区島見町3753"/>
    <s v="37.96749883739434, 139.2029400126791"/>
    <x v="0"/>
    <x v="2"/>
    <n v="750"/>
    <x v="2"/>
    <d v="2024-09-01T00:00:00"/>
    <s v="6.IC contract received"/>
    <s v="-"/>
    <d v="2022-05-15T00:00:00"/>
    <x v="2"/>
    <d v="2023-07-28T00:00:00"/>
    <n v="3589152.63157894"/>
    <n v="6"/>
    <s v="Tohoku"/>
    <s v="Unnecessary"/>
    <s v="Internal"/>
    <s v="Signed"/>
    <n v="6500000"/>
    <n v="1942.1276211135214"/>
    <n v="0"/>
    <n v="0"/>
    <s v="Farmland"/>
    <n v="11064"/>
    <s v="Scheduled to apply"/>
    <s v="Necessary"/>
    <s v="Unaplicable area"/>
    <s v="Section 2orSection 3"/>
    <s v="NO"/>
    <s v="Unnecessary"/>
    <s v="YES"/>
    <d v="2023-01-30T00:00:00"/>
    <s v="PV"/>
    <s v="RTB, FIP tender applied"/>
    <s v="UNIVERGY K.K."/>
    <s v="Greenvolt Solar Japan"/>
  </r>
  <r>
    <x v="3"/>
    <s v="Emanuel"/>
    <s v="Niigata Kamo Nagatani 325"/>
    <s v="新潟県加茂市長谷325"/>
    <s v="37.63486654009447, 139.10266880489775"/>
    <x v="0"/>
    <x v="3"/>
    <n v="250"/>
    <x v="3"/>
    <d v="2024-09-01T00:00:00"/>
    <s v="6.IC contract received"/>
    <s v="-"/>
    <d v="2021-09-28T00:00:00"/>
    <x v="3"/>
    <d v="2023-11-30T00:00:00"/>
    <n v="615700"/>
    <n v="5"/>
    <s v="Tohoku"/>
    <s v="Unnecessary"/>
    <s v="Internal"/>
    <s v="Signed"/>
    <n v="1830000"/>
    <n v="1575.8306850742379"/>
    <n v="0"/>
    <n v="0"/>
    <s v="Farmland"/>
    <n v="3839"/>
    <s v="Applied"/>
    <s v="Necessary"/>
    <s v="Unaplicable area"/>
    <s v="Allow"/>
    <s v="NO"/>
    <s v="Unnecessary"/>
    <s v="YES"/>
    <d v="2023-01-30T00:00:00"/>
    <s v="PV"/>
    <s v="RTB at the end of February 2024"/>
    <s v="UNIVERGY125 G.K."/>
    <s v="Greenvolt Solar Japan"/>
  </r>
  <r>
    <x v="4"/>
    <s v="Emanuel"/>
    <s v="Yamagata Yonezawa Sasano 4700-1"/>
    <s v="山形県米沢市大字南原笹野町4700-1"/>
    <s v="37.87756150052013, 140.1046846503659"/>
    <x v="0"/>
    <x v="4"/>
    <n v="1875"/>
    <x v="4"/>
    <d v="2025-06-01T00:00:00"/>
    <s v="5.Submitted documents for IC contract"/>
    <s v="-"/>
    <d v="2023-08-31T00:00:00"/>
    <x v="4"/>
    <d v="2024-07-05T00:00:00"/>
    <n v="6400000"/>
    <n v="5"/>
    <s v="Tohoku"/>
    <s v="Unnecessary"/>
    <s v="Broker"/>
    <s v="Signed"/>
    <n v="50000000"/>
    <n v="6887.0833333333339"/>
    <n v="0"/>
    <n v="0"/>
    <s v="Farmland"/>
    <n v="24000"/>
    <s v="Scheduled to apply"/>
    <s v="Necessary"/>
    <s v="Unaplicable area"/>
    <s v="Allow"/>
    <s v="NO"/>
    <s v="Unnecessary"/>
    <s v="YES"/>
    <d v="2023-01-30T00:00:00"/>
    <s v="PV"/>
    <s v="RTB July 2024, obtaining permits"/>
    <s v="Greenvolt Solar Japan"/>
    <s v="Greenvolt Solar Japan"/>
  </r>
  <r>
    <x v="5"/>
    <s v="Hayashi"/>
    <s v="Ibaraki Omitama Hakari 259-5"/>
    <s v="茨城県小美玉市羽刈259-5"/>
    <s v="36.25720437703913, 140.30791023078254"/>
    <x v="1"/>
    <x v="5"/>
    <n v="374.78399999999999"/>
    <x v="5"/>
    <d v="2025-07-31T00:00:00"/>
    <s v="7.TBD"/>
    <s v="-"/>
    <d v="2024-01-20T00:00:00"/>
    <x v="5"/>
    <d v="2024-12-20T00:00:00"/>
    <s v="TBC"/>
    <s v="TBC"/>
    <s v="Tokyo"/>
    <s v="Unnecessary"/>
    <s v="Real estate"/>
    <s v="Scheduled to send"/>
    <n v="10000000"/>
    <n v="7206"/>
    <n v="0"/>
    <n v="0"/>
    <s v="Forest"/>
    <n v="5856"/>
    <s v="Scheduled to apply"/>
    <s v="Necessary"/>
    <s v="Unaplicable area"/>
    <s v="Allow"/>
    <s v="NO"/>
    <s v="Felling notification"/>
    <s v="NO"/>
    <d v="2023-01-30T00:00:00"/>
    <s v="PV"/>
    <s v="Inheritance issues ahead. Expected to receive answer on March 2024. "/>
    <s v="UNIVERGY K.K."/>
    <s v="Greenvolt Solar Japan"/>
  </r>
  <r>
    <x v="6"/>
    <s v="Nakamura"/>
    <s v="Hokkaido Shiranuka Shoromiyashita 1-5-15"/>
    <s v="北海道白糠郡白糠町庶路宮下1-5-15"/>
    <s v="42.98480426161354, 144.1456487463215"/>
    <x v="0"/>
    <x v="6"/>
    <n v="1951.6"/>
    <x v="6"/>
    <d v="2025-04-30T00:00:00"/>
    <s v="4.Secondary answer Received"/>
    <s v="-"/>
    <d v="2023-07-14T00:00:00"/>
    <x v="6"/>
    <d v="2024-09-22T00:00:00"/>
    <n v="3400000"/>
    <n v="4"/>
    <s v="Hokkaido"/>
    <s v="Unnecessary"/>
    <s v="Real estate"/>
    <s v="Signed"/>
    <n v="41500000"/>
    <n v="4571.916666666667"/>
    <n v="0"/>
    <n v="0"/>
    <s v="Multiple use"/>
    <n v="30000"/>
    <s v="Scheduled to apply"/>
    <s v="Necessary"/>
    <s v="Unaplicable area"/>
    <s v="N/A"/>
    <s v="NO"/>
    <s v="Unnecessary"/>
    <s v="YES"/>
    <d v="2023-01-30T00:00:00"/>
    <s v="PV"/>
    <s v="洪水ハザード入り～3m未満 Esta en la zona de preligro de la inundacion(menos de 3 metros de altura)"/>
    <s v="UNIVERGY K.K."/>
    <s v="Greenvolt Solar Japan"/>
  </r>
  <r>
    <x v="7"/>
    <s v="Hayashi"/>
    <s v="Hokkaido Ishikari Tohbetsu 1061-2"/>
    <s v="北海道石狩郡当別町獅子内1061-2"/>
    <s v="43.20619024663197, 141.4417392122934"/>
    <x v="2"/>
    <x v="7"/>
    <n v="875"/>
    <x v="7"/>
    <d v="2025-07-01T00:00:00"/>
    <s v="3.Submitted documents for Secondary"/>
    <d v="2023-08-10T00:00:00"/>
    <d v="2024-01-17T00:00:00"/>
    <x v="7"/>
    <d v="2024-11-17T00:00:00"/>
    <s v="TBC"/>
    <s v="TBC"/>
    <s v="Hokkaido"/>
    <s v="Unnecessary"/>
    <s v="Real estate"/>
    <s v="Working on it"/>
    <n v="20000000"/>
    <n v="5164.0625"/>
    <n v="0"/>
    <n v="0"/>
    <s v="Forest"/>
    <n v="12800"/>
    <s v="Scheduled to apply"/>
    <s v="Necessary"/>
    <s v="Unaplicable area"/>
    <s v="N/A"/>
    <s v="YES"/>
    <s v="Felling notification"/>
    <s v="YES"/>
    <d v="2023-01-30T00:00:00"/>
    <s v="PV"/>
    <s v="Special private forest application. Must deal with Tobetsu town special acts"/>
    <m/>
    <s v="Greenvolt Solar Japan"/>
  </r>
  <r>
    <x v="8"/>
    <s v="Hayashi"/>
    <s v="Miyagi Sendai Kakizakishita 48-1"/>
    <s v="宮城県仙台市青葉区芋沢字柿崎下48-1"/>
    <s v="38.27795725459037, 140.72179974486687"/>
    <x v="2"/>
    <x v="8"/>
    <n v="812.5"/>
    <x v="8"/>
    <d v="2025-03-01T00:00:00"/>
    <s v="3.Submitted documents for Secondary"/>
    <d v="2022-10-07T00:00:00"/>
    <d v="2023-11-15T00:00:00"/>
    <x v="8"/>
    <d v="2024-09-20T00:00:00"/>
    <s v="TBC"/>
    <s v="TBC"/>
    <s v="Tohoku"/>
    <s v="Unnecessary"/>
    <s v="Real estate"/>
    <s v="Working on it"/>
    <n v="9000000"/>
    <n v="2917.454402824083"/>
    <n v="0"/>
    <n v="0"/>
    <s v="Farmland"/>
    <n v="10198"/>
    <s v="Scheduled to apply"/>
    <s v="Necessary"/>
    <s v="Unaplicable area"/>
    <s v="Allow"/>
    <s v="NO"/>
    <s v="Unnecessary"/>
    <s v="YES"/>
    <d v="2023-01-30T00:00:00"/>
    <s v="PV"/>
    <s v="Multiple landowners on the middle road, some unidentifiable. Check with law dept, secondary application neseccary actions"/>
    <s v="UNIVERGY K.K."/>
    <s v="Greenvolt Solar Japan"/>
  </r>
  <r>
    <x v="9"/>
    <s v="Imanari"/>
    <s v="Yamagata Takahata Izumioka 907"/>
    <s v="山形県東置賜郡高畠町大字泉岡907"/>
    <s v="37.99373789051142, 140.1870241104445"/>
    <x v="2"/>
    <x v="9"/>
    <n v="312.5"/>
    <x v="6"/>
    <d v="2025-11-30T00:00:00"/>
    <s v="3.Submitted documents for Secondary"/>
    <s v="-"/>
    <d v="2023-11-27T00:00:00"/>
    <x v="9"/>
    <d v="2024-09-13T00:00:00"/>
    <s v="TBC"/>
    <s v="TBC"/>
    <s v="Tohoku"/>
    <s v="Submitted"/>
    <s v="Internal"/>
    <s v="Working on it"/>
    <n v="0"/>
    <n v="0"/>
    <n v="160000"/>
    <n v="42.531971366524573"/>
    <s v="Farmland"/>
    <n v="12433"/>
    <s v="Scheduled to apply"/>
    <s v="Unnecessary"/>
    <s v="Unaplicable area"/>
    <s v="Allow"/>
    <s v="NO"/>
    <s v="Unnecessary"/>
    <s v="YES"/>
    <d v="2023-01-30T00:00:00"/>
    <s v="Solar Sharing"/>
    <s v="Solarsharing , agricultural land convertion, panel and structure maker decided and quotation ready"/>
    <s v="N/A"/>
    <s v="Greenvolt Solar Japan"/>
  </r>
  <r>
    <x v="10"/>
    <s v="Saki"/>
    <s v="Hokkaido Naie Chashinai 934-16"/>
    <s v="北海道空知郡奈井江町字茶志内934-16"/>
    <s v="43.40079779519823, 141.8725794159912"/>
    <x v="0"/>
    <x v="2"/>
    <n v="750"/>
    <x v="6"/>
    <d v="2025-05-31T00:00:00"/>
    <s v="3.Submitted documents for Secondary"/>
    <s v="-"/>
    <d v="2023-11-17T00:00:00"/>
    <x v="10"/>
    <d v="2024-11-17T00:00:00"/>
    <s v="TBC"/>
    <s v="TBC"/>
    <s v="Hokkaido"/>
    <s v="Unnecessary"/>
    <s v="Industrial park"/>
    <s v="Working on it"/>
    <n v="9327000"/>
    <n v="2941.6676209561983"/>
    <n v="0"/>
    <n v="0"/>
    <s v="Multiple use"/>
    <n v="10479"/>
    <s v="Scheduled to apply"/>
    <s v="Necessary"/>
    <s v="Unaplicable area"/>
    <s v="N/A"/>
    <s v="NO"/>
    <s v="Unnecessary"/>
    <s v="YES"/>
    <d v="2023-01-30T00:00:00"/>
    <s v="PV"/>
    <s v="Falta conferencia de la municipalidad de marzo 2024. 空知工業団地。小西現地確認済。ほぼ平坦。電柱まで数m。"/>
    <s v="N/A"/>
    <s v="Greenvolt Solar Japan"/>
  </r>
  <r>
    <x v="11"/>
    <s v="Konishi"/>
    <s v="Hokkaido Ashibetsu Kamiashibetsu 94-68"/>
    <s v="北海道芦別市上芦別町94-68"/>
    <s v="43.493135710814016, 142.20109578476294"/>
    <x v="0"/>
    <x v="10"/>
    <n v="750"/>
    <x v="9"/>
    <d v="2025-05-31T00:00:00"/>
    <s v="3.Submitted documents for Secondary"/>
    <s v="-"/>
    <d v="2023-11-15T00:00:00"/>
    <x v="8"/>
    <d v="2024-09-30T00:00:00"/>
    <s v="TBC"/>
    <s v="TBC"/>
    <s v="Hokkaido"/>
    <s v="Unnecessary"/>
    <s v="Real estate"/>
    <s v="Working on it"/>
    <n v="15000000"/>
    <n v="4523.6791678072823"/>
    <n v="0"/>
    <n v="0"/>
    <s v="Field"/>
    <n v="10959"/>
    <s v="Scheduled to apply"/>
    <s v="Necessary"/>
    <s v="Unaplicable area"/>
    <s v="N/A"/>
    <s v="NO"/>
    <s v="Unnecessary"/>
    <s v="YES"/>
    <d v="2023-01-30T00:00:00"/>
    <s v="PV"/>
    <s v="Encuesta de campo completada.小西現地確認済。ほぼ平坦。東側に水路あり。仲介ではなく売主。本土地北側に隣接する1ha程度も同じ地権者の土地で購入可能も、工場や家屋の跡があり、買主負担で撤去のため、見送る。"/>
    <s v="N/A"/>
    <s v="Greenvolt Solar Japan"/>
  </r>
  <r>
    <x v="12"/>
    <s v="Konishi"/>
    <s v="Hokkaido Ashibetsu Nokanan 1445-3"/>
    <s v="北海道芦別市野花南町1445-3"/>
    <s v="43.47364833245011, 142.2637754986411"/>
    <x v="0"/>
    <x v="11"/>
    <n v="625"/>
    <x v="9"/>
    <d v="2025-05-31T00:00:00"/>
    <s v="3.Submitted documents for Secondary"/>
    <s v="-"/>
    <d v="2023-11-17T00:00:00"/>
    <x v="11"/>
    <d v="2024-09-30T00:00:00"/>
    <s v="TBC"/>
    <s v="TBC"/>
    <s v="Hokkaido"/>
    <s v="Submitted"/>
    <s v="Real estate"/>
    <s v="Working on it"/>
    <n v="3500000"/>
    <n v="1330.8214450069031"/>
    <n v="0"/>
    <n v="0"/>
    <s v="Field"/>
    <n v="8692"/>
    <s v="Scheduled to apply"/>
    <s v="Necessary"/>
    <s v="Unaplicable area"/>
    <s v="N/A"/>
    <s v="NO"/>
    <s v="Unnecessary"/>
    <s v="YES"/>
    <d v="2023-01-30T00:00:00"/>
    <s v="PV"/>
    <s v="Encuesta de campo completada.Adyacente a la vía del ferrocarril小西現地確認済。鉄道に接している。駅職員の官舎があった場所とのこと。電柱まで5m程度。一部を地権者が近隣住民に貸しており、畑になっている。その近隣住民の話では、「春に種をまく前にやめろと言われれば栽培をやめる」とのこと。"/>
    <s v="N/A"/>
    <s v="Greenvolt Solar Japan"/>
  </r>
  <r>
    <x v="13"/>
    <s v="Saki"/>
    <s v="Hokkaido Bibai Nishishizyouminami 1293-1"/>
    <s v="北海道美唄市西四条南五丁目 1293ー1"/>
    <s v="43.32781048263952, 141.84830556811562"/>
    <x v="2"/>
    <x v="12"/>
    <n v="500"/>
    <x v="7"/>
    <d v="2025-10-31T00:00:00"/>
    <s v="3.Submitted documents for Secondary"/>
    <s v="-"/>
    <d v="2024-01-30T00:00:00"/>
    <x v="12"/>
    <d v="2024-11-30T00:00:00"/>
    <s v="TBC"/>
    <s v="TBC"/>
    <s v="Hokkaido"/>
    <s v="Submitted"/>
    <s v="Real estate"/>
    <s v="Working on it"/>
    <n v="5500000"/>
    <n v="2084.5756880733948"/>
    <n v="0"/>
    <n v="0"/>
    <s v="Multiple use"/>
    <n v="8720"/>
    <s v="Scheduled to apply"/>
    <s v="Necessary"/>
    <s v="Unaplicable area"/>
    <s v="N/A"/>
    <s v="NO"/>
    <s v="Unnecessary"/>
    <s v="YES"/>
    <d v="2023-01-30T00:00:00"/>
    <s v="PV"/>
    <s v="Contrato de terreno a firmar antes del fin de Febrero 2024, solamente permiso de paisaje"/>
    <s v="N/A"/>
    <s v="Greenvolt Solar Japan"/>
  </r>
  <r>
    <x v="14"/>
    <s v="Nakamura"/>
    <s v="Akita Daisen Kitanome308-1"/>
    <s v="秋田県大仙市北野目字白山堂下308-1"/>
    <s v="39.540769523647306, 140.3559771435288"/>
    <x v="0"/>
    <x v="7"/>
    <n v="875"/>
    <x v="7"/>
    <d v="2025-04-30T00:00:00"/>
    <s v="3.Submitted documents for Secondary"/>
    <d v="2023-12-25T00:00:00"/>
    <d v="2024-01-09T00:00:00"/>
    <x v="13"/>
    <d v="2024-11-09T00:00:00"/>
    <s v="TBC"/>
    <s v="TBC"/>
    <s v="Tohoku"/>
    <s v="Unnecessary"/>
    <s v="Industrial park"/>
    <s v="Working on it"/>
    <n v="11148000"/>
    <n v="3520.7013855709515"/>
    <n v="0"/>
    <n v="0"/>
    <s v="Multiple use"/>
    <n v="10465"/>
    <s v="Scheduled to apply"/>
    <s v="Necessary"/>
    <s v="Unaplicable area"/>
    <s v="N/A"/>
    <s v="NO"/>
    <s v="Unnecessary"/>
    <s v="YES"/>
    <d v="2023-01-30T00:00:00"/>
    <s v="PV"/>
    <s v="Solamente 2 permisos, terreno en parque industrial, pendiente de visita"/>
    <s v="N/A"/>
    <s v="Greenvolt Solar Japan"/>
  </r>
  <r>
    <x v="15"/>
    <s v="Saki"/>
    <s v="Hokkaido Oshamambe Hanaoka 50-2"/>
    <s v="北海道山越郡長万部町字花岡50-2"/>
    <s v="42.46527482312902, 140.3401903214399"/>
    <x v="2"/>
    <x v="13"/>
    <n v="1000"/>
    <x v="7"/>
    <d v="2025-10-31T00:00:00"/>
    <s v="3.Submitted documents for Secondary"/>
    <d v="2023-12-01T00:00:00"/>
    <d v="2024-01-30T00:00:00"/>
    <x v="12"/>
    <d v="2024-11-30T00:00:00"/>
    <s v="TBC"/>
    <s v="TBC"/>
    <s v="Hokkaido"/>
    <s v="Submitted"/>
    <s v="Real estate"/>
    <s v="Working on it"/>
    <n v="13000000"/>
    <n v="2878.7269681742046"/>
    <n v="0"/>
    <n v="0"/>
    <s v="Field"/>
    <n v="14925"/>
    <s v="Scheduled to apply"/>
    <s v="Necessary"/>
    <s v="Applicable area"/>
    <s v="N/A"/>
    <s v="YES"/>
    <s v="Unnecessary"/>
    <s v="YES"/>
    <d v="2023-01-30T00:00:00"/>
    <s v="PV"/>
    <s v="Esperando respuesta de restos culturales 農振除外のための手続きが必要。（地目原野のため農転は不要）"/>
    <s v="N/A"/>
    <s v="Greenvolt Solar Japan"/>
  </r>
  <r>
    <x v="16"/>
    <s v="Konishi"/>
    <s v="Hokkaido Sorachi Naie ② 1205-1  "/>
    <s v="北海道空知郡奈井江町字奈井江 ② 1205-1"/>
    <s v="43.44168705106864, 141.91876556666358"/>
    <x v="0"/>
    <x v="14"/>
    <n v="1750"/>
    <x v="10"/>
    <d v="2025-07-31T00:00:00"/>
    <s v="3.Submitted documents for Secondary"/>
    <s v="-"/>
    <d v="2024-01-22T00:00:00"/>
    <x v="14"/>
    <d v="2024-11-30T00:00:00"/>
    <s v="TBC"/>
    <s v="TBC"/>
    <s v="Hokkaido"/>
    <s v="Unnecessary"/>
    <s v="Broker"/>
    <s v="Working on it"/>
    <n v="28500000"/>
    <n v="3488.6111111111118"/>
    <n v="0"/>
    <n v="0"/>
    <s v="Multiple use"/>
    <n v="27000"/>
    <s v="Scheduled to apply"/>
    <s v="Necessary"/>
    <s v="Unaplicable area"/>
    <s v="N/A"/>
    <s v="NO"/>
    <s v="Unnecessary"/>
    <s v="YES"/>
    <d v="2023-01-30T00:00:00"/>
    <s v="PV"/>
    <s v="Encuesta de campo completada.Tala terminado.小西現調済。伐採済。農振除外必要。"/>
    <s v="N/A"/>
    <s v="Greenvolt Solar Japan"/>
  </r>
  <r>
    <x v="17"/>
    <s v="Nakamura"/>
    <s v="Hokkaido Shiranuka Shoro 2-2-10"/>
    <s v="北海道白糠郡白糠町庶路２丁目2-10"/>
    <s v="42.98156964380912, 144.14331198505312"/>
    <x v="0"/>
    <x v="15"/>
    <n v="375"/>
    <x v="11"/>
    <d v="2025-07-31T00:00:00"/>
    <s v="7.TBD"/>
    <s v="-"/>
    <d v="2024-03-01T00:00:00"/>
    <x v="15"/>
    <d v="2024-12-28T00:00:00"/>
    <s v="TBC"/>
    <s v="TBC"/>
    <s v="Hokkaido"/>
    <s v="Submitted"/>
    <s v="Real estate"/>
    <s v="Working on it"/>
    <n v="10000000"/>
    <n v="5807.415217009313"/>
    <n v="0"/>
    <n v="0"/>
    <s v="Field"/>
    <n v="5691"/>
    <s v="Scheduled to apply"/>
    <s v="Necessary"/>
    <s v="Unaplicable area"/>
    <s v="N/A"/>
    <s v="NO"/>
    <s v="Unnecessary"/>
    <s v="YES"/>
    <d v="2023-01-30T00:00:00"/>
    <s v="PV"/>
    <s v="洪水ハザード入り～3m未満 Esta en la zona de preligro de la inundacion(menos de 3 metros de altura)/Fecha original de aplicación a la secondary abril de 2023, se tiene q reaplicar "/>
    <s v="UNIVERGY K.K."/>
    <s v="Greenvolt Solar Japan"/>
  </r>
  <r>
    <x v="18"/>
    <s v="Saki"/>
    <s v="Hokkaido Yakumo Nodaoi 72-1"/>
    <s v="北海道二海郡八雲町野田生72-1"/>
    <s v="42.222755538977914, 140.37534377923774"/>
    <x v="0"/>
    <x v="16"/>
    <n v="875"/>
    <x v="12"/>
    <d v="2025-10-31T00:00:00"/>
    <s v="3.Submitted documents for Secondary"/>
    <s v="-"/>
    <d v="2023-11-09T00:00:00"/>
    <x v="16"/>
    <d v="2025-01-31T00:00:00"/>
    <s v="TBC"/>
    <s v="TBC"/>
    <s v="Hokkaido"/>
    <s v="Unnecessary"/>
    <s v="Industrial park"/>
    <s v="Working on it"/>
    <n v="14902000"/>
    <n v="3305"/>
    <n v="0"/>
    <n v="0"/>
    <s v="Residential land"/>
    <n v="14902"/>
    <s v="Scheduled to apply"/>
    <s v="Necessary"/>
    <s v="Unaplicable area"/>
    <s v="N/A"/>
    <s v="NO"/>
    <s v="Unnecessary"/>
    <s v="YES"/>
    <d v="2023-01-30T00:00:00"/>
    <s v="PV"/>
    <s v="Cambio significativo en el layout, se tiene que reaplicar a secondary (dependiendo de la opinión de la eléctrica) Falta conferencia de la municiparidad de Junio 2024."/>
    <s v="N/A"/>
    <s v="Greenvolt Solar Japan"/>
  </r>
  <r>
    <x v="19"/>
    <s v="Konishi"/>
    <s v="Hokkaido Mukawa Ninomiya 435-14"/>
    <s v="北海道勇払郡むかわ町二宮435-14"/>
    <s v="42.63620271448483, 141.9576985105426"/>
    <x v="0"/>
    <x v="17"/>
    <n v="19500"/>
    <x v="9"/>
    <d v="2026-10-31T00:00:00"/>
    <s v="3.Submitted documents for Secondary"/>
    <d v="2023-08-22T00:00:00"/>
    <d v="2023-12-15T00:00:00"/>
    <x v="17"/>
    <d v="2024-10-31T00:00:00"/>
    <s v="TBC"/>
    <s v="TBC"/>
    <s v="Hokkaido"/>
    <s v="Unnecessary"/>
    <s v="Broker"/>
    <s v="Signed"/>
    <n v="325346700"/>
    <n v="2497.6327093534269"/>
    <n v="0"/>
    <n v="0"/>
    <s v="Farmland"/>
    <n v="430516"/>
    <s v="Scheduled to apply"/>
    <s v="Necessary"/>
    <s v="Applicable area"/>
    <s v="Section 3"/>
    <s v="NO"/>
    <s v="Unnecessary"/>
    <s v="YES"/>
    <d v="2023-01-30T00:00:00"/>
    <s v="PV"/>
    <s v="Encuesta de campo completada.小西現地確認済。"/>
    <s v="UNIVERGY K.K."/>
    <s v="Greenvolt Solar Jap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E92BB-04BB-4646-8394-98CA52745E8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45">
    <pivotField axis="axisPage" multipleItemSelectionAllowed="1" showAll="0">
      <items count="21">
        <item x="3"/>
        <item x="0"/>
        <item x="2"/>
        <item x="1"/>
        <item x="11"/>
        <item x="5"/>
        <item h="1" x="4"/>
        <item h="1" x="8"/>
        <item x="17"/>
        <item h="1" x="19"/>
        <item x="6"/>
        <item h="1" x="9"/>
        <item x="7"/>
        <item x="13"/>
        <item x="12"/>
        <item x="10"/>
        <item x="18"/>
        <item x="16"/>
        <item x="15"/>
        <item x="14"/>
        <item t="default"/>
      </items>
    </pivotField>
    <pivotField showAll="0"/>
    <pivotField showAll="0"/>
    <pivotField showAll="0"/>
    <pivotField showAll="0"/>
    <pivotField showAll="0">
      <items count="4">
        <item sd="0" x="0"/>
        <item sd="0" x="2"/>
        <item sd="0" x="1"/>
        <item t="default"/>
      </items>
    </pivotField>
    <pivotField dataField="1" showAll="0">
      <items count="19">
        <item x="3"/>
        <item x="9"/>
        <item x="15"/>
        <item x="5"/>
        <item x="0"/>
        <item x="12"/>
        <item x="11"/>
        <item x="10"/>
        <item x="8"/>
        <item x="2"/>
        <item x="7"/>
        <item x="16"/>
        <item x="13"/>
        <item x="1"/>
        <item x="14"/>
        <item x="4"/>
        <item x="6"/>
        <item x="17"/>
        <item t="default"/>
      </items>
    </pivotField>
    <pivotField showAll="0"/>
    <pivotField axis="axisPage" numFmtId="14" multipleItemSelectionAllowed="1" showAll="0">
      <items count="14">
        <item h="1" x="0"/>
        <item h="1" x="1"/>
        <item h="1" x="2"/>
        <item x="3"/>
        <item x="4"/>
        <item x="8"/>
        <item x="6"/>
        <item x="9"/>
        <item x="7"/>
        <item x="10"/>
        <item x="11"/>
        <item x="5"/>
        <item h="1" x="12"/>
        <item t="default"/>
      </items>
    </pivotField>
    <pivotField numFmtId="14" showAll="0"/>
    <pivotField showAll="0"/>
    <pivotField showAll="0"/>
    <pivotField numFmtId="14" showAll="0"/>
    <pivotField numFmtId="14" showAll="0">
      <items count="19">
        <item x="3"/>
        <item x="0"/>
        <item x="1"/>
        <item x="2"/>
        <item x="6"/>
        <item x="4"/>
        <item x="16"/>
        <item x="9"/>
        <item x="8"/>
        <item x="11"/>
        <item x="10"/>
        <item x="17"/>
        <item x="13"/>
        <item x="7"/>
        <item x="14"/>
        <item x="12"/>
        <item x="5"/>
        <item x="15"/>
        <item t="default"/>
      </items>
    </pivotField>
    <pivotField numFmtId="14" showAll="0"/>
    <pivotField showAll="0"/>
    <pivotField showAll="0"/>
    <pivotField showAll="0"/>
    <pivotField showAll="0"/>
    <pivotField showAll="0"/>
    <pivotField showAll="0"/>
    <pivotField numFmtId="38" showAll="0"/>
    <pivotField numFmtId="38" showAll="0"/>
    <pivotField numFmtId="38" showAll="0"/>
    <pivotField numFmtId="38" showAll="0"/>
    <pivotField showAll="0"/>
    <pivotField numFmtId="38"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pageFields count="2">
    <pageField fld="8" hier="-1"/>
    <pageField fld="0" hier="-1"/>
  </pageFields>
  <dataFields count="1">
    <dataField name="Sum of DC" fld="6"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8" dT="2025-07-22T06:26:36.74" personId="{FBFC598E-18EF-441B-BC33-6B8934130A57}" id="{E3E51F13-EE4B-414C-A330-2122D79C1878}">
    <text xml:space="preserve">The remaining available grid connection capacity has decreased, reducing the initial capacity from 406kW to 300kW, which has been reflected in the figures. </text>
  </threadedComment>
</ThreadedComments>
</file>

<file path=xl/threadedComments/threadedComment2.xml><?xml version="1.0" encoding="utf-8"?>
<ThreadedComments xmlns="http://schemas.microsoft.com/office/spreadsheetml/2018/threadedcomments" xmlns:x="http://schemas.openxmlformats.org/spreadsheetml/2006/main">
  <threadedComment ref="C29" dT="2025-12-11T02:15:42.22" personId="{436C6567-3A21-42FB-877A-CB2FEF21A7D6}" id="{D5D72317-6B12-4F1B-AB5F-7E2D328E11A9}">
    <text>동성메탈 임차250612_54,539,100 EBL 250717_54,539,100 지급분 Drop에 따른 Daechon Busan Milestone3에 반영 함</text>
  </threadedComment>
  <threadedComment ref="C49" dT="2025-12-16T08:12:22.88" personId="{436C6567-3A21-42FB-877A-CB2FEF21A7D6}" id="{E601CAE6-2CE0-4A29-A5FC-2B752EF8BFA7}">
    <text>계약서는 228kW로 되어 있음</text>
  </threadedComment>
  <threadedComment ref="C50" dT="2025-12-16T08:12:41.28" personId="{436C6567-3A21-42FB-877A-CB2FEF21A7D6}" id="{BF741819-E4DB-4ED2-A311-D66372E2A677}">
    <text>계약서 금액은 241kW로 되어 있음</text>
  </threadedComment>
</ThreadedComments>
</file>

<file path=xl/threadedComments/threadedComment3.xml><?xml version="1.0" encoding="utf-8"?>
<ThreadedComments xmlns="http://schemas.microsoft.com/office/spreadsheetml/2018/threadedcomments" xmlns:x="http://schemas.openxmlformats.org/spreadsheetml/2006/main">
  <threadedComment ref="D20" dT="2026-01-14T04:32:45.69" personId="{436C6567-3A21-42FB-877A-CB2FEF21A7D6}" id="{22D68466-DE6D-4A15-8687-CFF8354EE053}">
    <text>999.24kW에서 용량 변경</text>
  </threadedComment>
  <threadedComment ref="D34" dT="2026-01-14T05:03:29.33" personId="{436C6567-3A21-42FB-877A-CB2FEF21A7D6}" id="{713F992C-A99F-4EE2-BE90-ABF106AA15FA}">
    <text>최초용량 993.60에서 617.76으로 변경 됨</text>
  </threadedComment>
  <threadedComment ref="D35" dT="2026-01-14T05:03:29.33" personId="{436C6567-3A21-42FB-877A-CB2FEF21A7D6}" id="{65EB3816-7316-4233-A709-7B43759ECEB0}">
    <text>최초용량 993.60에서 564.96으로 변경 됨</text>
  </threadedComment>
  <threadedComment ref="D36" dT="2026-01-14T05:03:29.33" personId="{436C6567-3A21-42FB-877A-CB2FEF21A7D6}" id="{5BF5E9E9-CC8F-4429-8764-C9BE062C568A}">
    <text>최초용량 993.60에서 634.92로 변경 됨</text>
  </threadedComment>
  <threadedComment ref="D37" dT="2026-01-14T05:03:29.33" personId="{436C6567-3A21-42FB-877A-CB2FEF21A7D6}" id="{E09222B3-3E9D-4DBE-9D19-397AC9931690}">
    <text>최초용량 993.60에서 625.68로 변경 됨</text>
  </threadedComment>
</ThreadedComments>
</file>

<file path=xl/threadedComments/threadedComment4.xml><?xml version="1.0" encoding="utf-8"?>
<ThreadedComments xmlns="http://schemas.microsoft.com/office/spreadsheetml/2018/threadedcomments" xmlns:x="http://schemas.openxmlformats.org/spreadsheetml/2006/main">
  <threadedComment ref="AA11" dT="2025-06-20T01:34:00.84" personId="{436C6567-3A21-42FB-877A-CB2FEF21A7D6}" id="{840E2012-8AC0-4490-A84B-A488BCE85646}">
    <text>Jul.2025 RTB</text>
  </threadedComment>
  <threadedComment ref="BJ11" dT="2025-06-20T01:35:24.05" personId="{436C6567-3A21-42FB-877A-CB2FEF21A7D6}" id="{1BE3E82E-D0E7-4D76-81DF-BF0CB2713954}">
    <text>Jan 2026 COD</text>
  </threadedComment>
  <threadedComment ref="AA12" dT="2025-07-23T01:33:59.93" personId="{436C6567-3A21-42FB-877A-CB2FEF21A7D6}" id="{D5BB9D44-89D4-4AB0-8273-C5A6B908377B}">
    <text>SOC</text>
  </threadedComment>
  <threadedComment ref="AA17" dT="2025-06-20T01:34:00.84" personId="{436C6567-3A21-42FB-877A-CB2FEF21A7D6}" id="{0404924D-7568-4393-BC49-0F398DEE15BA}">
    <text>Jul.2025 RTB</text>
  </threadedComment>
  <threadedComment ref="BJ17" dT="2025-06-20T01:35:24.05" personId="{436C6567-3A21-42FB-877A-CB2FEF21A7D6}" id="{FE69F692-56E1-4710-803A-13F6ED7FCA03}">
    <text>Jan 2026 COD</text>
  </threadedComment>
  <threadedComment ref="AA18" dT="2025-07-23T01:33:59.93" personId="{436C6567-3A21-42FB-877A-CB2FEF21A7D6}" id="{20CD1CA4-E215-458C-B8A0-C1FC6A53C9A7}">
    <text>SOC</text>
  </threadedComment>
  <threadedComment ref="AA23" dT="2025-06-20T01:34:00.84" personId="{436C6567-3A21-42FB-877A-CB2FEF21A7D6}" id="{8E702361-4033-4F72-9606-7B19E617E523}">
    <text>Jul.2025 RTB</text>
  </threadedComment>
  <threadedComment ref="BJ23" dT="2025-06-20T01:35:24.05" personId="{436C6567-3A21-42FB-877A-CB2FEF21A7D6}" id="{B6288C64-235A-48B3-9C08-8E54F6748E0F}">
    <text>Jan 2026 COD</text>
  </threadedComment>
  <threadedComment ref="AA24" dT="2025-07-23T01:33:59.93" personId="{436C6567-3A21-42FB-877A-CB2FEF21A7D6}" id="{AA506FB4-326B-4348-AB88-17EC03A8D5C3}">
    <text>SOC</text>
  </threadedComment>
  <threadedComment ref="AA29" dT="2025-06-20T01:34:00.84" personId="{436C6567-3A21-42FB-877A-CB2FEF21A7D6}" id="{8A7F4376-36BF-45C3-B886-AA98639C2A2E}">
    <text>Jul.2025 RTB</text>
  </threadedComment>
  <threadedComment ref="BJ29" dT="2025-06-20T01:35:24.05" personId="{436C6567-3A21-42FB-877A-CB2FEF21A7D6}" id="{04263587-09E0-441D-844C-222EC5F5C1DD}">
    <text>Jan 2026 COD</text>
  </threadedComment>
  <threadedComment ref="AA30" dT="2025-07-23T01:33:59.93" personId="{436C6567-3A21-42FB-877A-CB2FEF21A7D6}" id="{460E75D4-19D3-4899-9647-1637A938BC57}">
    <text>SOC</text>
  </threadedComment>
  <threadedComment ref="AA35" dT="2025-06-20T01:34:31.81" personId="{436C6567-3A21-42FB-877A-CB2FEF21A7D6}" id="{EBF8FF82-E4DF-4AFE-A991-9724ADF5605E}">
    <text>Sep. 2025 RTB</text>
  </threadedComment>
  <threadedComment ref="BJ35" dT="2025-06-20T01:35:54.69" personId="{436C6567-3A21-42FB-877A-CB2FEF21A7D6}" id="{A500A10A-51AE-4C3A-B646-437E9D448353}">
    <text>May. 2026 COD</text>
  </threadedComment>
  <threadedComment ref="AA36" dT="2025-07-23T01:33:59.93" personId="{436C6567-3A21-42FB-877A-CB2FEF21A7D6}" id="{708303E3-71CA-4CFA-BCFA-E14103211F18}">
    <text>SOC</text>
  </threadedComment>
  <threadedComment ref="AA41" dT="2025-06-20T01:34:31.81" personId="{436C6567-3A21-42FB-877A-CB2FEF21A7D6}" id="{FD86685D-09B4-4AF7-95E5-3D04EE47DE89}">
    <text>Sep. 2025 RTB</text>
  </threadedComment>
  <threadedComment ref="BJ41" dT="2025-06-20T01:35:54.69" personId="{436C6567-3A21-42FB-877A-CB2FEF21A7D6}" id="{E960864D-77FC-4CF1-BF9E-DA3FA7F3CCB3}">
    <text>May. 2026 COD</text>
  </threadedComment>
  <threadedComment ref="AA42" dT="2025-07-23T01:33:59.93" personId="{436C6567-3A21-42FB-877A-CB2FEF21A7D6}" id="{8FA2E485-1FC4-42C4-AF02-45B552CF321E}">
    <text>SOC</text>
  </threadedComment>
  <threadedComment ref="AA47" dT="2025-06-20T01:34:31.81" personId="{436C6567-3A21-42FB-877A-CB2FEF21A7D6}" id="{D99F7003-BF15-4073-87F4-BF36B3BFB591}">
    <text>Sep. 2025 RTB</text>
  </threadedComment>
  <threadedComment ref="BJ47" dT="2025-06-20T01:35:54.69" personId="{436C6567-3A21-42FB-877A-CB2FEF21A7D6}" id="{F389C24C-7F07-4203-A25C-D91C3D8D7984}">
    <text>May. 2026 COD</text>
  </threadedComment>
  <threadedComment ref="AA48" dT="2025-07-23T01:33:59.93" personId="{436C6567-3A21-42FB-877A-CB2FEF21A7D6}" id="{B3AEE382-35B2-4FD8-A1A3-09B8F2EA997B}">
    <text>SOC</text>
  </threadedComment>
  <threadedComment ref="AA53" dT="2025-06-20T01:34:31.81" personId="{436C6567-3A21-42FB-877A-CB2FEF21A7D6}" id="{CF2D9571-F345-488E-81BC-43721853AFFF}">
    <text>Sep. 2025 RTB</text>
  </threadedComment>
  <threadedComment ref="BJ53" dT="2025-06-20T01:35:54.69" personId="{436C6567-3A21-42FB-877A-CB2FEF21A7D6}" id="{E5FF4587-92C4-4950-A037-6D9C11BC2DDF}">
    <text>May. 2026 COD</text>
  </threadedComment>
  <threadedComment ref="AA54" dT="2025-07-23T01:33:59.93" personId="{436C6567-3A21-42FB-877A-CB2FEF21A7D6}" id="{2CEA3D05-BCD9-46D0-A421-345A9A6F7741}">
    <text>SOC</text>
  </threadedComment>
</ThreadedComments>
</file>

<file path=xl/threadedComments/threadedComment5.xml><?xml version="1.0" encoding="utf-8"?>
<ThreadedComments xmlns="http://schemas.microsoft.com/office/spreadsheetml/2018/threadedcomments" xmlns:x="http://schemas.openxmlformats.org/spreadsheetml/2006/main">
  <threadedComment ref="F14" dT="2026-01-14T06:00:33.15" personId="{436C6567-3A21-42FB-877A-CB2FEF21A7D6}" id="{22C51241-1A01-4CC3-A99C-EA2F9E3DC615}">
    <text>COD 때 일괄 지급 예정</text>
  </threadedComment>
</ThreadedComments>
</file>

<file path=xl/threadedComments/threadedComment6.xml><?xml version="1.0" encoding="utf-8"?>
<ThreadedComments xmlns="http://schemas.microsoft.com/office/spreadsheetml/2018/threadedcomments" xmlns:x="http://schemas.openxmlformats.org/spreadsheetml/2006/main">
  <threadedComment ref="N2" dT="2024-10-07T06:51:01.28" personId="{C7196D56-78D4-4D72-A93B-A73E12FA0000}" id="{BE31A1C3-01EE-41EF-B7D7-C485D15ECB72}">
    <text>각종 공사 착공 신고</text>
  </threadedComment>
  <threadedComment ref="O4" dT="2025-04-23T09:08:01.36" personId="{C7196D56-78D4-4D72-A93B-A73E12FA0000}" id="{76327A3E-573D-4B5D-AD25-499D490F3E1B}">
    <text>545.460 -&gt; 515.62kWp</text>
  </threadedComment>
  <threadedComment ref="O5" dT="2025-04-07T08:31:13.49" personId="{C7196D56-78D4-4D72-A93B-A73E12FA0000}" id="{AE2E3BBF-991A-484C-B908-4F82AE22E797}">
    <text>151.130 -&gt; 148.59</text>
  </threadedComment>
  <threadedComment ref="G6" dT="2025-03-12T05:33:51.74" personId="{C7196D56-78D4-4D72-A93B-A73E12FA0000}" id="{068FC66E-8A8C-47F3-9A78-1E4350F0852E}">
    <text>2명의 다른 개인사업자(명현테크, 배효) 중 명현테크의 신용도만 확인됨, 둘은 가족관계</text>
  </threadedComment>
  <threadedComment ref="Z7" dT="2025-02-04T07:57:18.82" personId="{C7196D56-78D4-4D72-A93B-A73E12FA0000}" id="{6BF93AA3-CA38-49FC-8983-B144BA8D16A6}">
    <text>Preparing materials for EBL application</text>
  </threadedComment>
  <threadedComment ref="Z8" dT="2025-02-04T07:57:18.82" personId="{C7196D56-78D4-4D72-A93B-A73E12FA0000}" id="{16152D8E-16B0-4D25-8965-2DCE72770B93}">
    <text>Preparing materials for EBL application</text>
  </threadedComment>
  <threadedComment ref="L9" dT="2025-02-18T05:30:29.64" personId="{C7196D56-78D4-4D72-A93B-A73E12FA0000}" id="{241CF5F7-F1D5-4D41-B7F5-4B5D95FF03DA}">
    <text>NEH is the same as AT Busan as it's 200M away from this site</text>
  </threadedComment>
  <threadedComment ref="AI9" dT="2025-02-18T05:26:20.93" personId="{C7196D56-78D4-4D72-A93B-A73E12FA0000}" id="{6E6774D9-F623-4521-B619-E4CFD0A87563}">
    <text>KRW 35M/MW for 5years then KRW 40M after 6th year</text>
  </threadedComment>
  <threadedComment ref="L10" dT="2025-02-18T05:30:39.73" personId="{C7196D56-78D4-4D72-A93B-A73E12FA0000}" id="{6250E8C1-7D60-4F2F-B6FE-5624C738A5DB}">
    <text>NEH is the same as KORENS EM factory as it's 1KM away from this site</text>
  </threadedComment>
  <threadedComment ref="M11" dT="2025-02-27T02:36:01.51" personId="{C7196D56-78D4-4D72-A93B-A73E12FA0000}" id="{B6616C0C-CDB2-47B0-A9AC-5F7635D221B8}">
    <text xml:space="preserve">	DNA모터스 기준: 18km이격) 1,387시간(3.80h/day) – 
	(Kier 자원지도분석시스템) 정남 4.0시간/일 타방향  3.6 X시간/일) 
	제안자의 PV Syst 접수시까지 DNA PV와 KIER중간인 3.7h/day로 상정 </text>
  </threadedComment>
  <threadedComment ref="AG11" dT="2025-02-26T04:46:27.68" personId="{C7196D56-78D4-4D72-A93B-A73E12FA0000}" id="{AA1C9B57-D1D8-462C-9AD2-96E306C77CB7}">
    <text xml:space="preserve">KRW 40M/MW from the 6th to the 20th year for School development fund </text>
  </threadedComment>
  <threadedComment ref="AI11" dT="2025-02-24T07:06:00.95" personId="{C7196D56-78D4-4D72-A93B-A73E12FA0000}" id="{E0FA067D-897C-4DCD-86ED-92FD1C11E02E}">
    <text>KRW 35M/MW for the first then KRW 40M after 6th year</text>
  </threadedComment>
  <threadedComment ref="Z12" dT="2025-02-04T07:59:34.95" personId="{C7196D56-78D4-4D72-A93B-A73E12FA0000}" id="{CD544899-7221-4943-AA94-6D0B3A930E1F}">
    <text>EBL to be submitted in Feb '25</text>
  </threadedComment>
  <threadedComment ref="AC17" dT="2025-02-04T08:13:07.22" personId="{C7196D56-78D4-4D72-A93B-A73E12FA0000}" id="{FC3FE95C-2949-46D7-850A-5D556EE46A27}">
    <text>26-27 system (no spare capacity after contract), negotiated to be given priority for permission as it is the first contract</text>
  </threadedComment>
  <threadedComment ref="O25" dT="2025-04-04T06:49:57.37" personId="{C7196D56-78D4-4D72-A93B-A73E12FA0000}" id="{12005877-AE92-4B47-AFDE-1E21A6FB6573}">
    <text>Reduced from 909.32kW</text>
  </threadedComment>
  <threadedComment ref="O28" dT="2025-04-04T06:50:21.19" personId="{C7196D56-78D4-4D72-A93B-A73E12FA0000}" id="{0EE4A8E7-884E-434E-B597-6AA657623809}">
    <text>Reduced from 654.05kW</text>
  </threadedComment>
  <threadedComment ref="B41" dT="2025-04-28T02:59:07.40" personId="{C7196D56-78D4-4D72-A93B-A73E12FA0000}" id="{B43A930B-DF01-45D0-8204-E70F973EACEA}">
    <text>@Kim Jeongsik 이사님 41-행 부터 에너지플랜 새 물건 업데이트 해놨습니다. 숫자 업데이트 부탁드립니다.</text>
    <mentions>
      <mention mentionpersonId="{CFAC48E3-C6F6-4045-86FB-6F15274DE6FF}" mentionId="{5EB67337-7A27-43B6-B227-9B4765F4A3F6}" startIndex="0" length="13"/>
    </mentions>
  </threadedComment>
  <threadedComment ref="M45" dT="2025-04-28T02:45:46.25" personId="{C7196D56-78D4-4D72-A93B-A73E12FA0000}" id="{A01A3666-48FA-4566-82B0-3BC7AB2B6C8A}">
    <text>Cheongwoo 1 : 3.92 
Cheongwoo 2 : 3.99</text>
  </threadedComment>
</ThreadedComments>
</file>

<file path=xl/threadedComments/threadedComment7.xml><?xml version="1.0" encoding="utf-8"?>
<ThreadedComments xmlns="http://schemas.microsoft.com/office/spreadsheetml/2018/threadedcomments" xmlns:x="http://schemas.openxmlformats.org/spreadsheetml/2006/main">
  <threadedComment ref="H3" dT="2025-03-17T01:14:59.97" personId="{C7196D56-78D4-4D72-A93B-A73E12FA0000}" id="{C736DF31-7D3B-4510-93F0-B85EC6240594}">
    <text>This IRR is an estimate based on the Greenvolt sensitivity analysis methodology.</text>
  </threadedComment>
  <threadedComment ref="X5" dT="2025-01-23T05:34:43.58" personId="{436C6567-3A21-42FB-877A-CB2FEF21A7D6}" id="{3A2D449A-53FD-4E82-BAA0-5E337B60BE52}">
    <text>10% at DP</text>
  </threadedComment>
  <threadedComment ref="AA5" dT="2025-01-23T05:35:01.59" personId="{436C6567-3A21-42FB-877A-CB2FEF21A7D6}" id="{49CD9E3F-8970-49C6-8D8D-5FC4EB919078}">
    <text>20% at NTP</text>
  </threadedComment>
  <threadedComment ref="AD5" dT="2025-01-24T02:50:53.21" personId="{C7196D56-78D4-4D72-A93B-A73E12FA0000}" id="{D7B1C248-FFD1-4D73-B288-BD3C02C89BD2}">
    <text>40% at Module arrival</text>
  </threadedComment>
  <threadedComment ref="AG5" dT="2025-01-23T05:34:19.03" personId="{436C6567-3A21-42FB-877A-CB2FEF21A7D6}" id="{050991B5-5686-455A-A07C-102698D3F3DD}">
    <text>25% at Pre-use inspection</text>
  </threadedComment>
  <threadedComment ref="AJ5" dT="2025-01-23T05:34:19.03" personId="{436C6567-3A21-42FB-877A-CB2FEF21A7D6}" id="{599418E7-89C7-40F3-8A0B-90959F6054D4}">
    <text>5% at COD</text>
  </threadedComment>
  <threadedComment ref="X6" dT="2025-01-23T05:33:39.45" personId="{436C6567-3A21-42FB-877A-CB2FEF21A7D6}" id="{394DBF49-3A21-4A7F-9997-D36913F420F2}">
    <text>55% at DP(1)</text>
  </threadedComment>
  <threadedComment ref="AA6" dT="2025-01-23T05:34:02.76" personId="{436C6567-3A21-42FB-877A-CB2FEF21A7D6}" id="{E76558A5-D72E-4FAF-AC0A-3FBD8C6FF6F2}">
    <text>Out of 15% at DP(2)</text>
  </threadedComment>
  <threadedComment ref="AD6" dT="2025-01-23T05:34:19.03" personId="{436C6567-3A21-42FB-877A-CB2FEF21A7D6}" id="{85EBA55A-4825-4B5F-83FB-DC8AA8303C85}">
    <text>30% at COD</text>
  </threadedComment>
  <threadedComment ref="X10" dT="2025-01-23T05:34:43.58" personId="{436C6567-3A21-42FB-877A-CB2FEF21A7D6}" id="{4DFB8309-BF55-44AA-8FAA-1C0B299F6C12}">
    <text>10% at DP</text>
  </threadedComment>
  <threadedComment ref="AA10" dT="2025-01-23T05:35:01.59" personId="{436C6567-3A21-42FB-877A-CB2FEF21A7D6}" id="{C85A4085-3041-422E-B465-85D87FC8489D}">
    <text>20% at NTP</text>
  </threadedComment>
  <threadedComment ref="AD10" dT="2025-01-24T02:50:53.21" personId="{C7196D56-78D4-4D72-A93B-A73E12FA0000}" id="{275D5EAC-AED8-414D-8A6E-11A6C175EFFD}">
    <text>40% at Module arrival</text>
  </threadedComment>
  <threadedComment ref="AG10" dT="2025-01-23T05:34:19.03" personId="{436C6567-3A21-42FB-877A-CB2FEF21A7D6}" id="{B933D538-34FF-466B-B956-E324BC1A06B8}">
    <text>25% at Pre-use inspection</text>
  </threadedComment>
  <threadedComment ref="AJ10" dT="2025-01-23T05:34:19.03" personId="{436C6567-3A21-42FB-877A-CB2FEF21A7D6}" id="{E771D5D2-F9AC-494F-8004-03FB5F3418CF}">
    <text>5% at COD</text>
  </threadedComment>
  <threadedComment ref="X11" dT="2025-01-23T05:33:39.45" personId="{436C6567-3A21-42FB-877A-CB2FEF21A7D6}" id="{558F152C-9140-49EB-85E4-E664FA0999A2}">
    <text>55% at DP(1)</text>
  </threadedComment>
  <threadedComment ref="AA11" dT="2025-01-23T05:34:02.76" personId="{436C6567-3A21-42FB-877A-CB2FEF21A7D6}" id="{62075C92-01FD-4D29-B4F5-63E731CCE4A3}">
    <text>Out of 15% at DP(2)</text>
  </threadedComment>
  <threadedComment ref="AD11" dT="2025-01-23T05:34:19.03" personId="{436C6567-3A21-42FB-877A-CB2FEF21A7D6}" id="{CC321E80-B4EF-4F05-A4A6-2243FEC5D8E5}">
    <text>30% at COD</text>
  </threadedComment>
  <threadedComment ref="X15" dT="2025-01-23T05:34:43.58" personId="{436C6567-3A21-42FB-877A-CB2FEF21A7D6}" id="{570A844D-1C3C-40DC-8484-62245CC2B927}">
    <text>10% at DP</text>
  </threadedComment>
  <threadedComment ref="AA15" dT="2025-01-23T05:35:01.59" personId="{436C6567-3A21-42FB-877A-CB2FEF21A7D6}" id="{530030AC-126A-4582-84EF-2D12C876357B}">
    <text>20% at NTP</text>
  </threadedComment>
  <threadedComment ref="AD15" dT="2025-01-24T02:50:53.21" personId="{C7196D56-78D4-4D72-A93B-A73E12FA0000}" id="{56F00AA1-4F75-472B-8408-AE83DF903E17}">
    <text>40% at Module arrival</text>
  </threadedComment>
  <threadedComment ref="AG15" dT="2025-01-23T05:34:19.03" personId="{436C6567-3A21-42FB-877A-CB2FEF21A7D6}" id="{BEA9D369-50DC-4D19-803A-4274BDBA3187}">
    <text>25% at Pre-use inspection</text>
  </threadedComment>
  <threadedComment ref="AJ15" dT="2025-01-23T05:34:19.03" personId="{436C6567-3A21-42FB-877A-CB2FEF21A7D6}" id="{54E63A31-B3A4-49EA-9A8F-C4BFD7041FE8}">
    <text>5% at COD</text>
  </threadedComment>
  <threadedComment ref="X16" dT="2025-01-23T05:33:39.45" personId="{436C6567-3A21-42FB-877A-CB2FEF21A7D6}" id="{8B05F541-0FA8-4EB9-9F8F-F6F1D76DEB57}">
    <text>55% at DP(1)</text>
  </threadedComment>
  <threadedComment ref="AA16" dT="2025-01-23T05:34:02.76" personId="{436C6567-3A21-42FB-877A-CB2FEF21A7D6}" id="{7126C322-226E-4757-B36F-EEDCAD1F51E5}">
    <text>Out of 15% at DP(2)</text>
  </threadedComment>
  <threadedComment ref="AD16" dT="2025-01-23T05:34:19.03" personId="{436C6567-3A21-42FB-877A-CB2FEF21A7D6}" id="{C940A29A-728F-4BC0-8A31-65258F4EC11C}">
    <text>30% at COD</text>
  </threadedComment>
  <threadedComment ref="X20" dT="2025-01-23T05:34:43.58" personId="{436C6567-3A21-42FB-877A-CB2FEF21A7D6}" id="{A2DE38AC-8F94-4B73-B8E8-E458822AA414}">
    <text>10% at DP</text>
  </threadedComment>
  <threadedComment ref="AA20" dT="2025-01-23T05:35:01.59" personId="{436C6567-3A21-42FB-877A-CB2FEF21A7D6}" id="{B66281FD-917B-4009-9994-97A273D3FCFE}">
    <text>20% at NTP</text>
  </threadedComment>
  <threadedComment ref="AD20" dT="2025-01-24T02:50:53.21" personId="{C7196D56-78D4-4D72-A93B-A73E12FA0000}" id="{E55FA55E-6D9F-49A5-9787-4B2EC38F77F3}">
    <text>40% at Module arrival</text>
  </threadedComment>
  <threadedComment ref="AG20" dT="2025-01-23T05:34:19.03" personId="{436C6567-3A21-42FB-877A-CB2FEF21A7D6}" id="{A5D6BD41-369F-4D42-BDFB-57AD0842484D}">
    <text>25% at Pre-use inspection</text>
  </threadedComment>
  <threadedComment ref="AJ20" dT="2025-01-23T05:34:19.03" personId="{436C6567-3A21-42FB-877A-CB2FEF21A7D6}" id="{5998EED5-2299-4F0C-8581-7B5C4CF716A8}">
    <text>5% at COD</text>
  </threadedComment>
  <threadedComment ref="X21" dT="2025-01-23T05:33:39.45" personId="{436C6567-3A21-42FB-877A-CB2FEF21A7D6}" id="{0EE780EE-1E58-46AD-87D2-AB9806E13F7C}">
    <text>55% at DP(1)</text>
  </threadedComment>
  <threadedComment ref="AA21" dT="2025-01-23T05:34:02.76" personId="{436C6567-3A21-42FB-877A-CB2FEF21A7D6}" id="{CE978AFA-58EA-4434-B262-44D5DBC6F53C}">
    <text>Out of 15% at DP(2)</text>
  </threadedComment>
  <threadedComment ref="AD21" dT="2025-01-23T05:34:19.03" personId="{436C6567-3A21-42FB-877A-CB2FEF21A7D6}" id="{B7C8BB7F-EDE5-4D2A-B2CD-7BC2A776F266}">
    <text>30% at COD</text>
  </threadedComment>
  <threadedComment ref="X25" dT="2025-01-23T05:34:43.58" personId="{436C6567-3A21-42FB-877A-CB2FEF21A7D6}" id="{4A157592-5CCF-4940-BBE8-A2BFA34552B6}">
    <text>10% at DP</text>
  </threadedComment>
  <threadedComment ref="AA25" dT="2025-01-23T05:35:01.59" personId="{436C6567-3A21-42FB-877A-CB2FEF21A7D6}" id="{AA3ED741-D11A-48E3-B2EF-F06F6C07FE79}">
    <text>20% at NTP</text>
  </threadedComment>
  <threadedComment ref="AD25" dT="2025-01-24T02:50:53.21" personId="{C7196D56-78D4-4D72-A93B-A73E12FA0000}" id="{9A655A73-90F8-48A1-8F26-ED3ECF6B1512}">
    <text>40% at Module arrival</text>
  </threadedComment>
  <threadedComment ref="AG25" dT="2025-01-23T05:34:19.03" personId="{436C6567-3A21-42FB-877A-CB2FEF21A7D6}" id="{3A9E59D8-9AA9-4EFE-8638-0D398B3C1287}">
    <text>25% at Pre-use inspection</text>
  </threadedComment>
  <threadedComment ref="AJ25" dT="2025-01-23T05:34:19.03" personId="{436C6567-3A21-42FB-877A-CB2FEF21A7D6}" id="{E142E769-2249-4B85-B574-B579E1E32338}">
    <text>5% at COD</text>
  </threadedComment>
  <threadedComment ref="X26" dT="2025-01-23T05:33:39.45" personId="{436C6567-3A21-42FB-877A-CB2FEF21A7D6}" id="{55D18B43-6400-4F6B-8CC5-C65BACB4CA87}">
    <text>55% at DP(1)</text>
  </threadedComment>
  <threadedComment ref="AA26" dT="2025-01-23T05:34:02.76" personId="{436C6567-3A21-42FB-877A-CB2FEF21A7D6}" id="{C1F715A6-A68A-4AC6-873B-677B31EF190D}">
    <text>Out of 15% at DP(2)</text>
  </threadedComment>
  <threadedComment ref="AD26" dT="2025-01-23T05:34:19.03" personId="{436C6567-3A21-42FB-877A-CB2FEF21A7D6}" id="{F39EE412-F9DA-435E-A623-11EFC76C3C35}">
    <text>30% at COD</text>
  </threadedComment>
  <threadedComment ref="X30" dT="2025-01-23T05:34:43.58" personId="{436C6567-3A21-42FB-877A-CB2FEF21A7D6}" id="{30BB1404-3C74-4C0B-876B-82DDD29993FB}">
    <text>10% at DP</text>
  </threadedComment>
  <threadedComment ref="AA30" dT="2025-01-23T05:35:01.59" personId="{436C6567-3A21-42FB-877A-CB2FEF21A7D6}" id="{0C722393-D859-4CD7-A3FA-8CCEECE11335}">
    <text>20% at NTP</text>
  </threadedComment>
  <threadedComment ref="AD30" dT="2025-01-24T02:50:53.21" personId="{C7196D56-78D4-4D72-A93B-A73E12FA0000}" id="{7D128692-8DA0-4D9A-BE70-22F9E5FDA30D}">
    <text>40% at Module arrival</text>
  </threadedComment>
  <threadedComment ref="AG30" dT="2025-01-23T05:34:19.03" personId="{436C6567-3A21-42FB-877A-CB2FEF21A7D6}" id="{D71AF8CF-CD8B-468F-B9BF-860D8F665B04}">
    <text>25% at Pre-use inspection</text>
  </threadedComment>
  <threadedComment ref="AJ30" dT="2025-01-23T05:34:19.03" personId="{436C6567-3A21-42FB-877A-CB2FEF21A7D6}" id="{2639809B-691C-4B5A-972A-2585E0B04233}">
    <text>5% at COD</text>
  </threadedComment>
  <threadedComment ref="X31" dT="2025-01-23T05:33:39.45" personId="{436C6567-3A21-42FB-877A-CB2FEF21A7D6}" id="{A3A360CE-FCE8-454E-BB7B-810892923B79}">
    <text>55% at DP(1)</text>
  </threadedComment>
  <threadedComment ref="AA31" dT="2025-01-23T05:34:02.76" personId="{436C6567-3A21-42FB-877A-CB2FEF21A7D6}" id="{FB413BA0-EF26-4340-B663-46D0E9EF4348}">
    <text>Out of 15% at DP(2)</text>
  </threadedComment>
  <threadedComment ref="AD31" dT="2025-01-23T05:34:19.03" personId="{436C6567-3A21-42FB-877A-CB2FEF21A7D6}" id="{18A73197-9B27-42A0-9F14-57D1F0D88BE2}">
    <text>30% at COD</text>
  </threadedComment>
  <threadedComment ref="X35" dT="2025-01-23T05:34:43.58" personId="{436C6567-3A21-42FB-877A-CB2FEF21A7D6}" id="{1AE30E28-1D15-4BB6-A617-E94EE4A5301A}">
    <text>10% at DP</text>
  </threadedComment>
  <threadedComment ref="AA35" dT="2025-01-23T05:35:01.59" personId="{436C6567-3A21-42FB-877A-CB2FEF21A7D6}" id="{18AEBCE1-59EA-473A-9116-ABED246B3535}">
    <text>20% at NTP</text>
  </threadedComment>
  <threadedComment ref="AD35" dT="2025-01-24T02:50:53.21" personId="{C7196D56-78D4-4D72-A93B-A73E12FA0000}" id="{DCFD7B52-5182-4F63-A648-DBB8D8854405}">
    <text>40% at Module arrival</text>
  </threadedComment>
  <threadedComment ref="AG35" dT="2025-01-23T05:34:19.03" personId="{436C6567-3A21-42FB-877A-CB2FEF21A7D6}" id="{EE510B1C-75C8-4E85-AC09-A5C96939ED46}">
    <text>25% at Pre-use inspection</text>
  </threadedComment>
  <threadedComment ref="AJ35" dT="2025-01-23T05:34:19.03" personId="{436C6567-3A21-42FB-877A-CB2FEF21A7D6}" id="{8FCF13AB-F21E-4055-9804-5DE01B3313B0}">
    <text>5% at COD</text>
  </threadedComment>
  <threadedComment ref="X36" dT="2025-01-23T05:33:39.45" personId="{436C6567-3A21-42FB-877A-CB2FEF21A7D6}" id="{CA9004A3-C044-40DF-82C8-6E36CC5FB3D8}">
    <text>55% at DP(1)</text>
  </threadedComment>
  <threadedComment ref="AA36" dT="2025-01-23T05:34:02.76" personId="{436C6567-3A21-42FB-877A-CB2FEF21A7D6}" id="{B391645F-C9DE-402A-8F5F-E36D2709DD5B}">
    <text>Out of 15% at DP(2)</text>
  </threadedComment>
  <threadedComment ref="AD36" dT="2025-01-23T05:34:19.03" personId="{436C6567-3A21-42FB-877A-CB2FEF21A7D6}" id="{52303AE2-436E-49B0-BA02-39BE83DB0AF6}">
    <text>30% at COD</text>
  </threadedComment>
  <threadedComment ref="X40" dT="2025-01-23T05:34:43.58" personId="{436C6567-3A21-42FB-877A-CB2FEF21A7D6}" id="{4CFD8E26-AED6-44C9-811E-F5AD25D042D5}">
    <text>10% at DP</text>
  </threadedComment>
  <threadedComment ref="AA40" dT="2025-01-23T05:35:01.59" personId="{436C6567-3A21-42FB-877A-CB2FEF21A7D6}" id="{91CDED89-EFBE-415A-AE5E-092AADE477F9}">
    <text>20% at NTP</text>
  </threadedComment>
  <threadedComment ref="AD40" dT="2025-01-24T02:50:53.21" personId="{C7196D56-78D4-4D72-A93B-A73E12FA0000}" id="{2F1C84EA-367A-403B-A9B2-98E654BFB807}">
    <text>40% at Module arrival</text>
  </threadedComment>
  <threadedComment ref="AG40" dT="2025-01-23T05:34:19.03" personId="{436C6567-3A21-42FB-877A-CB2FEF21A7D6}" id="{BA677C7F-988F-4802-80DD-53B067CA7DA3}">
    <text>25% at Pre-use inspection</text>
  </threadedComment>
  <threadedComment ref="AJ40" dT="2025-01-23T05:34:19.03" personId="{436C6567-3A21-42FB-877A-CB2FEF21A7D6}" id="{FF078BDC-24E9-4624-B7F6-06FD8B0EEDC0}">
    <text>5% at COD</text>
  </threadedComment>
  <threadedComment ref="X41" dT="2025-01-23T05:33:39.45" personId="{436C6567-3A21-42FB-877A-CB2FEF21A7D6}" id="{FDA1DD94-8E5D-4143-9197-9501E9DFDF3A}">
    <text>55% at DP(1)</text>
  </threadedComment>
  <threadedComment ref="AA41" dT="2025-01-23T05:34:02.76" personId="{436C6567-3A21-42FB-877A-CB2FEF21A7D6}" id="{9A7E3CAB-9B4B-41FB-9470-8C74788A637C}">
    <text>Out of 15% at DP(2)</text>
  </threadedComment>
  <threadedComment ref="AD41" dT="2025-01-23T05:34:19.03" personId="{436C6567-3A21-42FB-877A-CB2FEF21A7D6}" id="{8B28BF3D-AF05-4E50-9BE5-3A964907A6F4}">
    <text>30% at COD</text>
  </threadedComment>
  <threadedComment ref="X45" dT="2025-01-23T05:37:21.37" personId="{436C6567-3A21-42FB-877A-CB2FEF21A7D6}" id="{AF343389-4578-4F93-9374-78A195E2F959}">
    <text>10% at DP</text>
  </threadedComment>
  <threadedComment ref="AA45" dT="2025-01-23T05:35:01.59" personId="{436C6567-3A21-42FB-877A-CB2FEF21A7D6}" id="{CA71A18E-3D02-4C45-80A2-05078EDD46BD}">
    <text>20% at NTP</text>
  </threadedComment>
  <threadedComment ref="AD45" dT="2025-01-23T05:34:19.03" personId="{436C6567-3A21-42FB-877A-CB2FEF21A7D6}" id="{2DD6050C-B9A1-4413-8C02-0233BF7FF718}">
    <text>40% at Module arrival</text>
  </threadedComment>
  <threadedComment ref="AG45" dT="2025-01-23T06:02:37.45" personId="{436C6567-3A21-42FB-877A-CB2FEF21A7D6}" id="{241E7225-29B5-4B7E-B3A7-D7FC24E9E3BF}">
    <text>25% at Pre-use inspection</text>
  </threadedComment>
  <threadedComment ref="AJ45" dT="2025-01-23T05:34:19.03" personId="{436C6567-3A21-42FB-877A-CB2FEF21A7D6}" id="{39EE959F-04EF-4021-9F53-C0EC4408EAB2}">
    <text>5% at COD</text>
  </threadedComment>
  <threadedComment ref="X46" dT="2025-01-23T05:37:41.82" personId="{436C6567-3A21-42FB-877A-CB2FEF21A7D6}" id="{1853D7AE-7B2D-460B-845A-462E7094CEAC}">
    <text>40% at DP</text>
  </threadedComment>
  <threadedComment ref="AA46" dT="2025-01-23T05:37:41.82" personId="{436C6567-3A21-42FB-877A-CB2FEF21A7D6}" id="{9390E368-B936-4823-8FD4-232640AA9ACB}">
    <text>30% at Pre-use Inspection</text>
  </threadedComment>
  <threadedComment ref="AD46" dT="2025-01-23T05:37:41.82" personId="{436C6567-3A21-42FB-877A-CB2FEF21A7D6}" id="{E3A820E6-A863-4444-AF50-2E65E45D1CC2}">
    <text>30% at Pre-use Inspection</text>
  </threadedComment>
  <threadedComment ref="AG46" dT="2025-01-23T05:37:41.82" personId="{436C6567-3A21-42FB-877A-CB2FEF21A7D6}" id="{D746EDE9-5EC3-4ADF-BE94-34BAC8D8C5CC}">
    <text>10% at COD</text>
  </threadedComment>
  <threadedComment ref="X47" dT="2025-01-23T05:37:41.82" personId="{436C6567-3A21-42FB-877A-CB2FEF21A7D6}" id="{37F976C6-6C34-49F7-B567-659ACC11A694}">
    <text>40% at DP</text>
  </threadedComment>
  <threadedComment ref="AA47" dT="2025-01-23T05:37:41.82" personId="{436C6567-3A21-42FB-877A-CB2FEF21A7D6}" id="{9BDA6632-5173-4EFC-BCA6-6F99B6D2F985}">
    <text>20% at NTP</text>
  </threadedComment>
  <threadedComment ref="AD47" dT="2025-01-23T05:37:41.82" personId="{436C6567-3A21-42FB-877A-CB2FEF21A7D6}" id="{A39E9D3B-A28A-4E0F-BBCD-D2AA03CDECE1}">
    <text>30% at Pre-use Inspection</text>
  </threadedComment>
  <threadedComment ref="AG47" dT="2025-01-23T05:37:41.82" personId="{436C6567-3A21-42FB-877A-CB2FEF21A7D6}" id="{4B5C5AB3-1044-4605-B0AE-607117B6E5C6}">
    <text>10% at COD</text>
  </threadedComment>
  <threadedComment ref="X48" dT="2025-01-23T05:37:41.82" personId="{436C6567-3A21-42FB-877A-CB2FEF21A7D6}" id="{B6FEB9FE-D685-44A7-9347-334A10261C7A}">
    <text>40% at DP</text>
  </threadedComment>
  <threadedComment ref="AA48" dT="2025-01-23T05:37:41.82" personId="{436C6567-3A21-42FB-877A-CB2FEF21A7D6}" id="{E10BAB4E-771E-4B08-A66E-E3AD11E9C157}">
    <text>20% at NTP</text>
  </threadedComment>
  <threadedComment ref="AD48" dT="2025-01-23T05:37:41.82" personId="{436C6567-3A21-42FB-877A-CB2FEF21A7D6}" id="{666F21D7-D5DD-48D3-81BF-138C07767317}">
    <text>30% at Pre-use Inspection</text>
  </threadedComment>
  <threadedComment ref="AG48" dT="2025-01-23T05:37:41.82" personId="{436C6567-3A21-42FB-877A-CB2FEF21A7D6}" id="{60E585AC-5C3B-4AAF-A072-5AA9DB49A032}">
    <text>10% at COD</text>
  </threadedComment>
  <threadedComment ref="X50" dT="2025-01-23T05:37:21.37" personId="{436C6567-3A21-42FB-877A-CB2FEF21A7D6}" id="{82AFC94F-F84A-49AE-86AA-BB455B37F994}">
    <text>10% at DP</text>
  </threadedComment>
  <threadedComment ref="AA50" dT="2025-01-23T05:35:01.59" personId="{436C6567-3A21-42FB-877A-CB2FEF21A7D6}" id="{C028C33F-938A-4A5E-A67C-CA68DEEF38A8}">
    <text>20% at NTP</text>
  </threadedComment>
  <threadedComment ref="AD50" dT="2025-01-23T05:34:19.03" personId="{436C6567-3A21-42FB-877A-CB2FEF21A7D6}" id="{1AC5DA18-A82C-453D-9EFE-92EB8D639765}">
    <text>40% at Module arrival</text>
  </threadedComment>
  <threadedComment ref="AG50" dT="2025-01-23T06:02:37.45" personId="{436C6567-3A21-42FB-877A-CB2FEF21A7D6}" id="{E6155498-6B17-4B8B-8438-F8B7E7CEA882}">
    <text>25% at Pre-use inspection</text>
  </threadedComment>
  <threadedComment ref="AJ50" dT="2025-01-23T05:34:19.03" personId="{436C6567-3A21-42FB-877A-CB2FEF21A7D6}" id="{6FB25E28-C2F6-42A7-875C-73F74B5A3257}">
    <text>5% at COD</text>
  </threadedComment>
  <threadedComment ref="X51" dT="2025-01-23T05:37:41.82" personId="{436C6567-3A21-42FB-877A-CB2FEF21A7D6}" id="{7CA57687-2995-4804-A024-2C0EEA507E67}">
    <text>40% at DP</text>
  </threadedComment>
  <threadedComment ref="AA51" dT="2025-01-23T05:37:41.82" personId="{436C6567-3A21-42FB-877A-CB2FEF21A7D6}" id="{F0F174E2-B7E0-41C0-AF69-00A69B8B733A}">
    <text>30% at Pre-use Inspection</text>
  </threadedComment>
  <threadedComment ref="AD51" dT="2025-01-23T05:37:41.82" personId="{436C6567-3A21-42FB-877A-CB2FEF21A7D6}" id="{ECFBA1B5-12B8-4FB3-B1B7-508F9400EC2A}">
    <text>30% at Pre-use Inspection</text>
  </threadedComment>
  <threadedComment ref="AG51" dT="2025-01-23T05:37:41.82" personId="{436C6567-3A21-42FB-877A-CB2FEF21A7D6}" id="{E596D996-6557-40DF-A1C4-298DEDAE3CED}">
    <text>10% at COD</text>
  </threadedComment>
  <threadedComment ref="X52" dT="2025-01-23T05:37:41.82" personId="{436C6567-3A21-42FB-877A-CB2FEF21A7D6}" id="{3FE642A5-9FEA-464D-8F28-AC8E17377D17}">
    <text>40% at DP</text>
  </threadedComment>
  <threadedComment ref="AA52" dT="2025-01-23T05:37:41.82" personId="{436C6567-3A21-42FB-877A-CB2FEF21A7D6}" id="{93002019-D369-4702-8500-BA23DE1A40A3}">
    <text>20% at NTP</text>
  </threadedComment>
  <threadedComment ref="AD52" dT="2025-01-23T05:37:41.82" personId="{436C6567-3A21-42FB-877A-CB2FEF21A7D6}" id="{5208DC2B-82E7-429D-A594-F09E167741B4}">
    <text>30% at Pre-use Inspection</text>
  </threadedComment>
  <threadedComment ref="AG52" dT="2025-01-23T05:37:41.82" personId="{436C6567-3A21-42FB-877A-CB2FEF21A7D6}" id="{FCAAA500-6ACE-4B59-AFCC-D796F53DAE1E}">
    <text>10% at COD</text>
  </threadedComment>
  <threadedComment ref="X53" dT="2025-01-23T05:37:41.82" personId="{436C6567-3A21-42FB-877A-CB2FEF21A7D6}" id="{BF55143E-FAB1-4052-85FC-29014F5AC35E}">
    <text>40% at DP</text>
  </threadedComment>
  <threadedComment ref="AA53" dT="2025-01-23T05:37:41.82" personId="{436C6567-3A21-42FB-877A-CB2FEF21A7D6}" id="{648971E0-56A9-4A21-9B23-15162C7F4134}">
    <text>20% at NTP</text>
  </threadedComment>
  <threadedComment ref="AD53" dT="2025-01-23T05:37:41.82" personId="{436C6567-3A21-42FB-877A-CB2FEF21A7D6}" id="{C790869E-BA63-4A56-BFB6-83513649BC0A}">
    <text>30% at Pre-use Inspection</text>
  </threadedComment>
  <threadedComment ref="AG53" dT="2025-01-23T05:37:41.82" personId="{436C6567-3A21-42FB-877A-CB2FEF21A7D6}" id="{16BE0A8F-0BC4-4AB2-86A5-7F86F6AFA893}">
    <text>10% at COD</text>
  </threadedComment>
  <threadedComment ref="X55" dT="2025-01-23T05:37:21.37" personId="{436C6567-3A21-42FB-877A-CB2FEF21A7D6}" id="{D96948C2-CFD1-4AAA-8DE9-5DB936FE6C99}">
    <text>10% at DP</text>
  </threadedComment>
  <threadedComment ref="AA55" dT="2025-01-23T05:35:01.59" personId="{436C6567-3A21-42FB-877A-CB2FEF21A7D6}" id="{C2D79437-1F0E-4D1C-9A90-2AE9A1867752}">
    <text>20% at NTP</text>
  </threadedComment>
  <threadedComment ref="AD55" dT="2025-01-23T05:34:19.03" personId="{436C6567-3A21-42FB-877A-CB2FEF21A7D6}" id="{E2DA0CEE-89A8-47C0-AB76-81D11FAEA37D}">
    <text>40% at Module arrival</text>
  </threadedComment>
  <threadedComment ref="AG55" dT="2025-01-23T06:02:37.45" personId="{436C6567-3A21-42FB-877A-CB2FEF21A7D6}" id="{C74EDD7B-D63D-41AB-982C-9BE0E0E51D0C}">
    <text>25% at Pre-use inspection</text>
  </threadedComment>
  <threadedComment ref="AJ55" dT="2025-01-23T05:34:19.03" personId="{436C6567-3A21-42FB-877A-CB2FEF21A7D6}" id="{4A95CA78-1A5C-4551-9AB2-DD70F133D0FB}">
    <text>5% at COD</text>
  </threadedComment>
  <threadedComment ref="X56" dT="2025-01-23T05:37:41.82" personId="{436C6567-3A21-42FB-877A-CB2FEF21A7D6}" id="{2CCB1FE6-5CB4-49E0-8355-533142BB5D87}">
    <text>40% at DP</text>
  </threadedComment>
  <threadedComment ref="AA56" dT="2025-01-23T05:37:41.82" personId="{436C6567-3A21-42FB-877A-CB2FEF21A7D6}" id="{F5EE68CC-661D-41D8-AF37-5081956E9D53}">
    <text>30% at Pre-use Inspection</text>
  </threadedComment>
  <threadedComment ref="AD56" dT="2025-01-23T05:37:41.82" personId="{436C6567-3A21-42FB-877A-CB2FEF21A7D6}" id="{7A42F426-89E7-47F1-9FC1-662A7BB081B4}">
    <text>30% at Pre-use Inspection</text>
  </threadedComment>
  <threadedComment ref="AG56" dT="2025-01-23T05:37:41.82" personId="{436C6567-3A21-42FB-877A-CB2FEF21A7D6}" id="{C06CA20A-0EFE-4076-B211-CBEFA4AD30BD}">
    <text>10% at COD</text>
  </threadedComment>
  <threadedComment ref="X57" dT="2025-01-23T05:37:41.82" personId="{436C6567-3A21-42FB-877A-CB2FEF21A7D6}" id="{7280AB7E-CC4D-4D85-AF6C-C42380916E06}">
    <text>40% at DP</text>
  </threadedComment>
  <threadedComment ref="AA57" dT="2025-01-23T05:37:41.82" personId="{436C6567-3A21-42FB-877A-CB2FEF21A7D6}" id="{2D557350-3FB8-4D92-A0E3-82886553F38E}">
    <text>20% at NTP</text>
  </threadedComment>
  <threadedComment ref="AD57" dT="2025-01-23T05:37:41.82" personId="{436C6567-3A21-42FB-877A-CB2FEF21A7D6}" id="{CC4C0B78-0AD9-4442-B149-F1C156214285}">
    <text>30% at Pre-use Inspection</text>
  </threadedComment>
  <threadedComment ref="AG57" dT="2025-01-23T05:37:41.82" personId="{436C6567-3A21-42FB-877A-CB2FEF21A7D6}" id="{7F2A6D7C-F2C1-4559-B49F-3F24E53F7C27}">
    <text>10% at COD</text>
  </threadedComment>
  <threadedComment ref="X58" dT="2025-01-23T05:37:41.82" personId="{436C6567-3A21-42FB-877A-CB2FEF21A7D6}" id="{4E5938C4-5A0D-45F6-9892-F69ECBEBB4DB}">
    <text>40% at DP</text>
  </threadedComment>
  <threadedComment ref="AA58" dT="2025-01-23T05:37:41.82" personId="{436C6567-3A21-42FB-877A-CB2FEF21A7D6}" id="{7D9E9F74-4779-4E2A-A22B-533292E85090}">
    <text>20% at NTP</text>
  </threadedComment>
  <threadedComment ref="AD58" dT="2025-01-23T05:37:41.82" personId="{436C6567-3A21-42FB-877A-CB2FEF21A7D6}" id="{B8C10373-68A1-4722-BB62-4DD5D2092219}">
    <text>30% at Pre-use Inspection</text>
  </threadedComment>
  <threadedComment ref="AG58" dT="2025-01-23T05:37:41.82" personId="{436C6567-3A21-42FB-877A-CB2FEF21A7D6}" id="{892A5155-5077-4800-AB77-2FB3866EE357}">
    <text>10% at COD</text>
  </threadedComment>
  <threadedComment ref="X60" dT="2025-01-23T05:37:21.37" personId="{436C6567-3A21-42FB-877A-CB2FEF21A7D6}" id="{00FA5A65-A69D-4F1A-80F8-23EB9121108A}">
    <text>10% at DP</text>
  </threadedComment>
  <threadedComment ref="AA60" dT="2025-01-23T05:35:01.59" personId="{436C6567-3A21-42FB-877A-CB2FEF21A7D6}" id="{DD093096-3A65-4F60-9E0B-AFC74E2D7968}">
    <text>20% at NTP</text>
  </threadedComment>
  <threadedComment ref="AD60" dT="2025-01-23T05:34:19.03" personId="{436C6567-3A21-42FB-877A-CB2FEF21A7D6}" id="{003B7504-3884-44C0-82C4-D39C0A31040A}">
    <text>40% at Module arrival</text>
  </threadedComment>
  <threadedComment ref="AG60" dT="2025-01-23T06:02:37.45" personId="{436C6567-3A21-42FB-877A-CB2FEF21A7D6}" id="{990A385F-4ED3-400E-889C-7F06C1568C50}">
    <text>25% at Pre-use inspection</text>
  </threadedComment>
  <threadedComment ref="AJ60" dT="2025-01-23T05:34:19.03" personId="{436C6567-3A21-42FB-877A-CB2FEF21A7D6}" id="{85695256-EEAA-46B3-AC0B-45C16661C527}">
    <text>5% at COD</text>
  </threadedComment>
  <threadedComment ref="X61" dT="2025-01-23T05:37:41.82" personId="{436C6567-3A21-42FB-877A-CB2FEF21A7D6}" id="{E6C361FE-8D03-4D58-8CEE-8D814509BC4B}">
    <text>40% at DP</text>
  </threadedComment>
  <threadedComment ref="AA61" dT="2025-01-23T05:37:41.82" personId="{436C6567-3A21-42FB-877A-CB2FEF21A7D6}" id="{E39A61CD-5FE2-4D26-BFF8-DEC88DBDB298}">
    <text>30% at Pre-use Inspection</text>
  </threadedComment>
  <threadedComment ref="AD61" dT="2025-01-23T05:37:41.82" personId="{436C6567-3A21-42FB-877A-CB2FEF21A7D6}" id="{5D737A4F-6403-468B-8783-AE4A6058B256}">
    <text>30% at Pre-use Inspection</text>
  </threadedComment>
  <threadedComment ref="AG61" dT="2025-01-23T05:37:41.82" personId="{436C6567-3A21-42FB-877A-CB2FEF21A7D6}" id="{4EDB940F-25B7-4E90-9A8D-DCFCDA9158EC}">
    <text>10% at COD</text>
  </threadedComment>
  <threadedComment ref="X62" dT="2025-01-23T05:37:41.82" personId="{436C6567-3A21-42FB-877A-CB2FEF21A7D6}" id="{650D72F6-9934-4790-9C45-3CBFB23ECD18}">
    <text>40% at DP</text>
  </threadedComment>
  <threadedComment ref="AA62" dT="2025-01-23T05:37:41.82" personId="{436C6567-3A21-42FB-877A-CB2FEF21A7D6}" id="{F2140286-4A8F-4304-8D9D-CD322B7C4492}">
    <text>20% at NTP</text>
  </threadedComment>
  <threadedComment ref="AD62" dT="2025-01-23T05:37:41.82" personId="{436C6567-3A21-42FB-877A-CB2FEF21A7D6}" id="{BA4B756F-A2D9-4461-A9C5-682B00A84A22}">
    <text>30% at Pre-use Inspection</text>
  </threadedComment>
  <threadedComment ref="AG62" dT="2025-01-23T05:37:41.82" personId="{436C6567-3A21-42FB-877A-CB2FEF21A7D6}" id="{00E5B910-39A0-44C8-BD88-7D01E39B760E}">
    <text>10% at COD</text>
  </threadedComment>
  <threadedComment ref="X63" dT="2025-01-23T05:37:41.82" personId="{436C6567-3A21-42FB-877A-CB2FEF21A7D6}" id="{2A41F203-6742-4432-BD8B-73CF40BEFFA8}">
    <text>40% at DP</text>
  </threadedComment>
  <threadedComment ref="AA63" dT="2025-01-23T05:37:41.82" personId="{436C6567-3A21-42FB-877A-CB2FEF21A7D6}" id="{585D4236-2A41-4A89-8EAD-8CDB47E08D6A}">
    <text>20% at NTP</text>
  </threadedComment>
  <threadedComment ref="AD63" dT="2025-01-23T05:37:41.82" personId="{436C6567-3A21-42FB-877A-CB2FEF21A7D6}" id="{15914BFB-B9BC-4F1A-B2DB-86F516A9ABC1}">
    <text>30% at Pre-use Inspection</text>
  </threadedComment>
  <threadedComment ref="AG63" dT="2025-01-23T05:37:41.82" personId="{436C6567-3A21-42FB-877A-CB2FEF21A7D6}" id="{372AF665-3463-439E-A890-B5C7CE1BACAD}">
    <text>10% at COD</text>
  </threadedComment>
  <threadedComment ref="X65" dT="2025-01-23T05:37:21.37" personId="{436C6567-3A21-42FB-877A-CB2FEF21A7D6}" id="{36B8784E-FF0A-4F95-B625-494A5C49072B}">
    <text>10% at DP</text>
  </threadedComment>
  <threadedComment ref="AA65" dT="2025-01-23T05:35:01.59" personId="{436C6567-3A21-42FB-877A-CB2FEF21A7D6}" id="{F77CBA13-7A58-4F2E-A9D3-F4D14E04806A}">
    <text>20% at NTP</text>
  </threadedComment>
  <threadedComment ref="AD65" dT="2025-01-23T05:34:19.03" personId="{436C6567-3A21-42FB-877A-CB2FEF21A7D6}" id="{106A2BDD-720D-45CB-BCA6-BB120E7E68B0}">
    <text>40% at Module arrival</text>
  </threadedComment>
  <threadedComment ref="AG65" dT="2025-01-23T06:02:37.45" personId="{436C6567-3A21-42FB-877A-CB2FEF21A7D6}" id="{40AB5095-C9BF-4012-B59B-C00521C8DEF8}">
    <text>25% at Pre-use inspection</text>
  </threadedComment>
  <threadedComment ref="AJ65" dT="2025-01-23T05:34:19.03" personId="{436C6567-3A21-42FB-877A-CB2FEF21A7D6}" id="{43009D64-0436-445E-B645-E0AD36C2878F}">
    <text>5% at COD</text>
  </threadedComment>
  <threadedComment ref="X66" dT="2025-01-23T05:37:41.82" personId="{436C6567-3A21-42FB-877A-CB2FEF21A7D6}" id="{4A0447BF-9837-4B0C-969C-A19C26E1D7D3}">
    <text>40% at DP</text>
  </threadedComment>
  <threadedComment ref="AA66" dT="2025-01-23T05:37:41.82" personId="{436C6567-3A21-42FB-877A-CB2FEF21A7D6}" id="{53EB778C-F544-4AC9-8D03-EE4B4F8BC76B}">
    <text>30% at Pre-use Inspection</text>
  </threadedComment>
  <threadedComment ref="AD66" dT="2025-01-23T05:37:41.82" personId="{436C6567-3A21-42FB-877A-CB2FEF21A7D6}" id="{481AD9FA-2A9F-4D2B-996F-390EB0040684}">
    <text>30% at Pre-use Inspection</text>
  </threadedComment>
  <threadedComment ref="AG66" dT="2025-01-23T05:37:41.82" personId="{436C6567-3A21-42FB-877A-CB2FEF21A7D6}" id="{F0609DAD-3D47-4D23-967A-1F833936CE24}">
    <text>10% at COD</text>
  </threadedComment>
  <threadedComment ref="X67" dT="2025-01-23T05:37:41.82" personId="{436C6567-3A21-42FB-877A-CB2FEF21A7D6}" id="{ECC83FDF-931F-4A8E-B92D-9FC7CA5404A8}">
    <text>40% at DP</text>
  </threadedComment>
  <threadedComment ref="AA67" dT="2025-01-23T05:37:41.82" personId="{436C6567-3A21-42FB-877A-CB2FEF21A7D6}" id="{D4C4C048-F317-48A9-964B-607608C01597}">
    <text>20% at NTP</text>
  </threadedComment>
  <threadedComment ref="AD67" dT="2025-01-23T05:37:41.82" personId="{436C6567-3A21-42FB-877A-CB2FEF21A7D6}" id="{8A573BF4-66FA-495B-BEB2-5564468D2D49}">
    <text>30% at Pre-use Inspection</text>
  </threadedComment>
  <threadedComment ref="AG67" dT="2025-01-23T05:37:41.82" personId="{436C6567-3A21-42FB-877A-CB2FEF21A7D6}" id="{3A0A048D-4D4C-447A-8105-4761AF61F926}">
    <text>10% at COD</text>
  </threadedComment>
  <threadedComment ref="X68" dT="2025-01-23T05:37:41.82" personId="{436C6567-3A21-42FB-877A-CB2FEF21A7D6}" id="{E91FE95E-0302-4895-A3A6-44ADBEBB90A2}">
    <text>40% at DP</text>
  </threadedComment>
  <threadedComment ref="AA68" dT="2025-01-23T05:37:41.82" personId="{436C6567-3A21-42FB-877A-CB2FEF21A7D6}" id="{8DB94094-7D6F-4B73-A8E0-556AA05EF2E8}">
    <text>20% at NTP</text>
  </threadedComment>
  <threadedComment ref="AD68" dT="2025-01-23T05:37:41.82" personId="{436C6567-3A21-42FB-877A-CB2FEF21A7D6}" id="{45B700CC-A040-4572-92C3-052D93C13C33}">
    <text>30% at Pre-use Inspection</text>
  </threadedComment>
  <threadedComment ref="AG68" dT="2025-01-23T05:37:41.82" personId="{436C6567-3A21-42FB-877A-CB2FEF21A7D6}" id="{10D6EB98-8092-43E8-AA25-91427093DD3F}">
    <text>10% at COD</text>
  </threadedComment>
  <threadedComment ref="X70" dT="2025-01-23T05:37:21.37" personId="{436C6567-3A21-42FB-877A-CB2FEF21A7D6}" id="{1DE71F89-A028-4AE1-ABCC-06086D17640E}">
    <text>10% at DP</text>
  </threadedComment>
  <threadedComment ref="AA70" dT="2025-01-23T05:35:01.59" personId="{436C6567-3A21-42FB-877A-CB2FEF21A7D6}" id="{C3B4BE6F-A697-45C4-A5D7-284C9E4E6328}">
    <text>20% at NTP</text>
  </threadedComment>
  <threadedComment ref="AD70" dT="2025-01-23T05:34:19.03" personId="{436C6567-3A21-42FB-877A-CB2FEF21A7D6}" id="{A20360F2-03DA-4348-AA6D-1A516BF0F085}">
    <text>40% at Module arrival</text>
  </threadedComment>
  <threadedComment ref="AG70" dT="2025-01-23T06:02:37.45" personId="{436C6567-3A21-42FB-877A-CB2FEF21A7D6}" id="{455AFADF-BF19-4D3A-9607-A22795528D7B}">
    <text>25% at Pre-use inspection</text>
  </threadedComment>
  <threadedComment ref="AJ70" dT="2025-01-23T05:34:19.03" personId="{436C6567-3A21-42FB-877A-CB2FEF21A7D6}" id="{81E053AF-853E-4D5E-9660-B4D5A3C2658C}">
    <text>5% at COD</text>
  </threadedComment>
  <threadedComment ref="X71" dT="2025-01-23T05:37:41.82" personId="{436C6567-3A21-42FB-877A-CB2FEF21A7D6}" id="{72770129-D961-488C-BE63-EE4411811ADC}">
    <text>40% at DP</text>
  </threadedComment>
  <threadedComment ref="AA71" dT="2025-01-23T05:37:41.82" personId="{436C6567-3A21-42FB-877A-CB2FEF21A7D6}" id="{EAA8B965-BF6E-4E19-BB48-177C21B9BA0C}">
    <text>30% at Pre-use Inspection</text>
  </threadedComment>
  <threadedComment ref="AD71" dT="2025-01-23T05:37:41.82" personId="{436C6567-3A21-42FB-877A-CB2FEF21A7D6}" id="{2DBC2B39-FB54-42E4-AF17-EBEDB0E6707B}">
    <text>30% at Pre-use Inspection</text>
  </threadedComment>
  <threadedComment ref="AG71" dT="2025-01-23T05:37:41.82" personId="{436C6567-3A21-42FB-877A-CB2FEF21A7D6}" id="{89F05FA2-5B0C-4975-AA93-AAF56B4131D0}">
    <text>10% at COD</text>
  </threadedComment>
  <threadedComment ref="X72" dT="2025-01-23T05:37:41.82" personId="{436C6567-3A21-42FB-877A-CB2FEF21A7D6}" id="{A67F22DE-C691-437D-A517-9BEE8EFDAF38}">
    <text>40% at DP</text>
  </threadedComment>
  <threadedComment ref="AA72" dT="2025-01-23T05:37:41.82" personId="{436C6567-3A21-42FB-877A-CB2FEF21A7D6}" id="{21A7425E-8BE2-46C5-8B04-A50CEAB3C985}">
    <text>20% at NTP</text>
  </threadedComment>
  <threadedComment ref="AD72" dT="2025-01-23T05:37:41.82" personId="{436C6567-3A21-42FB-877A-CB2FEF21A7D6}" id="{B9CB3358-3578-4C85-A9A9-5BB0F4F2E83D}">
    <text>30% at Pre-use Inspection</text>
  </threadedComment>
  <threadedComment ref="AG72" dT="2025-01-23T05:37:41.82" personId="{436C6567-3A21-42FB-877A-CB2FEF21A7D6}" id="{F6226795-328C-4730-B721-83E69838A50D}">
    <text>10% at COD</text>
  </threadedComment>
  <threadedComment ref="X73" dT="2025-01-23T05:37:41.82" personId="{436C6567-3A21-42FB-877A-CB2FEF21A7D6}" id="{FA8A4432-3B88-4F94-933C-1D9299DD38E4}">
    <text>40% at DP</text>
  </threadedComment>
  <threadedComment ref="AA73" dT="2025-01-23T05:37:41.82" personId="{436C6567-3A21-42FB-877A-CB2FEF21A7D6}" id="{86DF1725-993C-4C94-BF79-8F0145EF03B8}">
    <text>20% at NTP</text>
  </threadedComment>
  <threadedComment ref="AD73" dT="2025-01-23T05:37:41.82" personId="{436C6567-3A21-42FB-877A-CB2FEF21A7D6}" id="{EB399A52-891D-4D5A-B7CA-93268483494B}">
    <text>30% at Pre-use Inspection</text>
  </threadedComment>
  <threadedComment ref="AG73" dT="2025-01-23T05:37:41.82" personId="{436C6567-3A21-42FB-877A-CB2FEF21A7D6}" id="{31944C20-6B91-4CFC-B3AB-58DC7A42ACD8}">
    <text>10% at COD</text>
  </threadedComment>
  <threadedComment ref="X75" dT="2025-01-23T05:37:21.37" personId="{436C6567-3A21-42FB-877A-CB2FEF21A7D6}" id="{30FB09EB-C858-4FE4-869B-3F683C74A263}">
    <text>10% at DP</text>
  </threadedComment>
  <threadedComment ref="AA75" dT="2025-01-23T05:35:01.59" personId="{436C6567-3A21-42FB-877A-CB2FEF21A7D6}" id="{58AD402B-F454-45F3-9CC7-47B7E2F081F8}">
    <text>20% at NTP</text>
  </threadedComment>
  <threadedComment ref="AD75" dT="2025-01-23T05:34:19.03" personId="{436C6567-3A21-42FB-877A-CB2FEF21A7D6}" id="{C6D9D5AE-D8C1-4AAF-9A5B-33905D6B329B}">
    <text>40% at Module arrival</text>
  </threadedComment>
  <threadedComment ref="AG75" dT="2025-01-23T06:02:37.45" personId="{436C6567-3A21-42FB-877A-CB2FEF21A7D6}" id="{C79E42B2-312F-4B6D-8685-A4C91C29A204}">
    <text>25% at Pre-use inspection</text>
  </threadedComment>
  <threadedComment ref="AJ75" dT="2025-01-23T05:34:19.03" personId="{436C6567-3A21-42FB-877A-CB2FEF21A7D6}" id="{BB4410A3-FFAC-45A9-9216-81D0CD2C67A3}">
    <text>5% at COD</text>
  </threadedComment>
  <threadedComment ref="X76" dT="2025-01-23T05:37:41.82" personId="{436C6567-3A21-42FB-877A-CB2FEF21A7D6}" id="{2AC7E199-0994-421E-BC05-6CA9FAF4B359}">
    <text>40% at DP</text>
  </threadedComment>
  <threadedComment ref="AA76" dT="2025-01-23T05:37:41.82" personId="{436C6567-3A21-42FB-877A-CB2FEF21A7D6}" id="{4DFA6A75-2B1E-41D6-8ACA-2EBA60E48041}">
    <text>30% at Pre-use Inspection</text>
  </threadedComment>
  <threadedComment ref="AD76" dT="2025-01-23T05:37:41.82" personId="{436C6567-3A21-42FB-877A-CB2FEF21A7D6}" id="{B7B59997-469C-416B-89E0-67D4C4BDA81F}">
    <text>30% at Pre-use Inspection</text>
  </threadedComment>
  <threadedComment ref="AG76" dT="2025-01-23T05:37:41.82" personId="{436C6567-3A21-42FB-877A-CB2FEF21A7D6}" id="{F605388E-EAA9-4BFC-87ED-D13FC8F44C5D}">
    <text>10% at COD</text>
  </threadedComment>
  <threadedComment ref="X77" dT="2025-01-23T05:37:41.82" personId="{436C6567-3A21-42FB-877A-CB2FEF21A7D6}" id="{6224CCF6-32E6-455B-942A-3F17DE678337}">
    <text>40% at DP</text>
  </threadedComment>
  <threadedComment ref="AA77" dT="2025-01-23T05:37:41.82" personId="{436C6567-3A21-42FB-877A-CB2FEF21A7D6}" id="{9492553C-C5A5-4E81-8B1A-10289C7B0F89}">
    <text>20% at NTP</text>
  </threadedComment>
  <threadedComment ref="AD77" dT="2025-01-23T05:37:41.82" personId="{436C6567-3A21-42FB-877A-CB2FEF21A7D6}" id="{3819725D-10FF-47B4-9225-B2383DC1BC9D}">
    <text>30% at Pre-use Inspection</text>
  </threadedComment>
  <threadedComment ref="AG77" dT="2025-01-23T05:37:41.82" personId="{436C6567-3A21-42FB-877A-CB2FEF21A7D6}" id="{F3F5D0D1-82E4-4B54-B841-7AF83767B374}">
    <text>10% at COD</text>
  </threadedComment>
  <threadedComment ref="X78" dT="2025-01-23T05:37:41.82" personId="{436C6567-3A21-42FB-877A-CB2FEF21A7D6}" id="{E3C4C977-D753-41A5-ABDE-8429C7D99F98}">
    <text>40% at DP</text>
  </threadedComment>
  <threadedComment ref="AA78" dT="2025-01-23T05:37:41.82" personId="{436C6567-3A21-42FB-877A-CB2FEF21A7D6}" id="{BDC9EBF7-2B07-4EE8-BBEE-47574F5008F5}">
    <text>20% at NTP</text>
  </threadedComment>
  <threadedComment ref="AD78" dT="2025-01-23T05:37:41.82" personId="{436C6567-3A21-42FB-877A-CB2FEF21A7D6}" id="{C3582E26-1BF2-4027-912E-B0B3740ED347}">
    <text>30% at Pre-use Inspection</text>
  </threadedComment>
  <threadedComment ref="AG78" dT="2025-01-23T05:37:41.82" personId="{436C6567-3A21-42FB-877A-CB2FEF21A7D6}" id="{1B2E5A7C-12C0-4803-A5D9-245E450D59C0}">
    <text>10% at COD</text>
  </threadedComment>
  <threadedComment ref="X80" dT="2025-01-23T05:37:21.37" personId="{436C6567-3A21-42FB-877A-CB2FEF21A7D6}" id="{12D3CF08-585B-4B51-A4CE-7E3A535A0BF7}">
    <text>10% at DP</text>
  </threadedComment>
  <threadedComment ref="AA80" dT="2025-01-23T05:35:01.59" personId="{436C6567-3A21-42FB-877A-CB2FEF21A7D6}" id="{C224B984-AD57-4C52-AAC1-5644CB1A67C1}">
    <text>20% at NTP</text>
  </threadedComment>
  <threadedComment ref="AD80" dT="2025-01-23T05:34:19.03" personId="{436C6567-3A21-42FB-877A-CB2FEF21A7D6}" id="{FCBA6A9F-F3A9-4F43-AB4B-72A6B1A5FC3F}">
    <text>40% at Module arrival</text>
  </threadedComment>
  <threadedComment ref="AG80" dT="2025-01-23T06:02:37.45" personId="{436C6567-3A21-42FB-877A-CB2FEF21A7D6}" id="{E9C6ECC9-5E0B-43FC-93EC-DD257B949B9C}">
    <text>25% at Pre-use inspection</text>
  </threadedComment>
  <threadedComment ref="AJ80" dT="2025-01-23T05:34:19.03" personId="{436C6567-3A21-42FB-877A-CB2FEF21A7D6}" id="{1DC1F49F-B7B0-4087-AB9A-165476E70095}">
    <text>5% at COD</text>
  </threadedComment>
  <threadedComment ref="X81" dT="2025-01-23T05:37:41.82" personId="{436C6567-3A21-42FB-877A-CB2FEF21A7D6}" id="{FDB01882-1285-49F7-823B-D93D673745D8}">
    <text>40% at DP</text>
  </threadedComment>
  <threadedComment ref="AA81" dT="2025-01-23T05:37:41.82" personId="{436C6567-3A21-42FB-877A-CB2FEF21A7D6}" id="{402B01EE-FC2E-4DBD-91A3-A37D122D6DB7}">
    <text>30% at Pre-use Inspection</text>
  </threadedComment>
  <threadedComment ref="AD81" dT="2025-01-23T05:37:41.82" personId="{436C6567-3A21-42FB-877A-CB2FEF21A7D6}" id="{66660179-E902-4068-A683-F851C4167459}">
    <text>30% at Pre-use Inspection</text>
  </threadedComment>
  <threadedComment ref="AG81" dT="2025-01-23T05:37:41.82" personId="{436C6567-3A21-42FB-877A-CB2FEF21A7D6}" id="{04C5DCFB-DCE3-4957-8515-4CD7B8F95EC0}">
    <text>10% at COD</text>
  </threadedComment>
  <threadedComment ref="X82" dT="2025-01-23T05:37:41.82" personId="{436C6567-3A21-42FB-877A-CB2FEF21A7D6}" id="{EA9C623B-8E9C-4B43-9661-CF7CC90A2699}">
    <text>40% at DP</text>
  </threadedComment>
  <threadedComment ref="AA82" dT="2025-01-23T05:37:41.82" personId="{436C6567-3A21-42FB-877A-CB2FEF21A7D6}" id="{6ADDCB7D-5141-4473-A0A3-020222F385BD}">
    <text>20% at NTP</text>
  </threadedComment>
  <threadedComment ref="AD82" dT="2025-01-23T05:37:41.82" personId="{436C6567-3A21-42FB-877A-CB2FEF21A7D6}" id="{0942083A-D43F-4D54-961D-E513097FCF45}">
    <text>30% at Pre-use Inspection</text>
  </threadedComment>
  <threadedComment ref="AG82" dT="2025-01-23T05:37:41.82" personId="{436C6567-3A21-42FB-877A-CB2FEF21A7D6}" id="{BFD83380-DB89-41A1-84DE-430AECEA3743}">
    <text>10% at COD</text>
  </threadedComment>
  <threadedComment ref="X83" dT="2025-01-23T05:37:41.82" personId="{436C6567-3A21-42FB-877A-CB2FEF21A7D6}" id="{67139CC8-C616-415D-B97F-0ABF30C28AA1}">
    <text>40% at DP</text>
  </threadedComment>
  <threadedComment ref="AA83" dT="2025-01-23T05:37:41.82" personId="{436C6567-3A21-42FB-877A-CB2FEF21A7D6}" id="{6D695BE9-1AE5-45CE-9526-70CBB75D1363}">
    <text>20% at NTP</text>
  </threadedComment>
  <threadedComment ref="AD83" dT="2025-01-23T05:37:41.82" personId="{436C6567-3A21-42FB-877A-CB2FEF21A7D6}" id="{5C8EEF81-7BAA-40CE-B049-D0F5FB587107}">
    <text>30% at Pre-use Inspection</text>
  </threadedComment>
  <threadedComment ref="AG83" dT="2025-01-23T05:37:41.82" personId="{436C6567-3A21-42FB-877A-CB2FEF21A7D6}" id="{01CBB462-E5C6-4375-9593-69AEF14665A5}">
    <text>10% at COD</text>
  </threadedComment>
  <threadedComment ref="X85" dT="2025-01-23T05:37:21.37" personId="{436C6567-3A21-42FB-877A-CB2FEF21A7D6}" id="{7236C291-66C0-4CE3-BF47-6A625D2B1115}">
    <text>10% at DP</text>
  </threadedComment>
  <threadedComment ref="AA85" dT="2025-01-23T05:35:01.59" personId="{436C6567-3A21-42FB-877A-CB2FEF21A7D6}" id="{42DF5E39-A1D2-450C-BBD3-00838336D1FA}">
    <text>20% at NTP</text>
  </threadedComment>
  <threadedComment ref="AD85" dT="2025-01-23T05:34:19.03" personId="{436C6567-3A21-42FB-877A-CB2FEF21A7D6}" id="{6A5C009F-9421-4166-9C35-32B1510BD981}">
    <text>40% at Module arrival</text>
  </threadedComment>
  <threadedComment ref="AG85" dT="2025-01-23T06:02:37.45" personId="{436C6567-3A21-42FB-877A-CB2FEF21A7D6}" id="{9C525089-B99C-4488-972A-148B2BE7DB27}">
    <text>25% at Pre-use inspection</text>
  </threadedComment>
  <threadedComment ref="AJ85" dT="2025-01-23T05:34:19.03" personId="{436C6567-3A21-42FB-877A-CB2FEF21A7D6}" id="{BE3A1E0F-9EF9-4F41-8EEC-D5DB281DA92F}">
    <text>5% at COD</text>
  </threadedComment>
  <threadedComment ref="X86" dT="2025-01-23T05:37:41.82" personId="{436C6567-3A21-42FB-877A-CB2FEF21A7D6}" id="{B71A0F8C-7046-4F31-A0CF-D601A6FDC837}">
    <text>40% at DP</text>
  </threadedComment>
  <threadedComment ref="AA86" dT="2025-01-23T05:37:41.82" personId="{436C6567-3A21-42FB-877A-CB2FEF21A7D6}" id="{E6BCC79E-466A-4A54-B24A-22C3E71B19C8}">
    <text>30% at Pre-use Inspection</text>
  </threadedComment>
  <threadedComment ref="AD86" dT="2025-01-23T05:37:41.82" personId="{436C6567-3A21-42FB-877A-CB2FEF21A7D6}" id="{6C246B44-49E9-49AA-9B59-46B9E49D693E}">
    <text>30% at Pre-use Inspection</text>
  </threadedComment>
  <threadedComment ref="AG86" dT="2025-01-23T05:37:41.82" personId="{436C6567-3A21-42FB-877A-CB2FEF21A7D6}" id="{9206ACB9-D535-4D84-8C70-3A701A7182BA}">
    <text>10% at COD</text>
  </threadedComment>
  <threadedComment ref="X87" dT="2025-01-23T05:37:41.82" personId="{436C6567-3A21-42FB-877A-CB2FEF21A7D6}" id="{5FD0DDEF-4FBE-4A45-A7AC-A87EE73DEFEE}">
    <text>40% at DP</text>
  </threadedComment>
  <threadedComment ref="AA87" dT="2025-01-23T05:37:41.82" personId="{436C6567-3A21-42FB-877A-CB2FEF21A7D6}" id="{61558628-ADFE-45F3-B0C9-45D339CE8938}">
    <text>20% at NTP</text>
  </threadedComment>
  <threadedComment ref="AD87" dT="2025-01-23T05:37:41.82" personId="{436C6567-3A21-42FB-877A-CB2FEF21A7D6}" id="{55469D5D-3687-4AA9-BB86-5F2DF7434921}">
    <text>30% at Pre-use Inspection</text>
  </threadedComment>
  <threadedComment ref="AG87" dT="2025-01-23T05:37:41.82" personId="{436C6567-3A21-42FB-877A-CB2FEF21A7D6}" id="{9CED1B17-303B-4780-9A1E-2F1F7B2E3018}">
    <text>10% at COD</text>
  </threadedComment>
  <threadedComment ref="X88" dT="2025-01-23T05:37:41.82" personId="{436C6567-3A21-42FB-877A-CB2FEF21A7D6}" id="{DEEF078D-7B00-4810-AA10-4592ABF618C6}">
    <text>40% at DP</text>
  </threadedComment>
  <threadedComment ref="AA88" dT="2025-01-23T05:37:41.82" personId="{436C6567-3A21-42FB-877A-CB2FEF21A7D6}" id="{FADB046F-8603-4EF8-9870-2112D57C822E}">
    <text>20% at NTP</text>
  </threadedComment>
  <threadedComment ref="AD88" dT="2025-01-23T05:37:41.82" personId="{436C6567-3A21-42FB-877A-CB2FEF21A7D6}" id="{A35F5D96-BDF0-4042-A7D8-FCAEB8DA14E4}">
    <text>30% at Pre-use Inspection</text>
  </threadedComment>
  <threadedComment ref="AG88" dT="2025-01-23T05:37:41.82" personId="{436C6567-3A21-42FB-877A-CB2FEF21A7D6}" id="{DBFC6875-D9E2-4766-9FC3-A9917CFC6C01}">
    <text>10% at COD</text>
  </threadedComment>
  <threadedComment ref="X90" dT="2025-01-23T05:37:21.37" personId="{436C6567-3A21-42FB-877A-CB2FEF21A7D6}" id="{FBD86624-7299-4EB0-9557-93534298A087}">
    <text>10% at DP</text>
  </threadedComment>
  <threadedComment ref="AA90" dT="2025-01-23T05:35:01.59" personId="{436C6567-3A21-42FB-877A-CB2FEF21A7D6}" id="{7D089F5E-7EFA-45EB-B9EE-DDB8C0E86EB6}">
    <text>20% at NTP</text>
  </threadedComment>
  <threadedComment ref="AD90" dT="2025-01-23T05:34:19.03" personId="{436C6567-3A21-42FB-877A-CB2FEF21A7D6}" id="{51C4B678-56F4-47AF-B9A2-FC06B53DE26F}">
    <text>40% at Module arrival</text>
  </threadedComment>
  <threadedComment ref="AG90" dT="2025-01-23T06:02:37.45" personId="{436C6567-3A21-42FB-877A-CB2FEF21A7D6}" id="{A923CC57-9F08-48F5-A503-224A523264F2}">
    <text>25% at Pre-use inspection</text>
  </threadedComment>
  <threadedComment ref="AJ90" dT="2025-01-23T05:34:19.03" personId="{436C6567-3A21-42FB-877A-CB2FEF21A7D6}" id="{E5B37567-A27A-4E58-8846-8454A84406B0}">
    <text>5% at COD</text>
  </threadedComment>
  <threadedComment ref="X91" dT="2025-01-23T05:37:41.82" personId="{436C6567-3A21-42FB-877A-CB2FEF21A7D6}" id="{0F3BC050-B8F4-4FE6-A256-260B2B90A909}">
    <text>40% at DP</text>
  </threadedComment>
  <threadedComment ref="AA91" dT="2025-01-23T05:37:41.82" personId="{436C6567-3A21-42FB-877A-CB2FEF21A7D6}" id="{A1965CEB-5C87-4DC9-8A00-805CFA856823}">
    <text>30% at Pre-use Inspection</text>
  </threadedComment>
  <threadedComment ref="AD91" dT="2025-01-23T05:37:41.82" personId="{436C6567-3A21-42FB-877A-CB2FEF21A7D6}" id="{E876C877-B593-4B13-9A43-4D7A9A145E98}">
    <text>30% at Pre-use Inspection</text>
  </threadedComment>
  <threadedComment ref="AG91" dT="2025-01-23T05:37:41.82" personId="{436C6567-3A21-42FB-877A-CB2FEF21A7D6}" id="{DD93C86C-9F5C-420F-867B-7728E24D2D91}">
    <text>10% at COD</text>
  </threadedComment>
  <threadedComment ref="X92" dT="2025-01-23T05:37:41.82" personId="{436C6567-3A21-42FB-877A-CB2FEF21A7D6}" id="{6EF6A40F-66EF-4320-B2EC-65BC48600CAC}">
    <text>40% at DP</text>
  </threadedComment>
  <threadedComment ref="AA92" dT="2025-01-23T05:37:41.82" personId="{436C6567-3A21-42FB-877A-CB2FEF21A7D6}" id="{7C0B4E19-05AB-431E-8BC2-482C97EF1AB3}">
    <text>20% at NTP</text>
  </threadedComment>
  <threadedComment ref="AD92" dT="2025-01-23T05:37:41.82" personId="{436C6567-3A21-42FB-877A-CB2FEF21A7D6}" id="{CBFA28EF-C23F-4453-A78C-0937B84A4AB0}">
    <text>30% at Pre-use Inspection</text>
  </threadedComment>
  <threadedComment ref="AG92" dT="2025-01-23T05:37:41.82" personId="{436C6567-3A21-42FB-877A-CB2FEF21A7D6}" id="{FA0E047C-ADAC-4F8E-A969-E32FCC7BD68A}">
    <text>10% at COD</text>
  </threadedComment>
  <threadedComment ref="X93" dT="2025-01-23T05:37:41.82" personId="{436C6567-3A21-42FB-877A-CB2FEF21A7D6}" id="{24979B58-370B-4501-912D-51513341EB91}">
    <text>40% at DP</text>
  </threadedComment>
  <threadedComment ref="AA93" dT="2025-01-23T05:37:41.82" personId="{436C6567-3A21-42FB-877A-CB2FEF21A7D6}" id="{51A0750A-1E99-4E3B-A298-1EB7627A4263}">
    <text>20% at NTP</text>
  </threadedComment>
  <threadedComment ref="AD93" dT="2025-01-23T05:37:41.82" personId="{436C6567-3A21-42FB-877A-CB2FEF21A7D6}" id="{AF74C131-1E65-48B0-B679-C2A66B6885C6}">
    <text>30% at Pre-use Inspection</text>
  </threadedComment>
  <threadedComment ref="AG93" dT="2025-01-23T05:37:41.82" personId="{436C6567-3A21-42FB-877A-CB2FEF21A7D6}" id="{20C8FAC2-F85F-4042-ABE8-B3C02372FE1B}">
    <text>10% at COD</text>
  </threadedComment>
</ThreadedComments>
</file>

<file path=xl/threadedComments/threadedComment8.xml><?xml version="1.0" encoding="utf-8"?>
<ThreadedComments xmlns="http://schemas.microsoft.com/office/spreadsheetml/2018/threadedcomments" xmlns:x="http://schemas.openxmlformats.org/spreadsheetml/2006/main">
  <threadedComment ref="L3" dT="2025-03-17T01:14:59.97" personId="{C7196D56-78D4-4D72-A93B-A73E12FA0000}" id="{235AA391-DD5D-41BD-953F-6277FFB90A9E}">
    <text>This IRR is an estimate based on the Greenvolt sensitivity analysis methodology.</text>
  </threadedComment>
  <threadedComment ref="W5" dT="2025-01-23T06:34:17.33" personId="{436C6567-3A21-42FB-877A-CB2FEF21A7D6}" id="{EA81F11C-BC6C-42F4-9D6A-21106F2CAF49}">
    <text>10% at DP</text>
  </threadedComment>
  <threadedComment ref="AB5" dT="2025-01-23T05:35:01.59" personId="{436C6567-3A21-42FB-877A-CB2FEF21A7D6}" id="{FE28315D-1FCC-4D82-B602-11B78D544F2C}">
    <text>20% at NTP</text>
  </threadedComment>
  <threadedComment ref="AE5" dT="2025-01-23T05:34:19.03" personId="{436C6567-3A21-42FB-877A-CB2FEF21A7D6}" id="{B48F065B-9287-472F-ADEB-6F4491B063DD}">
    <text xml:space="preserve">40% at Module arrival
</text>
  </threadedComment>
  <threadedComment ref="AH5" dT="2025-01-23T05:34:19.03" personId="{436C6567-3A21-42FB-877A-CB2FEF21A7D6}" id="{30F6822B-3081-443E-929B-3DC696F45406}">
    <text>25% at Pre-use inspection</text>
  </threadedComment>
  <threadedComment ref="AK5" dT="2025-01-23T05:34:19.03" personId="{436C6567-3A21-42FB-877A-CB2FEF21A7D6}" id="{89082B84-CDE4-46AF-ACA4-4B119851AD44}">
    <text>5% at COD</text>
  </threadedComment>
  <threadedComment ref="W6" dT="2025-01-23T05:37:41.82" personId="{436C6567-3A21-42FB-877A-CB2FEF21A7D6}" id="{7FDB4A81-7B6F-4978-B778-FA0C09624BC4}">
    <text>40% at DP</text>
  </threadedComment>
  <threadedComment ref="AB6" dT="2025-01-23T06:26:18.61" personId="{436C6567-3A21-42FB-877A-CB2FEF21A7D6}" id="{6AA491F2-F068-45A9-9A82-8783A4BD200A}">
    <text>20% at EBL</text>
  </threadedComment>
  <threadedComment ref="AE6" dT="2025-01-23T06:26:18.61" personId="{436C6567-3A21-42FB-877A-CB2FEF21A7D6}" id="{FDDD44F3-8958-4BC2-8681-0A6D34771BE4}">
    <text>50% at DAP</text>
  </threadedComment>
  <threadedComment ref="AH6" dT="2025-01-23T06:26:18.61" personId="{436C6567-3A21-42FB-877A-CB2FEF21A7D6}" id="{50318EB4-E4B2-456B-A4E4-7AECED5F8E99}">
    <text>10% at COD</text>
  </threadedComment>
  <threadedComment ref="W7" dT="2025-01-23T05:37:41.82" personId="{436C6567-3A21-42FB-877A-CB2FEF21A7D6}" id="{549E239B-072E-42FF-B584-5061503444BE}">
    <text>40% at DP</text>
  </threadedComment>
  <threadedComment ref="W8" dT="2025-01-23T05:37:41.82" personId="{436C6567-3A21-42FB-877A-CB2FEF21A7D6}" id="{1C3A4C32-4B04-41AF-BA7E-21F76B2C0974}">
    <text>40% at DP</text>
  </threadedComment>
  <threadedComment ref="AB8" dT="2025-01-23T06:26:18.61" personId="{436C6567-3A21-42FB-877A-CB2FEF21A7D6}" id="{A6F728B8-1E30-4CDE-923B-E66A8225DA3A}">
    <text>20% at EBL</text>
  </threadedComment>
  <threadedComment ref="AE8" dT="2025-01-23T06:26:18.61" personId="{436C6567-3A21-42FB-877A-CB2FEF21A7D6}" id="{D33DCC45-D5DD-4048-880A-7D51FC4D2309}">
    <text>50% at DAP</text>
  </threadedComment>
  <threadedComment ref="AH8" dT="2025-01-23T06:26:18.61" personId="{436C6567-3A21-42FB-877A-CB2FEF21A7D6}" id="{57592674-99B8-430B-9920-0FDFAFBBC6E3}">
    <text>10% at COD</text>
  </threadedComment>
  <threadedComment ref="W10" dT="2025-01-23T06:34:17.33" personId="{436C6567-3A21-42FB-877A-CB2FEF21A7D6}" id="{378D149E-272E-4D09-AFCA-5857344874C4}">
    <text>10% at DP</text>
  </threadedComment>
  <threadedComment ref="AB10" dT="2025-01-23T05:35:01.59" personId="{436C6567-3A21-42FB-877A-CB2FEF21A7D6}" id="{092F2A45-790E-4B20-A0DE-395F1B58C02B}">
    <text>20% at NTP</text>
  </threadedComment>
  <threadedComment ref="AE10" dT="2025-01-23T05:34:19.03" personId="{436C6567-3A21-42FB-877A-CB2FEF21A7D6}" id="{70C51413-FC02-427F-84AF-7107800B4540}">
    <text xml:space="preserve">40% at Module arrival
</text>
  </threadedComment>
  <threadedComment ref="AH10" dT="2025-01-23T05:34:19.03" personId="{436C6567-3A21-42FB-877A-CB2FEF21A7D6}" id="{1E8E383D-0EF4-4079-A719-89FBF7BF654F}">
    <text>25% at Pre-use inspection</text>
  </threadedComment>
  <threadedComment ref="AK10" dT="2025-01-23T05:34:19.03" personId="{436C6567-3A21-42FB-877A-CB2FEF21A7D6}" id="{62958F52-968F-47A5-9903-6F4C73543060}">
    <text>5% at COD</text>
  </threadedComment>
  <threadedComment ref="W11" dT="2025-01-23T05:37:41.82" personId="{436C6567-3A21-42FB-877A-CB2FEF21A7D6}" id="{F0B03E94-64D6-4048-AF8C-0BB0DBD67020}">
    <text>40% at DP</text>
  </threadedComment>
  <threadedComment ref="AB11" dT="2025-01-23T06:26:18.61" personId="{436C6567-3A21-42FB-877A-CB2FEF21A7D6}" id="{C242ED75-1575-4D77-B104-D53F6FB22CC2}">
    <text>20% at EBL</text>
  </threadedComment>
  <threadedComment ref="AE11" dT="2025-01-23T06:26:18.61" personId="{436C6567-3A21-42FB-877A-CB2FEF21A7D6}" id="{099266E7-A1CB-4283-81A9-1D501601A50D}">
    <text>50% at DAP</text>
  </threadedComment>
  <threadedComment ref="AH11" dT="2025-01-23T06:26:18.61" personId="{436C6567-3A21-42FB-877A-CB2FEF21A7D6}" id="{25A8B653-1BC1-49DA-9570-F8C033C4C595}">
    <text>10% at COD</text>
  </threadedComment>
  <threadedComment ref="W12" dT="2025-01-23T05:37:41.82" personId="{436C6567-3A21-42FB-877A-CB2FEF21A7D6}" id="{1D6F4B9C-2D64-467C-83B0-FADC02C628F3}">
    <text>40% at DP</text>
  </threadedComment>
  <threadedComment ref="W13" dT="2025-01-23T05:37:41.82" personId="{436C6567-3A21-42FB-877A-CB2FEF21A7D6}" id="{8796943F-098C-41AE-8657-5763DDB6BA8C}">
    <text>40% at DP</text>
  </threadedComment>
  <threadedComment ref="AB13" dT="2025-01-23T06:26:18.61" personId="{436C6567-3A21-42FB-877A-CB2FEF21A7D6}" id="{EF06EE57-6CDC-4E97-9C09-2499C8107F69}">
    <text>20% at EBL</text>
  </threadedComment>
  <threadedComment ref="AE13" dT="2025-01-23T06:26:18.61" personId="{436C6567-3A21-42FB-877A-CB2FEF21A7D6}" id="{D1A298D2-587F-4BD2-A258-F42B039E92CD}">
    <text>50% at DAP</text>
  </threadedComment>
  <threadedComment ref="AH13" dT="2025-01-23T06:26:18.61" personId="{436C6567-3A21-42FB-877A-CB2FEF21A7D6}" id="{4BC8E8DB-F0FB-4709-BDF2-C6A463B46F87}">
    <text>10% at COD</text>
  </threadedComment>
  <threadedComment ref="W15" dT="2025-01-23T06:34:17.33" personId="{436C6567-3A21-42FB-877A-CB2FEF21A7D6}" id="{45489F02-DF3A-4DB8-9A69-A396E9DD221D}">
    <text>10% at DP</text>
  </threadedComment>
  <threadedComment ref="AB15" dT="2025-01-23T05:35:01.59" personId="{436C6567-3A21-42FB-877A-CB2FEF21A7D6}" id="{7F9D072C-D9CE-4899-B347-75D5083FDC8D}">
    <text>20% at NTP</text>
  </threadedComment>
  <threadedComment ref="AE15" dT="2025-01-23T05:34:19.03" personId="{436C6567-3A21-42FB-877A-CB2FEF21A7D6}" id="{9FC9C6AD-3AEB-4E20-9CD9-93BE2B8EFA87}">
    <text xml:space="preserve">40% at Module arrival
</text>
  </threadedComment>
  <threadedComment ref="AH15" dT="2025-01-23T05:34:19.03" personId="{436C6567-3A21-42FB-877A-CB2FEF21A7D6}" id="{2AAEA056-97C6-4F68-A626-8AEF67A2C70F}">
    <text>25% at Pre-use inspection</text>
  </threadedComment>
  <threadedComment ref="AK15" dT="2025-01-23T05:34:19.03" personId="{436C6567-3A21-42FB-877A-CB2FEF21A7D6}" id="{D49B3434-6D9F-4175-8A5E-BEE63BAA6116}">
    <text>5% at COD</text>
  </threadedComment>
  <threadedComment ref="W16" dT="2025-01-23T05:37:41.82" personId="{436C6567-3A21-42FB-877A-CB2FEF21A7D6}" id="{BEE31DED-999D-4D77-8C94-ED507D9C8906}">
    <text>40% at DP</text>
  </threadedComment>
  <threadedComment ref="AB16" dT="2025-01-23T06:26:18.61" personId="{436C6567-3A21-42FB-877A-CB2FEF21A7D6}" id="{9867688A-2E1E-4CA2-BC7C-F06EAF41A51A}">
    <text>20% at EBL</text>
  </threadedComment>
  <threadedComment ref="AE16" dT="2025-01-23T06:26:18.61" personId="{436C6567-3A21-42FB-877A-CB2FEF21A7D6}" id="{327EFCA5-AF4B-47EB-A7D1-46E695FA73A3}">
    <text>50% at DAP</text>
  </threadedComment>
  <threadedComment ref="AH16" dT="2025-01-23T06:26:18.61" personId="{436C6567-3A21-42FB-877A-CB2FEF21A7D6}" id="{5219EF5E-11AE-4200-A4A0-8F3D32BFFAB8}">
    <text>10% at COD</text>
  </threadedComment>
  <threadedComment ref="W17" dT="2025-01-23T05:37:41.82" personId="{436C6567-3A21-42FB-877A-CB2FEF21A7D6}" id="{06984014-49E2-4A83-8141-F5866FFD7211}">
    <text>40% at DP</text>
  </threadedComment>
  <threadedComment ref="W18" dT="2025-01-23T05:37:41.82" personId="{436C6567-3A21-42FB-877A-CB2FEF21A7D6}" id="{8EF369D0-E353-46AE-9BC7-89CE4D6584AF}">
    <text>40% at DP</text>
  </threadedComment>
  <threadedComment ref="AB18" dT="2025-01-23T06:26:18.61" personId="{436C6567-3A21-42FB-877A-CB2FEF21A7D6}" id="{B73E3A75-8DA7-4F2C-9045-58AD5F49B7E3}">
    <text>20% at EBL</text>
  </threadedComment>
  <threadedComment ref="AE18" dT="2025-01-23T06:26:18.61" personId="{436C6567-3A21-42FB-877A-CB2FEF21A7D6}" id="{904AE47E-3B94-4C8E-88F9-C00ED89C34E8}">
    <text>50% at DAP</text>
  </threadedComment>
  <threadedComment ref="AH18" dT="2025-01-23T06:26:18.61" personId="{436C6567-3A21-42FB-877A-CB2FEF21A7D6}" id="{C367A8A6-4669-424F-8279-9FF24E718652}">
    <text>10% at COD</text>
  </threadedComment>
  <threadedComment ref="W20" dT="2025-01-23T06:34:17.33" personId="{436C6567-3A21-42FB-877A-CB2FEF21A7D6}" id="{98AE5DF1-0303-4ED9-A846-0CAA9C5A117C}">
    <text>10% at DP</text>
  </threadedComment>
  <threadedComment ref="AB20" dT="2025-01-23T05:35:01.59" personId="{436C6567-3A21-42FB-877A-CB2FEF21A7D6}" id="{CBC667C7-B2D6-4AAA-9C26-DA220F497632}">
    <text>20% at NTP</text>
  </threadedComment>
  <threadedComment ref="AE20" dT="2025-01-23T05:34:19.03" personId="{436C6567-3A21-42FB-877A-CB2FEF21A7D6}" id="{6ACF3C8A-4198-435E-9035-868AD621C461}">
    <text xml:space="preserve">40% at Module arrival
</text>
  </threadedComment>
  <threadedComment ref="AH20" dT="2025-01-23T05:34:19.03" personId="{436C6567-3A21-42FB-877A-CB2FEF21A7D6}" id="{6BFE4D0D-1CBF-40B3-B4C5-CB6AEA0E3026}">
    <text>25% at Pre-use inspection</text>
  </threadedComment>
  <threadedComment ref="AK20" dT="2025-01-23T05:34:19.03" personId="{436C6567-3A21-42FB-877A-CB2FEF21A7D6}" id="{B3A2B195-EA55-48AC-95E6-9B9F3E85F230}">
    <text>5% at COD</text>
  </threadedComment>
  <threadedComment ref="W21" dT="2025-01-23T05:37:41.82" personId="{436C6567-3A21-42FB-877A-CB2FEF21A7D6}" id="{FAD21E91-2FEE-4BBE-8405-BDA73234A0B2}">
    <text>40% at DP</text>
  </threadedComment>
  <threadedComment ref="AB21" dT="2025-01-23T06:26:18.61" personId="{436C6567-3A21-42FB-877A-CB2FEF21A7D6}" id="{1D60500C-6FC5-4E03-8079-12C128544196}">
    <text>20% at EBL</text>
  </threadedComment>
  <threadedComment ref="AE21" dT="2025-01-23T06:26:18.61" personId="{436C6567-3A21-42FB-877A-CB2FEF21A7D6}" id="{CB6DB724-2C6B-41B5-8E24-B5D0DBEC60C3}">
    <text>50% at DAP</text>
  </threadedComment>
  <threadedComment ref="AH21" dT="2025-01-23T06:26:18.61" personId="{436C6567-3A21-42FB-877A-CB2FEF21A7D6}" id="{6A5EC986-31CC-43D2-A9D0-D50121706EBF}">
    <text>10% at COD</text>
  </threadedComment>
  <threadedComment ref="W22" dT="2025-01-23T05:37:41.82" personId="{436C6567-3A21-42FB-877A-CB2FEF21A7D6}" id="{53C80FFB-3A81-4CBA-8351-82E6B7BBBEE7}">
    <text>40% at DP</text>
  </threadedComment>
  <threadedComment ref="W23" dT="2025-01-23T05:37:41.82" personId="{436C6567-3A21-42FB-877A-CB2FEF21A7D6}" id="{DF9B26C2-AB96-4FE3-8CE5-7EB4594D9774}">
    <text>40% at DP</text>
  </threadedComment>
  <threadedComment ref="AB23" dT="2025-01-23T06:26:18.61" personId="{436C6567-3A21-42FB-877A-CB2FEF21A7D6}" id="{5E1D1161-6469-4119-9A2E-D8506232221C}">
    <text>20% at EBL</text>
  </threadedComment>
  <threadedComment ref="AE23" dT="2025-01-23T06:26:18.61" personId="{436C6567-3A21-42FB-877A-CB2FEF21A7D6}" id="{115FC0CF-E976-49F4-B192-EC14ADEDC201}">
    <text>50% at DAP</text>
  </threadedComment>
  <threadedComment ref="AH23" dT="2025-01-23T06:26:18.61" personId="{436C6567-3A21-42FB-877A-CB2FEF21A7D6}" id="{07634944-332B-4866-BF03-12685BC50650}">
    <text>10% at COD</text>
  </threadedComment>
  <threadedComment ref="W25" dT="2025-01-23T06:34:17.33" personId="{436C6567-3A21-42FB-877A-CB2FEF21A7D6}" id="{D99188AE-1002-438A-8E36-4554D4FFF37B}">
    <text>10% at DP</text>
  </threadedComment>
  <threadedComment ref="AB25" dT="2025-01-23T05:35:01.59" personId="{436C6567-3A21-42FB-877A-CB2FEF21A7D6}" id="{3318948C-5E6B-480A-B06C-A4DC869E3DA7}">
    <text>20% at NTP</text>
  </threadedComment>
  <threadedComment ref="AE25" dT="2025-01-23T05:34:19.03" personId="{436C6567-3A21-42FB-877A-CB2FEF21A7D6}" id="{A6764975-50BF-41BF-A281-0CF31D79176C}">
    <text xml:space="preserve">40% at Module arrival
</text>
  </threadedComment>
  <threadedComment ref="AH25" dT="2025-01-23T05:34:19.03" personId="{436C6567-3A21-42FB-877A-CB2FEF21A7D6}" id="{116679A1-AA5A-47B3-BA1D-622B72869770}">
    <text>25% at Pre-use inspection</text>
  </threadedComment>
  <threadedComment ref="AK25" dT="2025-01-23T05:34:19.03" personId="{436C6567-3A21-42FB-877A-CB2FEF21A7D6}" id="{FDDD7F9F-732E-45EA-B001-728CB04B27A7}">
    <text>5% at COD</text>
  </threadedComment>
  <threadedComment ref="W26" dT="2025-01-23T05:37:41.82" personId="{436C6567-3A21-42FB-877A-CB2FEF21A7D6}" id="{EA5161FA-B24E-4B31-90C9-13C31ED442E8}">
    <text>40% at DP</text>
  </threadedComment>
  <threadedComment ref="AB26" dT="2025-01-23T06:26:18.61" personId="{436C6567-3A21-42FB-877A-CB2FEF21A7D6}" id="{E0D13F91-0AE5-4A8F-95CA-2F1048F3D236}">
    <text>20% at EBL</text>
  </threadedComment>
  <threadedComment ref="AE26" dT="2025-01-23T06:26:18.61" personId="{436C6567-3A21-42FB-877A-CB2FEF21A7D6}" id="{1A5D65BE-95F8-408F-BEED-1A10E8DD5FC8}">
    <text>50% at DAP</text>
  </threadedComment>
  <threadedComment ref="AH26" dT="2025-01-23T06:26:18.61" personId="{436C6567-3A21-42FB-877A-CB2FEF21A7D6}" id="{334818F6-DBDC-4015-BFC6-1AE74C9C5EF7}">
    <text>10% at COD</text>
  </threadedComment>
  <threadedComment ref="W27" dT="2025-01-23T05:37:41.82" personId="{436C6567-3A21-42FB-877A-CB2FEF21A7D6}" id="{31AAFB7E-EBE1-4F95-901C-C8D853D35596}">
    <text>40% at DP</text>
  </threadedComment>
  <threadedComment ref="W28" dT="2025-01-23T05:37:41.82" personId="{436C6567-3A21-42FB-877A-CB2FEF21A7D6}" id="{6A12640B-828B-4F43-8D85-3F734C70F20B}">
    <text>40% at DP</text>
  </threadedComment>
  <threadedComment ref="AB28" dT="2025-01-23T06:26:18.61" personId="{436C6567-3A21-42FB-877A-CB2FEF21A7D6}" id="{68713127-AB76-459E-B83F-831EA38A4326}">
    <text>20% at EBL</text>
  </threadedComment>
  <threadedComment ref="AE28" dT="2025-01-23T06:26:18.61" personId="{436C6567-3A21-42FB-877A-CB2FEF21A7D6}" id="{147695DE-7BF0-4A53-84F2-ED4341D3E8C6}">
    <text>50% at DAP</text>
  </threadedComment>
  <threadedComment ref="AH28" dT="2025-01-23T06:26:18.61" personId="{436C6567-3A21-42FB-877A-CB2FEF21A7D6}" id="{6090B211-4C82-4A5E-9642-C8A3DF6BCE6B}">
    <text>10% at COD</text>
  </threadedComment>
  <threadedComment ref="W30" dT="2025-01-23T06:34:17.33" personId="{436C6567-3A21-42FB-877A-CB2FEF21A7D6}" id="{B3445AB0-89FD-4B18-863F-79075E190041}">
    <text>10% at DP</text>
  </threadedComment>
  <threadedComment ref="AB30" dT="2025-01-23T05:35:01.59" personId="{436C6567-3A21-42FB-877A-CB2FEF21A7D6}" id="{4DB66F9B-5E48-4112-A218-44A3F4236D7B}">
    <text>20% at NTP</text>
  </threadedComment>
  <threadedComment ref="AE30" dT="2025-01-23T05:34:19.03" personId="{436C6567-3A21-42FB-877A-CB2FEF21A7D6}" id="{B21CF2B4-57F4-41A7-A58F-0890468C5396}">
    <text xml:space="preserve">40% at Module arrival
</text>
  </threadedComment>
  <threadedComment ref="AH30" dT="2025-01-23T05:34:19.03" personId="{436C6567-3A21-42FB-877A-CB2FEF21A7D6}" id="{C75DA611-043C-4B0C-A26A-199591099322}">
    <text>25% at Pre-use inspection</text>
  </threadedComment>
  <threadedComment ref="AK30" dT="2025-01-23T05:34:19.03" personId="{436C6567-3A21-42FB-877A-CB2FEF21A7D6}" id="{2AC7BE8D-792B-4A44-886D-0E1F5B0C2313}">
    <text>5% at COD</text>
  </threadedComment>
  <threadedComment ref="W31" dT="2025-01-23T05:37:41.82" personId="{436C6567-3A21-42FB-877A-CB2FEF21A7D6}" id="{42CB7015-E92E-43D9-9ABB-490506D65499}">
    <text>40% at DP</text>
  </threadedComment>
  <threadedComment ref="AB31" dT="2025-01-23T06:26:18.61" personId="{436C6567-3A21-42FB-877A-CB2FEF21A7D6}" id="{0042256E-10F1-4FA1-8CAA-B49528D841E3}">
    <text>20% at EBL</text>
  </threadedComment>
  <threadedComment ref="AE31" dT="2025-01-23T06:26:18.61" personId="{436C6567-3A21-42FB-877A-CB2FEF21A7D6}" id="{16D584D0-4752-425C-98C7-3B63052194CC}">
    <text>50% at DAP</text>
  </threadedComment>
  <threadedComment ref="AH31" dT="2025-01-23T06:26:18.61" personId="{436C6567-3A21-42FB-877A-CB2FEF21A7D6}" id="{1B55A838-745B-4D2B-B756-067C68903471}">
    <text>10% at COD</text>
  </threadedComment>
  <threadedComment ref="W32" dT="2025-01-23T05:37:41.82" personId="{436C6567-3A21-42FB-877A-CB2FEF21A7D6}" id="{BB3CF569-9C75-47E1-A0B4-968A2A687F80}">
    <text>40% at DP</text>
  </threadedComment>
  <threadedComment ref="W33" dT="2025-01-23T05:37:41.82" personId="{436C6567-3A21-42FB-877A-CB2FEF21A7D6}" id="{29C398CB-7907-446A-9B9C-3F4635171D55}">
    <text>40% at DP</text>
  </threadedComment>
  <threadedComment ref="AB33" dT="2025-01-23T06:26:18.61" personId="{436C6567-3A21-42FB-877A-CB2FEF21A7D6}" id="{87819A40-2DAE-46C2-B7F0-89261661F192}">
    <text>20% at EBL</text>
  </threadedComment>
  <threadedComment ref="AE33" dT="2025-01-23T06:26:18.61" personId="{436C6567-3A21-42FB-877A-CB2FEF21A7D6}" id="{118BE970-2A4A-43CF-8B0C-20EC1BF766B0}">
    <text>50% at DAP</text>
  </threadedComment>
  <threadedComment ref="AH33" dT="2025-01-23T06:26:18.61" personId="{436C6567-3A21-42FB-877A-CB2FEF21A7D6}" id="{F8446E68-3E6E-4224-8C01-69C41CF09680}">
    <text>10% at COD</text>
  </threadedComment>
  <threadedComment ref="W35" dT="2025-01-23T06:34:17.33" personId="{436C6567-3A21-42FB-877A-CB2FEF21A7D6}" id="{9B40D294-28C9-4382-A859-63F102B0472F}">
    <text>10% at DP</text>
  </threadedComment>
  <threadedComment ref="AB35" dT="2025-01-23T05:35:01.59" personId="{436C6567-3A21-42FB-877A-CB2FEF21A7D6}" id="{549F4653-565A-4957-8A6A-75FC4EE7E32F}">
    <text>20% at NTP</text>
  </threadedComment>
  <threadedComment ref="AE35" dT="2025-01-23T05:34:19.03" personId="{436C6567-3A21-42FB-877A-CB2FEF21A7D6}" id="{0468DEB3-B970-419D-83BB-4F9BE9D63E1C}">
    <text xml:space="preserve">40% at Module arrival
</text>
  </threadedComment>
  <threadedComment ref="AH35" dT="2025-01-23T05:34:19.03" personId="{436C6567-3A21-42FB-877A-CB2FEF21A7D6}" id="{9891BA4F-7FB2-48C9-9C4B-5692BEB55880}">
    <text>25% at Pre-use inspection</text>
  </threadedComment>
  <threadedComment ref="AK35" dT="2025-01-23T05:34:19.03" personId="{436C6567-3A21-42FB-877A-CB2FEF21A7D6}" id="{A0188ABA-A1A6-4789-9E1E-B5A86438452A}">
    <text>5% at COD</text>
  </threadedComment>
  <threadedComment ref="W36" dT="2025-01-23T05:37:41.82" personId="{436C6567-3A21-42FB-877A-CB2FEF21A7D6}" id="{901328FF-51B3-475D-A881-F6C20B2C9271}">
    <text>40% at DP</text>
  </threadedComment>
  <threadedComment ref="AB36" dT="2025-01-23T06:26:18.61" personId="{436C6567-3A21-42FB-877A-CB2FEF21A7D6}" id="{62BBAE9E-BEA1-4BC0-BBBF-949E1B5AFF2D}">
    <text>20% at EBL</text>
  </threadedComment>
  <threadedComment ref="AE36" dT="2025-01-23T06:26:18.61" personId="{436C6567-3A21-42FB-877A-CB2FEF21A7D6}" id="{D2547816-1E7F-425C-B324-7A9AD862ED18}">
    <text>50% at DAP</text>
  </threadedComment>
  <threadedComment ref="AH36" dT="2025-01-23T06:26:18.61" personId="{436C6567-3A21-42FB-877A-CB2FEF21A7D6}" id="{5367AC17-6269-49E5-8424-3B88E1B34726}">
    <text>10% at COD</text>
  </threadedComment>
  <threadedComment ref="W37" dT="2025-01-23T05:37:41.82" personId="{436C6567-3A21-42FB-877A-CB2FEF21A7D6}" id="{CBC2D988-4D91-441D-A4C4-2F94558ACF71}">
    <text>40% at DP</text>
  </threadedComment>
  <threadedComment ref="W38" dT="2025-01-23T05:37:41.82" personId="{436C6567-3A21-42FB-877A-CB2FEF21A7D6}" id="{9E3CE812-065E-4E12-8E79-D2FE528C598F}">
    <text>40% at DP</text>
  </threadedComment>
  <threadedComment ref="AB38" dT="2025-01-23T06:26:18.61" personId="{436C6567-3A21-42FB-877A-CB2FEF21A7D6}" id="{9D73DE08-A5AD-4795-A2DE-5749D6C0CB1D}">
    <text>20% at EBL</text>
  </threadedComment>
  <threadedComment ref="AE38" dT="2025-01-23T06:26:18.61" personId="{436C6567-3A21-42FB-877A-CB2FEF21A7D6}" id="{318CB508-1624-4B34-80A8-134D4C0D9394}">
    <text>50% at DAP</text>
  </threadedComment>
  <threadedComment ref="AH38" dT="2025-01-23T06:26:18.61" personId="{436C6567-3A21-42FB-877A-CB2FEF21A7D6}" id="{7A89EF2F-6203-4886-AED2-703730681CEF}">
    <text>10% at COD</text>
  </threadedComment>
  <threadedComment ref="W40" dT="2025-01-23T06:34:17.33" personId="{436C6567-3A21-42FB-877A-CB2FEF21A7D6}" id="{0C308566-1B8A-46C3-A0D3-267DD5822489}">
    <text>10% at DP</text>
  </threadedComment>
  <threadedComment ref="AB40" dT="2025-01-23T05:35:01.59" personId="{436C6567-3A21-42FB-877A-CB2FEF21A7D6}" id="{243653EE-ADB1-4A65-94B9-AADF7BB3C40C}">
    <text>20% at NTP</text>
  </threadedComment>
  <threadedComment ref="AE40" dT="2025-01-23T05:34:19.03" personId="{436C6567-3A21-42FB-877A-CB2FEF21A7D6}" id="{6DFF219D-E9A7-4C31-9595-375D3C054CB6}">
    <text xml:space="preserve">40% at Module arrival
</text>
  </threadedComment>
  <threadedComment ref="AH40" dT="2025-01-23T05:34:19.03" personId="{436C6567-3A21-42FB-877A-CB2FEF21A7D6}" id="{2367AE2D-33DE-46CC-9D20-86DFC8ADF8BF}">
    <text>25% at Pre-use inspection</text>
  </threadedComment>
  <threadedComment ref="AK40" dT="2025-01-23T05:34:19.03" personId="{436C6567-3A21-42FB-877A-CB2FEF21A7D6}" id="{4CA0E126-0C56-4578-A1B0-33376C8AFF94}">
    <text>5% at COD</text>
  </threadedComment>
  <threadedComment ref="W41" dT="2025-01-23T05:37:41.82" personId="{436C6567-3A21-42FB-877A-CB2FEF21A7D6}" id="{E91F9113-937E-41A3-9FAA-31D6195100E4}">
    <text>40% at DP</text>
  </threadedComment>
  <threadedComment ref="AB41" dT="2025-01-23T06:26:18.61" personId="{436C6567-3A21-42FB-877A-CB2FEF21A7D6}" id="{6482C76A-96D5-4575-8B58-60F2A0305DA9}">
    <text>20% at EBL</text>
  </threadedComment>
  <threadedComment ref="AE41" dT="2025-01-23T06:26:18.61" personId="{436C6567-3A21-42FB-877A-CB2FEF21A7D6}" id="{73EE1938-2DD0-41C7-806E-7A70AF37566E}">
    <text>50% at DAP</text>
  </threadedComment>
  <threadedComment ref="AH41" dT="2025-01-23T06:26:18.61" personId="{436C6567-3A21-42FB-877A-CB2FEF21A7D6}" id="{9B42AF26-8243-482A-8B3F-CC4B77B4DE28}">
    <text>10% at COD</text>
  </threadedComment>
  <threadedComment ref="W42" dT="2025-01-23T05:37:41.82" personId="{436C6567-3A21-42FB-877A-CB2FEF21A7D6}" id="{492D9B13-3867-4B11-8F56-9EC054643A5A}">
    <text>40% at DP</text>
  </threadedComment>
  <threadedComment ref="W43" dT="2025-01-23T05:37:41.82" personId="{436C6567-3A21-42FB-877A-CB2FEF21A7D6}" id="{00507B5C-9BA4-4153-9C9D-089E0ACF96CD}">
    <text>40% at DP</text>
  </threadedComment>
  <threadedComment ref="AB43" dT="2025-01-23T06:26:18.61" personId="{436C6567-3A21-42FB-877A-CB2FEF21A7D6}" id="{B154A4BF-DFAC-4A6E-A42C-3F5C26770F7D}">
    <text>20% at EBL</text>
  </threadedComment>
  <threadedComment ref="AE43" dT="2025-01-23T06:26:18.61" personId="{436C6567-3A21-42FB-877A-CB2FEF21A7D6}" id="{A214F3C0-4918-4E37-93C0-D65ED500B239}">
    <text>50% at DAP</text>
  </threadedComment>
  <threadedComment ref="AH43" dT="2025-01-23T06:26:18.61" personId="{436C6567-3A21-42FB-877A-CB2FEF21A7D6}" id="{BAB834C0-BF58-4174-93E5-84552156BE5E}">
    <text>10% at COD</text>
  </threadedComment>
  <threadedComment ref="W45" dT="2025-01-23T06:34:17.33" personId="{436C6567-3A21-42FB-877A-CB2FEF21A7D6}" id="{55C42DB5-E7C2-4CE8-8F25-412F11D5C3FD}">
    <text>10% at DP</text>
  </threadedComment>
  <threadedComment ref="AB45" dT="2025-01-23T05:35:01.59" personId="{436C6567-3A21-42FB-877A-CB2FEF21A7D6}" id="{CACAD53E-31F4-4FE6-9A07-FE9139910EB5}">
    <text>20% at NTP</text>
  </threadedComment>
  <threadedComment ref="AE45" dT="2025-01-23T05:34:19.03" personId="{436C6567-3A21-42FB-877A-CB2FEF21A7D6}" id="{7A5CA240-CBCB-4606-A798-A4DA0C4A1E90}">
    <text xml:space="preserve">40% at Module arrival
</text>
  </threadedComment>
  <threadedComment ref="AH45" dT="2025-01-23T05:34:19.03" personId="{436C6567-3A21-42FB-877A-CB2FEF21A7D6}" id="{914132C0-C92D-4EF9-8860-26F51506AA36}">
    <text>25% at Pre-use inspection</text>
  </threadedComment>
  <threadedComment ref="AK45" dT="2025-01-23T05:34:19.03" personId="{436C6567-3A21-42FB-877A-CB2FEF21A7D6}" id="{C9C25CB4-40A6-48FE-9533-65EB01DE02C9}">
    <text>5% at COD</text>
  </threadedComment>
  <threadedComment ref="W46" dT="2025-01-23T05:37:41.82" personId="{436C6567-3A21-42FB-877A-CB2FEF21A7D6}" id="{8AA65973-8F75-49B8-BF3D-643B790B9764}">
    <text>40% at DP</text>
  </threadedComment>
  <threadedComment ref="AB46" dT="2025-01-23T06:26:18.61" personId="{436C6567-3A21-42FB-877A-CB2FEF21A7D6}" id="{DC2CC0C2-0F87-4F70-AC32-34C8F0A3F937}">
    <text>20% at EBL</text>
  </threadedComment>
  <threadedComment ref="AE46" dT="2025-01-23T06:26:18.61" personId="{436C6567-3A21-42FB-877A-CB2FEF21A7D6}" id="{C040166A-50D6-4220-A891-7AA9123EABE3}">
    <text>50% at DAP</text>
  </threadedComment>
  <threadedComment ref="AH46" dT="2025-01-23T06:26:18.61" personId="{436C6567-3A21-42FB-877A-CB2FEF21A7D6}" id="{AFAFED5A-C5F8-43B8-8282-6465631E342B}">
    <text>10% at COD</text>
  </threadedComment>
  <threadedComment ref="W47" dT="2025-01-23T05:37:41.82" personId="{436C6567-3A21-42FB-877A-CB2FEF21A7D6}" id="{4A07EF1B-EE53-49D6-82DD-F207617BAB47}">
    <text>40% at DP</text>
  </threadedComment>
  <threadedComment ref="W48" dT="2025-01-23T05:37:41.82" personId="{436C6567-3A21-42FB-877A-CB2FEF21A7D6}" id="{F7A9C277-160A-478B-A789-3A1B5B72772E}">
    <text>40% at DP</text>
  </threadedComment>
  <threadedComment ref="AB48" dT="2025-01-23T06:26:18.61" personId="{436C6567-3A21-42FB-877A-CB2FEF21A7D6}" id="{E4CBEC7D-B6C2-4CA0-887C-7C2D5D5145C1}">
    <text>20% at EBL</text>
  </threadedComment>
  <threadedComment ref="AE48" dT="2025-01-23T06:26:18.61" personId="{436C6567-3A21-42FB-877A-CB2FEF21A7D6}" id="{0BFF1D69-2161-42D2-B661-FFB64FF70AD3}">
    <text>50% at DAP</text>
  </threadedComment>
  <threadedComment ref="AH48" dT="2025-01-23T06:26:18.61" personId="{436C6567-3A21-42FB-877A-CB2FEF21A7D6}" id="{48B20588-DF0B-4770-BC4D-370302A4BA35}">
    <text>10% at COD</text>
  </threadedComment>
  <threadedComment ref="W50" dT="2025-01-23T06:34:17.33" personId="{436C6567-3A21-42FB-877A-CB2FEF21A7D6}" id="{29E22F51-8BA7-4816-A493-2E5857F6617E}">
    <text>10% at DP</text>
  </threadedComment>
  <threadedComment ref="AB50" dT="2025-01-23T05:35:01.59" personId="{436C6567-3A21-42FB-877A-CB2FEF21A7D6}" id="{3207BB1D-7E87-439A-BB71-1BB55C74FEB0}">
    <text>20% at NTP</text>
  </threadedComment>
  <threadedComment ref="AE50" dT="2025-01-23T05:34:19.03" personId="{436C6567-3A21-42FB-877A-CB2FEF21A7D6}" id="{D4D99250-2F60-4CBA-A4B7-833A08D9EB2F}">
    <text xml:space="preserve">40% at Module arrival
</text>
  </threadedComment>
  <threadedComment ref="AH50" dT="2025-01-23T05:34:19.03" personId="{436C6567-3A21-42FB-877A-CB2FEF21A7D6}" id="{76314281-463F-433F-9F44-1CF1662147D7}">
    <text>25% at Pre-use inspection</text>
  </threadedComment>
  <threadedComment ref="AK50" dT="2025-01-23T05:34:19.03" personId="{436C6567-3A21-42FB-877A-CB2FEF21A7D6}" id="{B126F81D-4D30-4833-973C-5ADA9828630B}">
    <text>5% at COD</text>
  </threadedComment>
  <threadedComment ref="W51" dT="2025-01-23T05:37:41.82" personId="{436C6567-3A21-42FB-877A-CB2FEF21A7D6}" id="{57783C86-FA8F-4DDA-AB8D-7203CE323696}">
    <text>40% at DP</text>
  </threadedComment>
  <threadedComment ref="AB51" dT="2025-01-23T06:26:18.61" personId="{436C6567-3A21-42FB-877A-CB2FEF21A7D6}" id="{42FD79B3-E46C-4987-BB5F-E9837F18BBF9}">
    <text>20% at EBL</text>
  </threadedComment>
  <threadedComment ref="AE51" dT="2025-01-23T06:26:18.61" personId="{436C6567-3A21-42FB-877A-CB2FEF21A7D6}" id="{587C2902-7E79-4A12-8050-8FD65BF4DB3F}">
    <text>50% at DAP</text>
  </threadedComment>
  <threadedComment ref="AH51" dT="2025-01-23T06:26:18.61" personId="{436C6567-3A21-42FB-877A-CB2FEF21A7D6}" id="{2F469D76-6A56-4C9F-9E98-74B7468889DC}">
    <text>10% at COD</text>
  </threadedComment>
  <threadedComment ref="W52" dT="2025-01-23T05:37:41.82" personId="{436C6567-3A21-42FB-877A-CB2FEF21A7D6}" id="{3AA8A122-84EA-48F2-95D7-AFDA76B9C232}">
    <text>40% at DP</text>
  </threadedComment>
  <threadedComment ref="W53" dT="2025-01-23T05:37:41.82" personId="{436C6567-3A21-42FB-877A-CB2FEF21A7D6}" id="{0720D3F0-5D13-4E3A-9C8A-AC2798F80CC0}">
    <text>40% at DP</text>
  </threadedComment>
  <threadedComment ref="AB53" dT="2025-01-23T06:26:18.61" personId="{436C6567-3A21-42FB-877A-CB2FEF21A7D6}" id="{C66D43B9-21FB-448C-A8BD-AE6F7D318FD1}">
    <text>20% at EBL</text>
  </threadedComment>
  <threadedComment ref="AE53" dT="2025-01-23T06:26:18.61" personId="{436C6567-3A21-42FB-877A-CB2FEF21A7D6}" id="{AC55261B-D310-4C43-B0CE-697BB9A7220A}">
    <text>50% at DAP</text>
  </threadedComment>
  <threadedComment ref="AH53" dT="2025-01-23T06:26:18.61" personId="{436C6567-3A21-42FB-877A-CB2FEF21A7D6}" id="{840D5E52-D2FF-4F94-B85B-902EFBF61E21}">
    <text>10% at COD</text>
  </threadedComment>
  <threadedComment ref="W55" dT="2025-01-23T06:34:17.33" personId="{436C6567-3A21-42FB-877A-CB2FEF21A7D6}" id="{9A18813B-A692-43E4-A446-D661C1F12213}">
    <text>10% at DP</text>
  </threadedComment>
  <threadedComment ref="AB55" dT="2025-01-23T05:35:01.59" personId="{436C6567-3A21-42FB-877A-CB2FEF21A7D6}" id="{B6FFC7D5-05FD-426C-AA11-AB84803B9E84}">
    <text>20% at NTP</text>
  </threadedComment>
  <threadedComment ref="AE55" dT="2025-01-23T05:34:19.03" personId="{436C6567-3A21-42FB-877A-CB2FEF21A7D6}" id="{A4055ECA-3773-4C92-AF07-AEB118F33CA2}">
    <text xml:space="preserve">40% at Module arrival
</text>
  </threadedComment>
  <threadedComment ref="AH55" dT="2025-01-23T05:34:19.03" personId="{436C6567-3A21-42FB-877A-CB2FEF21A7D6}" id="{ED7C5994-E07A-4222-B701-634DB8EE8FEF}">
    <text>25% at Pre-use inspection</text>
  </threadedComment>
  <threadedComment ref="AK55" dT="2025-01-23T05:34:19.03" personId="{436C6567-3A21-42FB-877A-CB2FEF21A7D6}" id="{DF411D52-DD67-409D-96DD-8AB3EFD7A437}">
    <text>5% at COD</text>
  </threadedComment>
  <threadedComment ref="W56" dT="2025-01-23T05:37:41.82" personId="{436C6567-3A21-42FB-877A-CB2FEF21A7D6}" id="{84B5B0BB-CC00-4740-820E-6D9F1AEF49F3}">
    <text>40% at DP</text>
  </threadedComment>
  <threadedComment ref="AB56" dT="2025-01-23T06:26:18.61" personId="{436C6567-3A21-42FB-877A-CB2FEF21A7D6}" id="{E7C4D517-754B-420E-9E9C-F8E53ED0CC10}">
    <text>20% at EBL</text>
  </threadedComment>
  <threadedComment ref="AE56" dT="2025-01-23T06:26:18.61" personId="{436C6567-3A21-42FB-877A-CB2FEF21A7D6}" id="{40E359BA-D4EF-4DAA-A430-A3DCF42063F8}">
    <text>50% at DAP</text>
  </threadedComment>
  <threadedComment ref="AH56" dT="2025-01-23T06:26:18.61" personId="{436C6567-3A21-42FB-877A-CB2FEF21A7D6}" id="{9BD13D02-2D98-4963-A750-7734E35C69E3}">
    <text>10% at COD</text>
  </threadedComment>
  <threadedComment ref="W57" dT="2025-01-23T05:37:41.82" personId="{436C6567-3A21-42FB-877A-CB2FEF21A7D6}" id="{F3618DB4-52F9-4807-ACE7-1BADFEC1AE47}">
    <text>40% at DP</text>
  </threadedComment>
  <threadedComment ref="W58" dT="2025-01-23T05:37:41.82" personId="{436C6567-3A21-42FB-877A-CB2FEF21A7D6}" id="{A07D272D-A1E1-4AA3-B825-933B96B82CD7}">
    <text>40% at DP</text>
  </threadedComment>
  <threadedComment ref="AB58" dT="2025-01-23T06:26:18.61" personId="{436C6567-3A21-42FB-877A-CB2FEF21A7D6}" id="{F0AF6022-6604-4B11-B2C2-9EBA50C7A3E2}">
    <text>20% at EBL</text>
  </threadedComment>
  <threadedComment ref="AE58" dT="2025-01-23T06:26:18.61" personId="{436C6567-3A21-42FB-877A-CB2FEF21A7D6}" id="{78D786BC-C327-4F53-A70C-DA9B070EEDBC}">
    <text>50% at DAP</text>
  </threadedComment>
  <threadedComment ref="AH58" dT="2025-01-23T06:26:18.61" personId="{436C6567-3A21-42FB-877A-CB2FEF21A7D6}" id="{BD4D9432-E8DF-477C-A803-447A35368AEC}">
    <text>10% at COD</text>
  </threadedComment>
  <threadedComment ref="W60" dT="2025-01-23T05:37:21.37" personId="{436C6567-3A21-42FB-877A-CB2FEF21A7D6}" id="{9CA2F7A4-6EB6-41E4-8148-738A24BAF43A}">
    <text>10% at DP</text>
  </threadedComment>
  <threadedComment ref="AB60" dT="2025-01-23T05:35:01.59" personId="{436C6567-3A21-42FB-877A-CB2FEF21A7D6}" id="{ABFFBF6E-B69B-4380-A926-727606B78F99}">
    <text>20% at NTP</text>
  </threadedComment>
  <threadedComment ref="AE60" dT="2025-01-23T05:34:19.03" personId="{436C6567-3A21-42FB-877A-CB2FEF21A7D6}" id="{A6DA57E4-459C-4351-B482-DA96963F1792}">
    <text xml:space="preserve">40% at Module arrival
</text>
  </threadedComment>
  <threadedComment ref="AH60" dT="2025-01-23T05:34:19.03" personId="{436C6567-3A21-42FB-877A-CB2FEF21A7D6}" id="{BECC6301-9D04-4C48-A16A-3813B52EB78B}">
    <text>25% at Pre-use inspection</text>
  </threadedComment>
  <threadedComment ref="AK60" dT="2025-01-23T05:34:19.03" personId="{436C6567-3A21-42FB-877A-CB2FEF21A7D6}" id="{DFCFBB7C-8122-4A18-9987-AC35D42024A0}">
    <text>5% at COD</text>
  </threadedComment>
  <threadedComment ref="W61" dT="2025-01-23T05:37:41.82" personId="{436C6567-3A21-42FB-877A-CB2FEF21A7D6}" id="{35735BD8-BA16-4ABD-B858-EE63C961A84E}">
    <text>40% at DP</text>
  </threadedComment>
  <threadedComment ref="AB61" dT="2025-01-23T06:26:18.61" personId="{436C6567-3A21-42FB-877A-CB2FEF21A7D6}" id="{EB60487D-DFE2-455D-BFE0-7ABCF9F74470}">
    <text>20% at EBL</text>
  </threadedComment>
  <threadedComment ref="AE61" dT="2025-01-23T06:26:18.61" personId="{436C6567-3A21-42FB-877A-CB2FEF21A7D6}" id="{27AC1CB1-37F4-4B6A-9244-62141E0BC9B1}">
    <text>50% at DAP</text>
  </threadedComment>
  <threadedComment ref="AH61" dT="2025-01-23T06:26:18.61" personId="{436C6567-3A21-42FB-877A-CB2FEF21A7D6}" id="{DBCE0602-3FE3-476F-8636-F1763A922778}">
    <text>10% at COD</text>
  </threadedComment>
  <threadedComment ref="W62" dT="2025-01-23T05:37:41.82" personId="{436C6567-3A21-42FB-877A-CB2FEF21A7D6}" id="{2027ACE4-DE6F-4F7B-B594-D5D6910E9273}">
    <text>40% at DP</text>
  </threadedComment>
  <threadedComment ref="W63" dT="2025-01-23T05:37:41.82" personId="{436C6567-3A21-42FB-877A-CB2FEF21A7D6}" id="{55732413-236E-4FC3-8F99-E34D7F4EAA98}">
    <text>40% at DP</text>
  </threadedComment>
  <threadedComment ref="AB63" dT="2025-01-23T06:26:18.61" personId="{436C6567-3A21-42FB-877A-CB2FEF21A7D6}" id="{9E7B6A3E-E802-4A3D-8A49-E7CFFFF71836}">
    <text>20% at EBL</text>
  </threadedComment>
  <threadedComment ref="AE63" dT="2025-01-23T06:26:18.61" personId="{436C6567-3A21-42FB-877A-CB2FEF21A7D6}" id="{9A661C00-01CF-4420-BABA-4802ACFAF2B6}">
    <text>50% at DAP</text>
  </threadedComment>
  <threadedComment ref="AH63" dT="2025-01-23T06:26:18.61" personId="{436C6567-3A21-42FB-877A-CB2FEF21A7D6}" id="{4D2D3253-B87C-481D-90A0-941861F2A741}">
    <text>10% at COD</text>
  </threadedComment>
  <threadedComment ref="W65" dT="2025-01-23T06:34:17.33" personId="{436C6567-3A21-42FB-877A-CB2FEF21A7D6}" id="{7ABE5C01-0D83-4083-90CA-0099B879795E}">
    <text>10% at DP</text>
  </threadedComment>
  <threadedComment ref="AB65" dT="2025-01-23T05:35:01.59" personId="{436C6567-3A21-42FB-877A-CB2FEF21A7D6}" id="{41C048F5-EF18-48D0-AC16-65B425C6CC43}">
    <text>20% at NTP</text>
  </threadedComment>
  <threadedComment ref="AE65" dT="2025-01-23T05:34:19.03" personId="{436C6567-3A21-42FB-877A-CB2FEF21A7D6}" id="{A0F25587-075C-476C-9A68-3194DD3D6A9D}">
    <text xml:space="preserve">40% at Module arrival
</text>
  </threadedComment>
  <threadedComment ref="AH65" dT="2025-01-23T05:34:19.03" personId="{436C6567-3A21-42FB-877A-CB2FEF21A7D6}" id="{E083D634-4711-46D7-966C-9CF0A51561FA}">
    <text>25% at Pre-use inspection</text>
  </threadedComment>
  <threadedComment ref="AK65" dT="2025-01-23T05:34:19.03" personId="{436C6567-3A21-42FB-877A-CB2FEF21A7D6}" id="{ED2B9C4D-6729-4F92-93AE-6C9221DDB7A8}">
    <text>5% at COD</text>
  </threadedComment>
  <threadedComment ref="W66" dT="2025-01-23T05:37:41.82" personId="{436C6567-3A21-42FB-877A-CB2FEF21A7D6}" id="{2D9A4027-953C-415A-9464-B54B6F0E83B2}">
    <text>40% at DP</text>
  </threadedComment>
  <threadedComment ref="AB66" dT="2025-01-23T06:26:18.61" personId="{436C6567-3A21-42FB-877A-CB2FEF21A7D6}" id="{06D08F49-3A06-492A-9AB5-CBB53090F425}">
    <text>20% at EBL</text>
  </threadedComment>
  <threadedComment ref="AE66" dT="2025-01-23T06:26:18.61" personId="{436C6567-3A21-42FB-877A-CB2FEF21A7D6}" id="{D2BC5171-615C-404A-9146-3992A48C486A}">
    <text>50% at DAP</text>
  </threadedComment>
  <threadedComment ref="AH66" dT="2025-01-23T06:26:18.61" personId="{436C6567-3A21-42FB-877A-CB2FEF21A7D6}" id="{18AAFA9E-1E2B-462D-AFEC-266869420FB7}">
    <text>10% at COD</text>
  </threadedComment>
  <threadedComment ref="W67" dT="2025-01-23T05:37:41.82" personId="{436C6567-3A21-42FB-877A-CB2FEF21A7D6}" id="{48FF088D-178A-41F9-B8E9-117D5ED0AC23}">
    <text>40% at DP</text>
  </threadedComment>
  <threadedComment ref="W68" dT="2025-01-23T05:37:41.82" personId="{436C6567-3A21-42FB-877A-CB2FEF21A7D6}" id="{DDBBF4E6-3969-4DAD-992B-8325942F7D9B}">
    <text>40% at DP</text>
  </threadedComment>
  <threadedComment ref="AB68" dT="2025-01-23T06:26:18.61" personId="{436C6567-3A21-42FB-877A-CB2FEF21A7D6}" id="{98B9C0AE-80C4-46EF-9659-CCB4A2988C1A}">
    <text>20% at EBL</text>
  </threadedComment>
  <threadedComment ref="AE68" dT="2025-01-23T06:26:18.61" personId="{436C6567-3A21-42FB-877A-CB2FEF21A7D6}" id="{BED2BB6E-2BD9-40C5-BE8E-23B68E1720DA}">
    <text>50% at DAP</text>
  </threadedComment>
  <threadedComment ref="AH68" dT="2025-01-23T06:26:18.61" personId="{436C6567-3A21-42FB-877A-CB2FEF21A7D6}" id="{CB6941DD-2808-4DB2-964E-713421D32802}">
    <text>10% at COD</text>
  </threadedComment>
  <threadedComment ref="W70" dT="2025-01-23T06:34:17.33" personId="{436C6567-3A21-42FB-877A-CB2FEF21A7D6}" id="{A6DF1D2F-3458-43F0-8220-4159162C7260}">
    <text>10% at DP</text>
  </threadedComment>
  <threadedComment ref="AB70" dT="2025-01-23T05:35:01.59" personId="{436C6567-3A21-42FB-877A-CB2FEF21A7D6}" id="{B3B57E50-B5A7-491C-ADA5-662DCAA64A68}">
    <text>20% at NTP</text>
  </threadedComment>
  <threadedComment ref="AE70" dT="2025-01-23T05:34:19.03" personId="{436C6567-3A21-42FB-877A-CB2FEF21A7D6}" id="{0997FF39-FB9A-47EB-BC0D-7C7597874A6F}">
    <text xml:space="preserve">40% at Module arrival
</text>
  </threadedComment>
  <threadedComment ref="AH70" dT="2025-01-23T05:34:19.03" personId="{436C6567-3A21-42FB-877A-CB2FEF21A7D6}" id="{070BCCF4-AEBB-43F4-92CD-0F5861500058}">
    <text>25% at Pre-use inspection</text>
  </threadedComment>
  <threadedComment ref="AK70" dT="2025-01-23T05:34:19.03" personId="{436C6567-3A21-42FB-877A-CB2FEF21A7D6}" id="{CD534583-0B5B-43A5-B699-3CEFAA6A15B8}">
    <text>5% at COD</text>
  </threadedComment>
  <threadedComment ref="W71" dT="2025-01-23T05:37:41.82" personId="{436C6567-3A21-42FB-877A-CB2FEF21A7D6}" id="{FFFB118B-CF65-4141-A602-885B6FD9759A}">
    <text>40% at DP</text>
  </threadedComment>
  <threadedComment ref="AB71" dT="2025-01-23T06:26:18.61" personId="{436C6567-3A21-42FB-877A-CB2FEF21A7D6}" id="{290B45BC-46DD-4EC4-A9FA-CEEE8F282C4E}">
    <text>20% at EBL</text>
  </threadedComment>
  <threadedComment ref="AE71" dT="2025-01-23T06:26:18.61" personId="{436C6567-3A21-42FB-877A-CB2FEF21A7D6}" id="{713D3F36-60DC-4498-9D84-70A6A2A61E57}">
    <text>50% at DAP</text>
  </threadedComment>
  <threadedComment ref="AH71" dT="2025-01-23T06:26:18.61" personId="{436C6567-3A21-42FB-877A-CB2FEF21A7D6}" id="{360F152B-AF8C-4A02-9F04-ED088B4D8089}">
    <text>10% at COD</text>
  </threadedComment>
  <threadedComment ref="W72" dT="2025-01-23T05:37:41.82" personId="{436C6567-3A21-42FB-877A-CB2FEF21A7D6}" id="{F29849BD-B81A-4450-AE50-C2C515C01151}">
    <text>40% at DP</text>
  </threadedComment>
  <threadedComment ref="W73" dT="2025-01-23T05:37:41.82" personId="{436C6567-3A21-42FB-877A-CB2FEF21A7D6}" id="{29F22C7C-B821-4A96-996A-A59D1813CDD2}">
    <text>40% at DP</text>
  </threadedComment>
  <threadedComment ref="AB73" dT="2025-01-23T06:26:18.61" personId="{436C6567-3A21-42FB-877A-CB2FEF21A7D6}" id="{2091E177-6B5F-42A9-ACF2-39B00491CE9F}">
    <text>20% at EBL</text>
  </threadedComment>
  <threadedComment ref="AE73" dT="2025-01-23T06:26:18.61" personId="{436C6567-3A21-42FB-877A-CB2FEF21A7D6}" id="{5DD5DFAF-DDDB-4045-90D0-C2B39A3592B4}">
    <text>50% at DAP</text>
  </threadedComment>
  <threadedComment ref="AH73" dT="2025-01-23T06:26:18.61" personId="{436C6567-3A21-42FB-877A-CB2FEF21A7D6}" id="{986BE52C-7A1A-4152-94A0-DC1054C5C325}">
    <text>10% at COD</text>
  </threadedComment>
  <threadedComment ref="W75" dT="2025-01-23T06:34:17.33" personId="{436C6567-3A21-42FB-877A-CB2FEF21A7D6}" id="{DC24BB59-0081-4CFD-9706-AD94F1668D70}">
    <text>10% at DP</text>
  </threadedComment>
  <threadedComment ref="AB75" dT="2025-01-23T05:35:01.59" personId="{436C6567-3A21-42FB-877A-CB2FEF21A7D6}" id="{1F704FFA-6DA3-4C12-911B-F0582E1E2A47}">
    <text>20% at NTP</text>
  </threadedComment>
  <threadedComment ref="AE75" dT="2025-01-23T05:34:19.03" personId="{436C6567-3A21-42FB-877A-CB2FEF21A7D6}" id="{831D23B3-2CF6-42E0-AE18-82DABAB0C05E}">
    <text xml:space="preserve">40% at Module arrival
</text>
  </threadedComment>
  <threadedComment ref="AH75" dT="2025-01-23T05:34:19.03" personId="{436C6567-3A21-42FB-877A-CB2FEF21A7D6}" id="{7830E41E-F7DC-4196-831E-82829C33B72D}">
    <text>25% at Pre-use inspection</text>
  </threadedComment>
  <threadedComment ref="AK75" dT="2025-01-23T05:34:19.03" personId="{436C6567-3A21-42FB-877A-CB2FEF21A7D6}" id="{89BA6E8D-A32A-443D-A827-C10616FAE6B3}">
    <text>5% at COD</text>
  </threadedComment>
  <threadedComment ref="W76" dT="2025-01-23T05:37:41.82" personId="{436C6567-3A21-42FB-877A-CB2FEF21A7D6}" id="{D6959409-93C8-40DC-80C8-163AE160A8D0}">
    <text>40% at DP</text>
  </threadedComment>
  <threadedComment ref="AB76" dT="2025-01-23T06:26:18.61" personId="{436C6567-3A21-42FB-877A-CB2FEF21A7D6}" id="{2E6D6A30-381D-4759-A00E-5CC6F4A353F6}">
    <text>20% at EBL</text>
  </threadedComment>
  <threadedComment ref="AE76" dT="2025-01-23T06:26:18.61" personId="{436C6567-3A21-42FB-877A-CB2FEF21A7D6}" id="{990EDD77-A07D-4C76-AC23-9EEE3EE2831A}">
    <text>50% at DAP</text>
  </threadedComment>
  <threadedComment ref="AH76" dT="2025-01-23T06:26:18.61" personId="{436C6567-3A21-42FB-877A-CB2FEF21A7D6}" id="{4CF91E47-0075-4B6A-B26D-08EC49605DFB}">
    <text>10% at COD</text>
  </threadedComment>
  <threadedComment ref="W77" dT="2025-01-23T05:37:41.82" personId="{436C6567-3A21-42FB-877A-CB2FEF21A7D6}" id="{554602C2-B5EA-4902-B22F-0CBDEBFEC253}">
    <text>40% at DP</text>
  </threadedComment>
  <threadedComment ref="W78" dT="2025-01-23T05:37:41.82" personId="{436C6567-3A21-42FB-877A-CB2FEF21A7D6}" id="{326FC076-1E47-48C9-BDAE-C349C8F4423D}">
    <text>40% at DP</text>
  </threadedComment>
  <threadedComment ref="AB78" dT="2025-01-23T06:26:18.61" personId="{436C6567-3A21-42FB-877A-CB2FEF21A7D6}" id="{305A0D06-0AF4-4FAC-91B9-30FB33D9ED81}">
    <text>20% at EBL</text>
  </threadedComment>
  <threadedComment ref="AE78" dT="2025-01-23T06:26:18.61" personId="{436C6567-3A21-42FB-877A-CB2FEF21A7D6}" id="{C979DF33-D343-48A0-8C79-C8442778A293}">
    <text>50% at DAP</text>
  </threadedComment>
  <threadedComment ref="AH78" dT="2025-01-23T06:26:18.61" personId="{436C6567-3A21-42FB-877A-CB2FEF21A7D6}" id="{A2325380-CCAC-486F-B579-213DC4238B74}">
    <text>10% at COD</text>
  </threadedComment>
  <threadedComment ref="W80" dT="2025-01-23T06:34:17.33" personId="{436C6567-3A21-42FB-877A-CB2FEF21A7D6}" id="{EA3600A0-F3F0-4624-BEA5-53ADB025D0D1}">
    <text>10% at DP</text>
  </threadedComment>
  <threadedComment ref="AB80" dT="2025-01-23T05:35:01.59" personId="{436C6567-3A21-42FB-877A-CB2FEF21A7D6}" id="{38FEBB10-2888-4CA0-82EB-3A19C1ACB1BD}">
    <text>20% at NTP</text>
  </threadedComment>
  <threadedComment ref="AE80" dT="2025-01-23T05:34:19.03" personId="{436C6567-3A21-42FB-877A-CB2FEF21A7D6}" id="{48EEFF4E-2AA7-43EC-BF14-43D9C338B162}">
    <text xml:space="preserve">40% at Module arrival
</text>
  </threadedComment>
  <threadedComment ref="AH80" dT="2025-01-23T05:34:19.03" personId="{436C6567-3A21-42FB-877A-CB2FEF21A7D6}" id="{DC675D1F-38BF-44DE-A068-8A83C0069476}">
    <text>25% at Pre-use inspection</text>
  </threadedComment>
  <threadedComment ref="AK80" dT="2025-01-23T05:34:19.03" personId="{436C6567-3A21-42FB-877A-CB2FEF21A7D6}" id="{13E94E97-CCC7-4A30-9E6F-230A74A9D9AC}">
    <text>5% at COD</text>
  </threadedComment>
  <threadedComment ref="W81" dT="2025-01-23T05:37:41.82" personId="{436C6567-3A21-42FB-877A-CB2FEF21A7D6}" id="{5908C5E4-3658-4AC5-AD9B-042DF960ABD8}">
    <text>40% at DP</text>
  </threadedComment>
  <threadedComment ref="AB81" dT="2025-01-23T06:26:18.61" personId="{436C6567-3A21-42FB-877A-CB2FEF21A7D6}" id="{E0FB8F40-E409-4979-AF8F-B42B77A032A9}">
    <text>20% at EBL</text>
  </threadedComment>
  <threadedComment ref="AE81" dT="2025-01-23T06:26:18.61" personId="{436C6567-3A21-42FB-877A-CB2FEF21A7D6}" id="{9EB6B122-ADE3-4051-A5B4-5699090261B4}">
    <text>50% at DAP</text>
  </threadedComment>
  <threadedComment ref="AH81" dT="2025-01-23T06:26:18.61" personId="{436C6567-3A21-42FB-877A-CB2FEF21A7D6}" id="{1C62128D-D059-4293-805C-67A72FD6C7DF}">
    <text>10% at COD</text>
  </threadedComment>
  <threadedComment ref="W82" dT="2025-01-23T05:37:41.82" personId="{436C6567-3A21-42FB-877A-CB2FEF21A7D6}" id="{3D28E77F-13B8-4A52-BF46-D1AF0CC5D189}">
    <text>40% at DP</text>
  </threadedComment>
  <threadedComment ref="W83" dT="2025-01-23T05:37:41.82" personId="{436C6567-3A21-42FB-877A-CB2FEF21A7D6}" id="{1426BE62-E491-4C6F-9780-1D2B90B2A410}">
    <text>40% at DP</text>
  </threadedComment>
  <threadedComment ref="AB83" dT="2025-01-23T06:26:18.61" personId="{436C6567-3A21-42FB-877A-CB2FEF21A7D6}" id="{820EDEAD-F278-4789-9D93-B8BABDF97725}">
    <text>20% at EBL</text>
  </threadedComment>
  <threadedComment ref="AE83" dT="2025-01-23T06:26:18.61" personId="{436C6567-3A21-42FB-877A-CB2FEF21A7D6}" id="{4A90FA51-5A47-4007-BF9D-27A5CB83EA76}">
    <text>50% at DAP</text>
  </threadedComment>
  <threadedComment ref="AH83" dT="2025-01-23T06:26:18.61" personId="{436C6567-3A21-42FB-877A-CB2FEF21A7D6}" id="{FDE9B249-968D-4556-A877-1BD8B046ECDB}">
    <text>10% at COD</text>
  </threadedComment>
  <threadedComment ref="W85" dT="2025-01-23T06:34:17.33" personId="{436C6567-3A21-42FB-877A-CB2FEF21A7D6}" id="{6162E27B-324C-4983-9A68-8EDF1031A4E1}">
    <text>10% at DP</text>
  </threadedComment>
  <threadedComment ref="AB85" dT="2025-01-23T05:35:01.59" personId="{436C6567-3A21-42FB-877A-CB2FEF21A7D6}" id="{46047164-9A1A-4D45-93AC-881CE4AE86C0}">
    <text>20% at NTP</text>
  </threadedComment>
  <threadedComment ref="AE85" dT="2025-01-23T05:34:19.03" personId="{436C6567-3A21-42FB-877A-CB2FEF21A7D6}" id="{DC056757-9549-42B2-B142-54BCD3F82E6D}">
    <text xml:space="preserve">40% at Module arrival
</text>
  </threadedComment>
  <threadedComment ref="AH85" dT="2025-01-23T05:34:19.03" personId="{436C6567-3A21-42FB-877A-CB2FEF21A7D6}" id="{E84CD75B-9D75-46B1-BE7D-52AB83DA5C0F}">
    <text>25% at Pre-use inspection</text>
  </threadedComment>
  <threadedComment ref="AK85" dT="2025-01-23T05:34:19.03" personId="{436C6567-3A21-42FB-877A-CB2FEF21A7D6}" id="{CD00B3EF-737F-4C06-A9F6-F83D2DC56564}">
    <text>5% at COD</text>
  </threadedComment>
  <threadedComment ref="W86" dT="2025-01-23T05:37:41.82" personId="{436C6567-3A21-42FB-877A-CB2FEF21A7D6}" id="{C129E73E-3AEA-408F-9C4E-44BD70A8953A}">
    <text>40% at DP</text>
  </threadedComment>
  <threadedComment ref="AB86" dT="2025-01-23T06:26:18.61" personId="{436C6567-3A21-42FB-877A-CB2FEF21A7D6}" id="{726734CB-E0C8-4D03-8059-A41AD3AE13E8}">
    <text>20% at EBL</text>
  </threadedComment>
  <threadedComment ref="AE86" dT="2025-01-23T06:26:18.61" personId="{436C6567-3A21-42FB-877A-CB2FEF21A7D6}" id="{87816616-4285-4318-95E8-2BB52B43F5B3}">
    <text>50% at DAP</text>
  </threadedComment>
  <threadedComment ref="AH86" dT="2025-01-23T06:26:18.61" personId="{436C6567-3A21-42FB-877A-CB2FEF21A7D6}" id="{9C5ABF5B-E11B-46CA-9A73-6B960C44AD0D}">
    <text>10% at COD</text>
  </threadedComment>
  <threadedComment ref="W87" dT="2025-01-23T05:37:41.82" personId="{436C6567-3A21-42FB-877A-CB2FEF21A7D6}" id="{5938150C-CD4B-4D9D-9C46-15A5E5B9D9BA}">
    <text>40% at DP</text>
  </threadedComment>
  <threadedComment ref="W88" dT="2025-01-23T05:37:41.82" personId="{436C6567-3A21-42FB-877A-CB2FEF21A7D6}" id="{3E65C437-EEE7-4E70-B87A-1ED74BAD0F09}">
    <text>40% at DP</text>
  </threadedComment>
  <threadedComment ref="AB88" dT="2025-01-23T06:26:18.61" personId="{436C6567-3A21-42FB-877A-CB2FEF21A7D6}" id="{BD252DB2-1846-4A3B-9821-2BCCDAD4428C}">
    <text>20% at EBL</text>
  </threadedComment>
  <threadedComment ref="AE88" dT="2025-01-23T06:26:18.61" personId="{436C6567-3A21-42FB-877A-CB2FEF21A7D6}" id="{A6BAA759-C322-4D85-91FA-C342500A60AF}">
    <text>50% at DAP</text>
  </threadedComment>
  <threadedComment ref="AH88" dT="2025-01-23T06:26:18.61" personId="{436C6567-3A21-42FB-877A-CB2FEF21A7D6}" id="{0DBC7BD8-CDCF-428F-8FE1-B2B5EE5FA54C}">
    <text>10% at COD</text>
  </threadedComment>
  <threadedComment ref="W90" dT="2025-01-23T06:34:17.33" personId="{436C6567-3A21-42FB-877A-CB2FEF21A7D6}" id="{61CDEB58-046B-4DD0-A606-B97F61EBD549}">
    <text>10% at DP</text>
  </threadedComment>
  <threadedComment ref="AB90" dT="2025-01-23T05:35:01.59" personId="{436C6567-3A21-42FB-877A-CB2FEF21A7D6}" id="{42A82BE7-E371-4B94-AC96-267EAA149E39}">
    <text>20% at NTP</text>
  </threadedComment>
  <threadedComment ref="AE90" dT="2025-01-23T05:34:19.03" personId="{436C6567-3A21-42FB-877A-CB2FEF21A7D6}" id="{5968BCF0-DD1C-4CB6-8186-6711D27615BA}">
    <text xml:space="preserve">40% at Module arrival
</text>
  </threadedComment>
  <threadedComment ref="AH90" dT="2025-01-23T05:34:19.03" personId="{436C6567-3A21-42FB-877A-CB2FEF21A7D6}" id="{1045F62E-1E3E-4F51-9CD7-6278A5AD0372}">
    <text>25% at Pre-use inspection</text>
  </threadedComment>
  <threadedComment ref="AK90" dT="2025-01-23T05:34:19.03" personId="{436C6567-3A21-42FB-877A-CB2FEF21A7D6}" id="{FA96F1A5-2661-48F2-927D-77AE8E9E7FD4}">
    <text>5% at COD</text>
  </threadedComment>
  <threadedComment ref="W91" dT="2025-01-23T05:37:41.82" personId="{436C6567-3A21-42FB-877A-CB2FEF21A7D6}" id="{CE38D3B7-619D-4958-AE1F-C275AF140CD3}">
    <text>40% at DP</text>
  </threadedComment>
  <threadedComment ref="AB91" dT="2025-01-23T06:26:18.61" personId="{436C6567-3A21-42FB-877A-CB2FEF21A7D6}" id="{77FCCCBA-E7D1-43C2-8BC8-E4F98B39D495}">
    <text>20% at EBL</text>
  </threadedComment>
  <threadedComment ref="AE91" dT="2025-01-23T06:26:18.61" personId="{436C6567-3A21-42FB-877A-CB2FEF21A7D6}" id="{C87A70A2-4E1B-4D33-A726-7A6DDE264052}">
    <text>50% at DAP</text>
  </threadedComment>
  <threadedComment ref="AH91" dT="2025-01-23T06:26:18.61" personId="{436C6567-3A21-42FB-877A-CB2FEF21A7D6}" id="{CA951967-BCD6-4978-84E4-EC20FAEDCF1B}">
    <text>10% at COD</text>
  </threadedComment>
  <threadedComment ref="W92" dT="2025-01-23T05:37:41.82" personId="{436C6567-3A21-42FB-877A-CB2FEF21A7D6}" id="{13A18FBA-1098-4226-A5F7-730C0D8116B4}">
    <text>40% at DP</text>
  </threadedComment>
  <threadedComment ref="W93" dT="2025-01-23T05:37:41.82" personId="{436C6567-3A21-42FB-877A-CB2FEF21A7D6}" id="{6F5454F7-2B37-4DD1-85C2-D14A3788C832}">
    <text>40% at DP</text>
  </threadedComment>
  <threadedComment ref="AB93" dT="2025-01-23T06:26:18.61" personId="{436C6567-3A21-42FB-877A-CB2FEF21A7D6}" id="{36D5DFC3-C11B-4B4D-88D2-3DA87130EB0E}">
    <text>20% at EBL</text>
  </threadedComment>
  <threadedComment ref="AE93" dT="2025-01-23T06:26:18.61" personId="{436C6567-3A21-42FB-877A-CB2FEF21A7D6}" id="{437F30D8-9978-4C75-95B6-70D8D602D270}">
    <text>50% at DAP</text>
  </threadedComment>
  <threadedComment ref="AH93" dT="2025-01-23T06:26:18.61" personId="{436C6567-3A21-42FB-877A-CB2FEF21A7D6}" id="{CBE521A2-B98E-424C-B311-9C346D9E8CFA}">
    <text>10% at COD</text>
  </threadedComment>
  <threadedComment ref="W95" dT="2025-01-23T06:34:17.33" personId="{436C6567-3A21-42FB-877A-CB2FEF21A7D6}" id="{CCBCF408-CBC4-4C45-B640-10EBF2D09ADD}">
    <text>10% at DP</text>
  </threadedComment>
  <threadedComment ref="AB95" dT="2025-01-23T05:35:01.59" personId="{436C6567-3A21-42FB-877A-CB2FEF21A7D6}" id="{FAF66792-7F8F-42FA-8A23-76DAB2B2096E}">
    <text>20% at NTP</text>
  </threadedComment>
  <threadedComment ref="AE95" dT="2025-01-23T05:34:19.03" personId="{436C6567-3A21-42FB-877A-CB2FEF21A7D6}" id="{17FAD06E-806E-47FF-B77B-8C90FCE99709}">
    <text xml:space="preserve">40% at Module arrival
</text>
  </threadedComment>
  <threadedComment ref="AH95" dT="2025-01-23T05:34:19.03" personId="{436C6567-3A21-42FB-877A-CB2FEF21A7D6}" id="{73D16665-6EA7-4489-849F-DF9A66C2CBD4}">
    <text>25% at Pre-use inspection</text>
  </threadedComment>
  <threadedComment ref="AK95" dT="2025-01-23T05:34:19.03" personId="{436C6567-3A21-42FB-877A-CB2FEF21A7D6}" id="{A1E4D1AA-D20A-495A-9296-877D265CE433}">
    <text>5% at COD</text>
  </threadedComment>
  <threadedComment ref="W96" dT="2025-01-23T05:37:41.82" personId="{436C6567-3A21-42FB-877A-CB2FEF21A7D6}" id="{B409225A-2137-497B-A1E2-FB71D1C2723C}">
    <text>40% at DP</text>
  </threadedComment>
  <threadedComment ref="AB96" dT="2025-01-23T06:26:18.61" personId="{436C6567-3A21-42FB-877A-CB2FEF21A7D6}" id="{400C14A3-D056-4BD5-AC4F-2FD3D6B330D5}">
    <text>20% at EBL</text>
  </threadedComment>
  <threadedComment ref="AE96" dT="2025-01-23T06:26:18.61" personId="{436C6567-3A21-42FB-877A-CB2FEF21A7D6}" id="{3DD4B465-3510-4692-AF39-A4C60D43E2DA}">
    <text>50% at DAP</text>
  </threadedComment>
  <threadedComment ref="AH96" dT="2025-01-23T06:26:18.61" personId="{436C6567-3A21-42FB-877A-CB2FEF21A7D6}" id="{A27239B2-9D7E-43BD-8839-7F6E2F53C040}">
    <text>10% at COD</text>
  </threadedComment>
  <threadedComment ref="W97" dT="2025-01-23T05:37:41.82" personId="{436C6567-3A21-42FB-877A-CB2FEF21A7D6}" id="{9BB31394-08BF-4BD6-8636-4E0BDE7AB4F5}">
    <text>40% at DP</text>
  </threadedComment>
  <threadedComment ref="W98" dT="2025-01-23T05:37:41.82" personId="{436C6567-3A21-42FB-877A-CB2FEF21A7D6}" id="{71A266FC-CB1E-43D9-9D17-ADA7BF20BD63}">
    <text>40% at DP</text>
  </threadedComment>
  <threadedComment ref="AB98" dT="2025-01-23T06:26:18.61" personId="{436C6567-3A21-42FB-877A-CB2FEF21A7D6}" id="{A8579599-4CB3-4FDF-8573-3EAD0A84A7BC}">
    <text>20% at EBL</text>
  </threadedComment>
  <threadedComment ref="AE98" dT="2025-01-23T06:26:18.61" personId="{436C6567-3A21-42FB-877A-CB2FEF21A7D6}" id="{16F03418-CD75-47B5-828A-03A4B545A597}">
    <text>50% at DAP</text>
  </threadedComment>
  <threadedComment ref="AH98" dT="2025-01-23T06:26:18.61" personId="{436C6567-3A21-42FB-877A-CB2FEF21A7D6}" id="{4F9D7DB8-7BFE-4C6D-9ED3-21854CDC77A2}">
    <text>10% at COD</text>
  </threadedComment>
  <threadedComment ref="W100" dT="2025-01-23T06:34:17.33" personId="{436C6567-3A21-42FB-877A-CB2FEF21A7D6}" id="{F2E51F8F-1361-4B6A-94D1-A8497A4BCDD6}">
    <text>10% at DP</text>
  </threadedComment>
  <threadedComment ref="AB100" dT="2025-01-23T05:35:01.59" personId="{436C6567-3A21-42FB-877A-CB2FEF21A7D6}" id="{031CC045-DE20-4DD8-B496-F8F4BC2C274F}">
    <text>20% at NTP</text>
  </threadedComment>
  <threadedComment ref="AE100" dT="2025-01-23T05:34:19.03" personId="{436C6567-3A21-42FB-877A-CB2FEF21A7D6}" id="{E39105D0-58CB-4F17-930B-34E2E694F7F4}">
    <text xml:space="preserve">40% at Module arrival
</text>
  </threadedComment>
  <threadedComment ref="AH100" dT="2025-01-23T05:34:19.03" personId="{436C6567-3A21-42FB-877A-CB2FEF21A7D6}" id="{3B7ED558-3CB7-46D9-85ED-3A6D63B0F920}">
    <text>25% at Pre-use inspection</text>
  </threadedComment>
  <threadedComment ref="AK100" dT="2025-01-23T05:34:19.03" personId="{436C6567-3A21-42FB-877A-CB2FEF21A7D6}" id="{D43BE591-706B-44D6-848D-D3888A7910E9}">
    <text>5% at COD</text>
  </threadedComment>
  <threadedComment ref="W101" dT="2025-01-23T05:37:41.82" personId="{436C6567-3A21-42FB-877A-CB2FEF21A7D6}" id="{397D1105-4C2D-4BE2-94E0-B36E4C780269}">
    <text>40% at DP</text>
  </threadedComment>
  <threadedComment ref="AB101" dT="2025-01-23T06:26:18.61" personId="{436C6567-3A21-42FB-877A-CB2FEF21A7D6}" id="{E9B38EB6-1368-4F92-BF2D-B47C4D8E733D}">
    <text>20% at EBL</text>
  </threadedComment>
  <threadedComment ref="AE101" dT="2025-01-23T06:26:18.61" personId="{436C6567-3A21-42FB-877A-CB2FEF21A7D6}" id="{3C8A6B21-3AAD-4F3D-ADF8-B30AF018A347}">
    <text>50% at DAP</text>
  </threadedComment>
  <threadedComment ref="AH101" dT="2025-01-23T06:26:18.61" personId="{436C6567-3A21-42FB-877A-CB2FEF21A7D6}" id="{69876E1D-77F4-4C24-B096-ED9A153BFC5F}">
    <text>10% at COD</text>
  </threadedComment>
  <threadedComment ref="W102" dT="2025-01-23T05:37:41.82" personId="{436C6567-3A21-42FB-877A-CB2FEF21A7D6}" id="{954650C7-A8CB-434E-8DE0-78F13AEFB8D2}">
    <text>40% at DP</text>
  </threadedComment>
  <threadedComment ref="W103" dT="2025-01-23T05:37:41.82" personId="{436C6567-3A21-42FB-877A-CB2FEF21A7D6}" id="{B1801CAD-BF8A-40D7-AD30-0116587C5268}">
    <text>40% at DP</text>
  </threadedComment>
  <threadedComment ref="AB103" dT="2025-01-23T06:26:18.61" personId="{436C6567-3A21-42FB-877A-CB2FEF21A7D6}" id="{DB622B78-88D5-4092-A21A-05504A114F0D}">
    <text>20% at EBL</text>
  </threadedComment>
  <threadedComment ref="AE103" dT="2025-01-23T06:26:18.61" personId="{436C6567-3A21-42FB-877A-CB2FEF21A7D6}" id="{1483AC91-2904-42F2-950F-1A7B4BAA6B7A}">
    <text>50% at DAP</text>
  </threadedComment>
  <threadedComment ref="AH103" dT="2025-01-23T06:26:18.61" personId="{436C6567-3A21-42FB-877A-CB2FEF21A7D6}" id="{12D15EE5-0720-4DAD-9102-2B8BB82C2FB7}">
    <text>10% at COD</text>
  </threadedComment>
  <threadedComment ref="W105" dT="2025-01-23T05:37:21.37" personId="{436C6567-3A21-42FB-877A-CB2FEF21A7D6}" id="{D3058E28-D7C3-409A-931E-3A23980D4968}">
    <text>10% at DP</text>
  </threadedComment>
  <threadedComment ref="AB105" dT="2025-01-23T05:35:01.59" personId="{436C6567-3A21-42FB-877A-CB2FEF21A7D6}" id="{81F540A1-154C-4B71-98CC-E36CF55036BC}">
    <text>20% at NTP</text>
  </threadedComment>
  <threadedComment ref="AE105" dT="2025-01-23T05:34:19.03" personId="{436C6567-3A21-42FB-877A-CB2FEF21A7D6}" id="{911D8F65-5D43-497F-A42C-51CEF2B3ABA4}">
    <text xml:space="preserve">40% at Module arrival
</text>
  </threadedComment>
  <threadedComment ref="AH105" dT="2025-01-23T05:34:19.03" personId="{436C6567-3A21-42FB-877A-CB2FEF21A7D6}" id="{D80DC4CF-BC0D-4D4B-A2DC-68B0417170BE}">
    <text>25% at Pre-use inspection</text>
  </threadedComment>
  <threadedComment ref="AK105" dT="2025-01-23T05:34:19.03" personId="{436C6567-3A21-42FB-877A-CB2FEF21A7D6}" id="{AEDDD75C-46C5-4FD5-8076-0D4E268D8CEA}">
    <text>5% at COD</text>
  </threadedComment>
  <threadedComment ref="W106" dT="2025-01-23T05:37:41.82" personId="{436C6567-3A21-42FB-877A-CB2FEF21A7D6}" id="{01BBEE3F-BE7B-4849-BD94-06D04DCAD038}">
    <text>40% at DP</text>
  </threadedComment>
  <threadedComment ref="AB106" dT="2025-01-23T06:26:18.61" personId="{436C6567-3A21-42FB-877A-CB2FEF21A7D6}" id="{419B2262-E608-4DD1-88D1-2EF474694132}">
    <text>20% at EBL</text>
  </threadedComment>
  <threadedComment ref="AE106" dT="2025-01-23T06:26:18.61" personId="{436C6567-3A21-42FB-877A-CB2FEF21A7D6}" id="{9BFE562C-F05A-4232-B686-283AD915D8ED}">
    <text>50% at DAP</text>
  </threadedComment>
  <threadedComment ref="AH106" dT="2025-01-23T06:26:18.61" personId="{436C6567-3A21-42FB-877A-CB2FEF21A7D6}" id="{77026FC5-16CF-4524-B74B-EACDA9E4342D}">
    <text>10% at COD</text>
  </threadedComment>
  <threadedComment ref="W107" dT="2025-01-23T05:37:41.82" personId="{436C6567-3A21-42FB-877A-CB2FEF21A7D6}" id="{8BDE9BB4-F9CA-40C5-BCD5-BCCB5FB893B9}">
    <text>40% at DP</text>
  </threadedComment>
  <threadedComment ref="W108" dT="2025-01-23T05:37:41.82" personId="{436C6567-3A21-42FB-877A-CB2FEF21A7D6}" id="{8BA8361A-3F19-4204-B9B8-30756C657BC0}">
    <text>40% at DP</text>
  </threadedComment>
  <threadedComment ref="AB108" dT="2025-01-23T06:26:18.61" personId="{436C6567-3A21-42FB-877A-CB2FEF21A7D6}" id="{ADA412D8-05DB-47D7-B661-2A746EA82CCF}">
    <text>20% at EBL</text>
  </threadedComment>
  <threadedComment ref="AE108" dT="2025-01-23T06:26:18.61" personId="{436C6567-3A21-42FB-877A-CB2FEF21A7D6}" id="{6D4EE832-44F1-4DE2-B43F-AFD23AB1C5B3}">
    <text>50% at DAP</text>
  </threadedComment>
  <threadedComment ref="AH108" dT="2025-01-23T06:26:18.61" personId="{436C6567-3A21-42FB-877A-CB2FEF21A7D6}" id="{6517D70C-DAFA-4374-BDAF-2BC247EC71A4}">
    <text>10% at COD</text>
  </threadedComment>
  <threadedComment ref="W110" dT="2025-01-23T06:34:17.33" personId="{436C6567-3A21-42FB-877A-CB2FEF21A7D6}" id="{FBE7DB05-C055-4841-B40E-7ECB59CB40BC}">
    <text>10% at DP</text>
  </threadedComment>
  <threadedComment ref="AB110" dT="2025-01-23T05:35:01.59" personId="{436C6567-3A21-42FB-877A-CB2FEF21A7D6}" id="{F3E0D611-0AD5-4DB1-9799-F4893BABA697}">
    <text>20% at NTP</text>
  </threadedComment>
  <threadedComment ref="AE110" dT="2025-01-23T05:34:19.03" personId="{436C6567-3A21-42FB-877A-CB2FEF21A7D6}" id="{03F4000E-52FA-48E5-8246-32544AEBB260}">
    <text xml:space="preserve">40% at Module arrival
</text>
  </threadedComment>
  <threadedComment ref="AH110" dT="2025-01-23T05:34:19.03" personId="{436C6567-3A21-42FB-877A-CB2FEF21A7D6}" id="{C8E3CA27-29A5-40E0-AE2F-71999C4590FC}">
    <text>25% at Pre-use inspection</text>
  </threadedComment>
  <threadedComment ref="AK110" dT="2025-01-23T05:34:19.03" personId="{436C6567-3A21-42FB-877A-CB2FEF21A7D6}" id="{79B357DC-18DF-4CCD-8D4A-CF495F505D5D}">
    <text>5% at COD</text>
  </threadedComment>
  <threadedComment ref="W111" dT="2025-01-23T07:22:48.07" personId="{436C6567-3A21-42FB-877A-CB2FEF21A7D6}" id="{892DAEF0-64E2-4A23-AECB-CFF1CD2B1D19}">
    <text>20% at DP</text>
  </threadedComment>
  <threadedComment ref="AB111" dT="2025-01-23T06:26:18.61" personId="{436C6567-3A21-42FB-877A-CB2FEF21A7D6}" id="{65816CB6-1AEB-414F-82AF-E14472368565}">
    <text>20% at EBL</text>
  </threadedComment>
  <threadedComment ref="AE111" dT="2025-01-23T06:26:18.61" personId="{436C6567-3A21-42FB-877A-CB2FEF21A7D6}" id="{D1ADF88B-9C06-409F-833E-350AFE417D76}">
    <text>50% at DAP</text>
  </threadedComment>
  <threadedComment ref="AH111" dT="2025-01-23T06:26:18.61" personId="{436C6567-3A21-42FB-877A-CB2FEF21A7D6}" id="{4F0B3ABD-CE5E-47E5-9BF3-DEEB9914D30B}">
    <text>10% at COD</text>
  </threadedComment>
  <threadedComment ref="W113" dT="2025-01-23T07:22:48.07" personId="{436C6567-3A21-42FB-877A-CB2FEF21A7D6}" id="{C23D09FE-9782-45CA-8C76-2CF288FE63A9}">
    <text>20% at DP</text>
  </threadedComment>
  <threadedComment ref="AB113" dT="2025-01-23T06:26:18.61" personId="{436C6567-3A21-42FB-877A-CB2FEF21A7D6}" id="{A7D6C8FB-4674-4C5A-9815-FA63551B50A0}">
    <text>20% at EBL</text>
  </threadedComment>
  <threadedComment ref="AE113" dT="2025-01-23T06:26:18.61" personId="{436C6567-3A21-42FB-877A-CB2FEF21A7D6}" id="{55F7711A-A435-45C4-9FED-A558D3AECB9C}">
    <text>50% at DAP</text>
  </threadedComment>
  <threadedComment ref="AH113" dT="2025-01-23T06:26:18.61" personId="{436C6567-3A21-42FB-877A-CB2FEF21A7D6}" id="{A3BAFAA0-28E5-48AA-A240-BAA4254615BD}">
    <text>10% at COD</text>
  </threadedComment>
  <threadedComment ref="W115" dT="2025-01-23T06:34:17.33" personId="{436C6567-3A21-42FB-877A-CB2FEF21A7D6}" id="{CC2486BE-9D73-4F8A-B1BA-F9437580C7AA}">
    <text>10% at DP</text>
  </threadedComment>
  <threadedComment ref="AB115" dT="2025-01-23T05:35:01.59" personId="{436C6567-3A21-42FB-877A-CB2FEF21A7D6}" id="{A28572B1-FDD0-4479-A75B-DD91D147F0E9}">
    <text>20% at NTP</text>
  </threadedComment>
  <threadedComment ref="AE115" dT="2025-01-23T05:34:19.03" personId="{436C6567-3A21-42FB-877A-CB2FEF21A7D6}" id="{57EB83EB-258E-4FB4-AF08-0C229B073DB3}">
    <text xml:space="preserve">40% at Module arrival
</text>
  </threadedComment>
  <threadedComment ref="AH115" dT="2025-01-23T05:34:19.03" personId="{436C6567-3A21-42FB-877A-CB2FEF21A7D6}" id="{20A5AA68-EF33-44CE-9213-7EDF35A83621}">
    <text>25% at Pre-use inspection</text>
  </threadedComment>
  <threadedComment ref="AK115" dT="2025-01-23T05:34:19.03" personId="{436C6567-3A21-42FB-877A-CB2FEF21A7D6}" id="{03B3754B-6890-4F27-BC37-2B1B4990BAE0}">
    <text>5% at COD</text>
  </threadedComment>
  <threadedComment ref="W116" dT="2025-01-23T07:22:48.07" personId="{436C6567-3A21-42FB-877A-CB2FEF21A7D6}" id="{9AA87F78-DE38-4E57-904F-B16723A684B9}">
    <text>20% at DP</text>
  </threadedComment>
  <threadedComment ref="AB116" dT="2025-01-23T06:26:18.61" personId="{436C6567-3A21-42FB-877A-CB2FEF21A7D6}" id="{5C6E7074-7ECA-418F-BA5B-9A9F0947A460}">
    <text>20% at EBL</text>
  </threadedComment>
  <threadedComment ref="AE116" dT="2025-01-23T06:26:18.61" personId="{436C6567-3A21-42FB-877A-CB2FEF21A7D6}" id="{B862BFFF-AFED-4682-AE41-53431691D8CC}">
    <text>50% at DAP</text>
  </threadedComment>
  <threadedComment ref="AH116" dT="2025-01-23T06:26:18.61" personId="{436C6567-3A21-42FB-877A-CB2FEF21A7D6}" id="{4A2931E5-E0C3-4A2D-916D-45297C3284A5}">
    <text>10% at COD</text>
  </threadedComment>
  <threadedComment ref="W118" dT="2025-01-23T07:22:48.07" personId="{436C6567-3A21-42FB-877A-CB2FEF21A7D6}" id="{17C50E4D-2166-4555-9AE7-3107C1B07D58}">
    <text>20% at DP</text>
  </threadedComment>
  <threadedComment ref="AB118" dT="2025-01-23T06:26:18.61" personId="{436C6567-3A21-42FB-877A-CB2FEF21A7D6}" id="{39E1DDC1-5A66-4437-831E-80C05C773941}">
    <text>20% at EBL</text>
  </threadedComment>
  <threadedComment ref="AE118" dT="2025-01-23T06:26:18.61" personId="{436C6567-3A21-42FB-877A-CB2FEF21A7D6}" id="{307DF05A-C9BE-4E4B-8425-DF5F1FFC7890}">
    <text>50% at DAP</text>
  </threadedComment>
  <threadedComment ref="AH118" dT="2025-01-23T06:26:18.61" personId="{436C6567-3A21-42FB-877A-CB2FEF21A7D6}" id="{97DC8949-B3DE-4895-9940-D5C8D8C104A9}">
    <text>10% at COD</text>
  </threadedComment>
  <threadedComment ref="W120" dT="2025-01-23T06:34:17.33" personId="{436C6567-3A21-42FB-877A-CB2FEF21A7D6}" id="{EFC4A50F-44D4-4169-9B8C-1C6B9014EBB2}">
    <text>10% at DP</text>
  </threadedComment>
  <threadedComment ref="AB120" dT="2025-01-23T05:35:01.59" personId="{436C6567-3A21-42FB-877A-CB2FEF21A7D6}" id="{3B803AE2-FB38-411C-86DA-1CEB19BBE082}">
    <text>20% at NTP</text>
  </threadedComment>
  <threadedComment ref="AE120" dT="2025-01-23T05:34:19.03" personId="{436C6567-3A21-42FB-877A-CB2FEF21A7D6}" id="{6FAFEA5A-A50E-4651-9DB7-C5AA60303649}">
    <text xml:space="preserve">40% at Module arrival
</text>
  </threadedComment>
  <threadedComment ref="AH120" dT="2025-01-23T05:34:19.03" personId="{436C6567-3A21-42FB-877A-CB2FEF21A7D6}" id="{CA212B99-10D4-4D17-B028-19920618B5EE}">
    <text>25% at Pre-use inspection</text>
  </threadedComment>
  <threadedComment ref="AK120" dT="2025-01-23T05:34:19.03" personId="{436C6567-3A21-42FB-877A-CB2FEF21A7D6}" id="{3F324814-A05D-42CC-8CBA-D8AD67370A49}">
    <text>5% at COD</text>
  </threadedComment>
  <threadedComment ref="W121" dT="2025-01-23T07:22:48.07" personId="{436C6567-3A21-42FB-877A-CB2FEF21A7D6}" id="{DEC90869-70DE-4A1D-B410-0988199F776F}">
    <text>20% at DP</text>
  </threadedComment>
  <threadedComment ref="AB121" dT="2025-01-23T06:26:18.61" personId="{436C6567-3A21-42FB-877A-CB2FEF21A7D6}" id="{ECCE5751-229E-41D8-A0CA-3198AD35A73F}">
    <text>20% at EBL</text>
  </threadedComment>
  <threadedComment ref="AE121" dT="2025-01-23T06:26:18.61" personId="{436C6567-3A21-42FB-877A-CB2FEF21A7D6}" id="{038ED2CE-83A7-4113-9509-063178B4874E}">
    <text>50% at DAP</text>
  </threadedComment>
  <threadedComment ref="AH121" dT="2025-01-23T06:26:18.61" personId="{436C6567-3A21-42FB-877A-CB2FEF21A7D6}" id="{FCA7362C-11D5-4D39-845C-71AC4862E631}">
    <text>10% at COD</text>
  </threadedComment>
  <threadedComment ref="W123" dT="2025-01-23T07:22:48.07" personId="{436C6567-3A21-42FB-877A-CB2FEF21A7D6}" id="{75430070-7334-4BD2-8C3F-0A9E3D2935E4}">
    <text>20% at DP</text>
  </threadedComment>
  <threadedComment ref="AB123" dT="2025-01-23T06:26:18.61" personId="{436C6567-3A21-42FB-877A-CB2FEF21A7D6}" id="{6FB8D9F9-B684-4438-A579-B13E14BC34B2}">
    <text>20% at EBL</text>
  </threadedComment>
  <threadedComment ref="AE123" dT="2025-01-23T06:26:18.61" personId="{436C6567-3A21-42FB-877A-CB2FEF21A7D6}" id="{A849CE03-6B05-4779-9D4B-BC452420886A}">
    <text>50% at DAP</text>
  </threadedComment>
  <threadedComment ref="AH123" dT="2025-01-23T06:26:18.61" personId="{436C6567-3A21-42FB-877A-CB2FEF21A7D6}" id="{30B16E5E-F69F-4A9C-86CB-3F4F56DDBFAA}">
    <text>10% at COD</text>
  </threadedComment>
  <threadedComment ref="W125" dT="2025-01-23T06:34:17.33" personId="{436C6567-3A21-42FB-877A-CB2FEF21A7D6}" id="{E76897E5-4F58-450B-B3AB-B9F97A3A5C02}">
    <text>10% at DP</text>
  </threadedComment>
  <threadedComment ref="AB125" dT="2025-01-23T05:35:01.59" personId="{436C6567-3A21-42FB-877A-CB2FEF21A7D6}" id="{5DA30EE5-B657-4366-AC32-39A61C00B610}">
    <text>20% at NTP</text>
  </threadedComment>
  <threadedComment ref="AE125" dT="2025-01-23T05:34:19.03" personId="{436C6567-3A21-42FB-877A-CB2FEF21A7D6}" id="{3D8076C5-2B08-4F41-A1E0-54EBCDF3F5E9}">
    <text xml:space="preserve">40% at Module arrival
</text>
  </threadedComment>
  <threadedComment ref="AH125" dT="2025-01-23T05:34:19.03" personId="{436C6567-3A21-42FB-877A-CB2FEF21A7D6}" id="{670C916E-A05A-43B5-A809-7EC300328C78}">
    <text>25% at Pre-use inspection</text>
  </threadedComment>
  <threadedComment ref="AK125" dT="2025-01-23T05:34:19.03" personId="{436C6567-3A21-42FB-877A-CB2FEF21A7D6}" id="{A77E8F12-FFB2-436D-8CF7-E0FA50268872}">
    <text>5% at COD</text>
  </threadedComment>
  <threadedComment ref="W126" dT="2025-01-23T07:22:48.07" personId="{436C6567-3A21-42FB-877A-CB2FEF21A7D6}" id="{7100B467-9466-4D30-BE0A-3E8E4EFEE194}">
    <text>20% at DP</text>
  </threadedComment>
  <threadedComment ref="AB126" dT="2025-01-23T06:26:18.61" personId="{436C6567-3A21-42FB-877A-CB2FEF21A7D6}" id="{026ABE2A-C35E-43D8-855A-4E3CD9234260}">
    <text>20% at EBL</text>
  </threadedComment>
  <threadedComment ref="AE126" dT="2025-01-23T06:26:18.61" personId="{436C6567-3A21-42FB-877A-CB2FEF21A7D6}" id="{84A8E273-0E21-467D-BDC3-D8FBCC73DE01}">
    <text>50% at DAP</text>
  </threadedComment>
  <threadedComment ref="AH126" dT="2025-01-23T06:26:18.61" personId="{436C6567-3A21-42FB-877A-CB2FEF21A7D6}" id="{6E025324-463B-4907-9B6F-ACE61276F669}">
    <text>10% at COD</text>
  </threadedComment>
  <threadedComment ref="W128" dT="2025-01-23T07:22:48.07" personId="{436C6567-3A21-42FB-877A-CB2FEF21A7D6}" id="{868FEE62-E1B5-48A3-A7A9-9866D69F2C9C}">
    <text>20% at DP</text>
  </threadedComment>
  <threadedComment ref="AB128" dT="2025-01-23T06:26:18.61" personId="{436C6567-3A21-42FB-877A-CB2FEF21A7D6}" id="{223FD02B-7965-45CA-82F1-BE08ECB0B6DB}">
    <text>20% at EBL</text>
  </threadedComment>
  <threadedComment ref="AE128" dT="2025-01-23T06:26:18.61" personId="{436C6567-3A21-42FB-877A-CB2FEF21A7D6}" id="{0E729C59-EA1C-4EFA-BD67-6A88827940BD}">
    <text>50% at DAP</text>
  </threadedComment>
  <threadedComment ref="AH128" dT="2025-01-23T06:26:18.61" personId="{436C6567-3A21-42FB-877A-CB2FEF21A7D6}" id="{0D24F8F8-EEDA-4AB9-A536-101C40FA9756}">
    <text>10% at COD</text>
  </threadedComment>
  <threadedComment ref="W130" dT="2025-01-23T06:34:17.33" personId="{436C6567-3A21-42FB-877A-CB2FEF21A7D6}" id="{72F2C5B8-83D0-492E-8D8A-5B2EA2B15685}">
    <text>10% at DP</text>
  </threadedComment>
  <threadedComment ref="AB130" dT="2025-01-23T05:35:01.59" personId="{436C6567-3A21-42FB-877A-CB2FEF21A7D6}" id="{057830FA-950B-4245-A155-29C0924BCCE7}">
    <text>20% at NTP</text>
  </threadedComment>
  <threadedComment ref="AE130" dT="2025-01-23T05:34:19.03" personId="{436C6567-3A21-42FB-877A-CB2FEF21A7D6}" id="{F80F3CA0-601D-49EC-BF9C-45EF76777035}">
    <text xml:space="preserve">40% at Module arrival
</text>
  </threadedComment>
  <threadedComment ref="AH130" dT="2025-01-23T05:34:19.03" personId="{436C6567-3A21-42FB-877A-CB2FEF21A7D6}" id="{8FD7EF69-84E5-401F-BB86-3158DEAB4D82}">
    <text>25% at Pre-use inspection</text>
  </threadedComment>
  <threadedComment ref="AK130" dT="2025-01-23T05:34:19.03" personId="{436C6567-3A21-42FB-877A-CB2FEF21A7D6}" id="{89C23A98-1464-4B52-A79B-6171BCFFAE7B}">
    <text>5% at COD</text>
  </threadedComment>
  <threadedComment ref="W131" dT="2025-01-23T07:22:48.07" personId="{436C6567-3A21-42FB-877A-CB2FEF21A7D6}" id="{ED68F188-00AB-4848-8CB0-B312632EEC54}">
    <text>20% at DP</text>
  </threadedComment>
  <threadedComment ref="AB131" dT="2025-01-23T06:26:18.61" personId="{436C6567-3A21-42FB-877A-CB2FEF21A7D6}" id="{84B1F011-6AD6-4D61-923E-03616EF0A4C8}">
    <text>20% at EBL</text>
  </threadedComment>
  <threadedComment ref="AE131" dT="2025-01-23T06:26:18.61" personId="{436C6567-3A21-42FB-877A-CB2FEF21A7D6}" id="{0CF9A6CB-3E64-4D5A-A3B8-C4980D5B2409}">
    <text>50% at DAP</text>
  </threadedComment>
  <threadedComment ref="AH131" dT="2025-01-23T06:26:18.61" personId="{436C6567-3A21-42FB-877A-CB2FEF21A7D6}" id="{B544B0AE-C4B3-4F11-9B96-8E82CFF6D8D0}">
    <text>10% at COD</text>
  </threadedComment>
  <threadedComment ref="W133" dT="2025-01-23T07:22:48.07" personId="{436C6567-3A21-42FB-877A-CB2FEF21A7D6}" id="{ECEBC348-30B5-4471-BC3D-C9EA48D1E1D1}">
    <text>20% at DP</text>
  </threadedComment>
  <threadedComment ref="AB133" dT="2025-01-23T06:26:18.61" personId="{436C6567-3A21-42FB-877A-CB2FEF21A7D6}" id="{EF158F61-FBD6-4043-A4E9-1ACD16578BC9}">
    <text>20% at EBL</text>
  </threadedComment>
  <threadedComment ref="AE133" dT="2025-01-23T06:26:18.61" personId="{436C6567-3A21-42FB-877A-CB2FEF21A7D6}" id="{597C14B3-C225-4B5F-A93C-C96380B436FC}">
    <text>50% at DAP</text>
  </threadedComment>
  <threadedComment ref="AH133" dT="2025-01-23T06:26:18.61" personId="{436C6567-3A21-42FB-877A-CB2FEF21A7D6}" id="{18ED6604-D867-4A6A-ACE3-8CBEF3757DFA}">
    <text>10% at COD</text>
  </threadedComment>
  <threadedComment ref="W135" dT="2025-01-23T06:34:17.33" personId="{436C6567-3A21-42FB-877A-CB2FEF21A7D6}" id="{ADD49F94-F91D-4005-96D0-800C8777F6E1}">
    <text>10% at DP</text>
  </threadedComment>
  <threadedComment ref="AB135" dT="2025-01-23T05:35:01.59" personId="{436C6567-3A21-42FB-877A-CB2FEF21A7D6}" id="{6D0A3BCA-05B8-49A5-A8A2-809CE61454DA}">
    <text>20% at NTP</text>
  </threadedComment>
  <threadedComment ref="AE135" dT="2025-01-23T05:34:19.03" personId="{436C6567-3A21-42FB-877A-CB2FEF21A7D6}" id="{2DDE452E-D103-476B-8E6F-66F8D1D24AA2}">
    <text xml:space="preserve">40% at Module arrival
</text>
  </threadedComment>
  <threadedComment ref="AH135" dT="2025-01-23T05:34:19.03" personId="{436C6567-3A21-42FB-877A-CB2FEF21A7D6}" id="{67061CDA-8A26-4968-AAA9-FFA2E915C229}">
    <text>25% at Pre-use inspection</text>
  </threadedComment>
  <threadedComment ref="AK135" dT="2025-01-23T05:34:19.03" personId="{436C6567-3A21-42FB-877A-CB2FEF21A7D6}" id="{AFCD74C3-EEC5-4BA9-BE0F-F76AF46BF26D}">
    <text>5% at COD</text>
  </threadedComment>
  <threadedComment ref="W136" dT="2025-01-23T07:22:48.07" personId="{436C6567-3A21-42FB-877A-CB2FEF21A7D6}" id="{43795600-3823-4116-BD5A-D90C74F92608}">
    <text>20% at DP</text>
  </threadedComment>
  <threadedComment ref="AB136" dT="2025-01-23T06:26:18.61" personId="{436C6567-3A21-42FB-877A-CB2FEF21A7D6}" id="{996B8EF0-55A9-4A62-A128-183E78BEFF06}">
    <text>20% at EBL</text>
  </threadedComment>
  <threadedComment ref="AE136" dT="2025-01-23T06:26:18.61" personId="{436C6567-3A21-42FB-877A-CB2FEF21A7D6}" id="{626BD50A-3903-4130-9436-5EB8C667EC41}">
    <text>50% at DAP</text>
  </threadedComment>
  <threadedComment ref="AH136" dT="2025-01-23T06:26:18.61" personId="{436C6567-3A21-42FB-877A-CB2FEF21A7D6}" id="{AA0E7F67-4DB0-4950-B841-4DF8E7D6D960}">
    <text>10% at COD</text>
  </threadedComment>
  <threadedComment ref="W138" dT="2025-01-23T07:22:48.07" personId="{436C6567-3A21-42FB-877A-CB2FEF21A7D6}" id="{21C43391-E460-4BD4-A663-8C0F5EE1005F}">
    <text>20% at DP</text>
  </threadedComment>
  <threadedComment ref="AB138" dT="2025-01-23T06:26:18.61" personId="{436C6567-3A21-42FB-877A-CB2FEF21A7D6}" id="{491877AD-9896-405D-91B3-DB35934B506B}">
    <text>20% at EBL</text>
  </threadedComment>
  <threadedComment ref="AE138" dT="2025-01-23T06:26:18.61" personId="{436C6567-3A21-42FB-877A-CB2FEF21A7D6}" id="{33652DAD-FFAB-406E-94E8-60F355D0069C}">
    <text>50% at DAP</text>
  </threadedComment>
  <threadedComment ref="AH138" dT="2025-01-23T06:26:18.61" personId="{436C6567-3A21-42FB-877A-CB2FEF21A7D6}" id="{9FC576FB-FC1B-443F-A2F1-F55D19FA47AD}">
    <text>10% at COD</text>
  </threadedComment>
  <threadedComment ref="W140" dT="2025-01-23T06:34:17.33" personId="{436C6567-3A21-42FB-877A-CB2FEF21A7D6}" id="{AE10CC37-03C9-4E95-8EBB-2170B6F9BC52}">
    <text>10% at DP</text>
  </threadedComment>
  <threadedComment ref="AB140" dT="2025-01-23T05:35:01.59" personId="{436C6567-3A21-42FB-877A-CB2FEF21A7D6}" id="{FF2755E8-1DA8-4A8C-A265-615318B1DFCC}">
    <text>20% at NTP</text>
  </threadedComment>
  <threadedComment ref="AE140" dT="2025-01-23T05:34:19.03" personId="{436C6567-3A21-42FB-877A-CB2FEF21A7D6}" id="{45B5AA37-EFC8-400F-92BE-DA3B3D404B6A}">
    <text xml:space="preserve">40% at Module arrival
</text>
  </threadedComment>
  <threadedComment ref="AH140" dT="2025-01-23T05:34:19.03" personId="{436C6567-3A21-42FB-877A-CB2FEF21A7D6}" id="{7BAFE3DB-D6A1-407C-A831-5EFF2CE74827}">
    <text>25% at Pre-use inspection</text>
  </threadedComment>
  <threadedComment ref="AK140" dT="2025-01-23T05:34:19.03" personId="{436C6567-3A21-42FB-877A-CB2FEF21A7D6}" id="{70226615-DD00-4D0D-B434-C8A2D0461755}">
    <text>5% at COD</text>
  </threadedComment>
  <threadedComment ref="W141" dT="2025-01-23T07:22:48.07" personId="{436C6567-3A21-42FB-877A-CB2FEF21A7D6}" id="{75EB4019-6CF9-4C89-8012-A117A0F0A39D}">
    <text>20% at DP</text>
  </threadedComment>
  <threadedComment ref="AB141" dT="2025-01-23T06:26:18.61" personId="{436C6567-3A21-42FB-877A-CB2FEF21A7D6}" id="{7B3712ED-DBE1-4A07-828F-C093D5B561A9}">
    <text>20% at EBL</text>
  </threadedComment>
  <threadedComment ref="AB141" dT="2025-02-11T02:45:28.24" personId="{C7196D56-78D4-4D72-A93B-A73E12FA0000}" id="{D7CC6557-BCAB-4FC2-84A9-850123A6108C}" parentId="{7B3712ED-DBE1-4A07-828F-C093D5B561A9}">
    <text>Expected to obtain 7th May '25</text>
  </threadedComment>
  <threadedComment ref="AE141" dT="2025-01-23T06:26:18.61" personId="{436C6567-3A21-42FB-877A-CB2FEF21A7D6}" id="{8F2CF16A-359E-4A03-B986-B1DA94BED34C}">
    <text>50% at DAP</text>
  </threadedComment>
  <threadedComment ref="AH141" dT="2025-01-23T06:26:18.61" personId="{436C6567-3A21-42FB-877A-CB2FEF21A7D6}" id="{63EB12F1-8649-458F-AF2A-7B4F7D9B0901}">
    <text>10% at COD</text>
  </threadedComment>
  <threadedComment ref="W143" dT="2025-01-23T07:22:48.07" personId="{436C6567-3A21-42FB-877A-CB2FEF21A7D6}" id="{247BCBC9-7FAB-4F95-940B-DFB25B864D4B}">
    <text>20% at DP</text>
  </threadedComment>
  <threadedComment ref="AB143" dT="2025-01-23T06:26:18.61" personId="{436C6567-3A21-42FB-877A-CB2FEF21A7D6}" id="{7B08C48D-4B20-4C24-B770-EEA1D1F60388}">
    <text>20% at EBL</text>
  </threadedComment>
  <threadedComment ref="AE143" dT="2025-01-23T06:26:18.61" personId="{436C6567-3A21-42FB-877A-CB2FEF21A7D6}" id="{4E68F180-524E-4FEF-8C1D-D27A268C357C}">
    <text>50% at DAP</text>
  </threadedComment>
  <threadedComment ref="AH143" dT="2025-01-23T06:26:18.61" personId="{436C6567-3A21-42FB-877A-CB2FEF21A7D6}" id="{5A20172A-D699-45DF-A69B-F0542E2C4010}">
    <text>10% at COD</text>
  </threadedComment>
  <threadedComment ref="W145" dT="2025-01-23T06:34:17.33" personId="{436C6567-3A21-42FB-877A-CB2FEF21A7D6}" id="{3944394C-EF97-48D9-8DED-85C5518731FA}">
    <text>10% at DP</text>
  </threadedComment>
  <threadedComment ref="AB145" dT="2025-01-23T05:35:01.59" personId="{436C6567-3A21-42FB-877A-CB2FEF21A7D6}" id="{24433057-6872-4CD2-831C-8ECDF42247F5}">
    <text>20% at NTP</text>
  </threadedComment>
  <threadedComment ref="AE145" dT="2025-01-23T05:34:19.03" personId="{436C6567-3A21-42FB-877A-CB2FEF21A7D6}" id="{858AD462-1A7C-40B1-B0B1-AEC4B461B84B}">
    <text xml:space="preserve">40% at Module arrival
</text>
  </threadedComment>
  <threadedComment ref="AH145" dT="2025-01-23T05:34:19.03" personId="{436C6567-3A21-42FB-877A-CB2FEF21A7D6}" id="{8F699407-4F80-4645-B00A-B782930CA0B6}">
    <text>25% at Pre-use inspection</text>
  </threadedComment>
  <threadedComment ref="AK145" dT="2025-01-23T05:34:19.03" personId="{436C6567-3A21-42FB-877A-CB2FEF21A7D6}" id="{F579F291-9DB2-4418-9DA3-4CAF982B7ECA}">
    <text>5% at COD</text>
  </threadedComment>
  <threadedComment ref="W146" dT="2025-01-23T07:22:48.07" personId="{436C6567-3A21-42FB-877A-CB2FEF21A7D6}" id="{8AF84550-6711-45B2-86C3-905431CEFE35}">
    <text>20% at DP</text>
  </threadedComment>
  <threadedComment ref="AB146" dT="2025-01-23T06:26:18.61" personId="{436C6567-3A21-42FB-877A-CB2FEF21A7D6}" id="{21B8D186-C408-4EF6-BD2E-7CE73D2F7FA3}">
    <text>20% at EBL</text>
  </threadedComment>
  <threadedComment ref="AE146" dT="2025-01-23T06:26:18.61" personId="{436C6567-3A21-42FB-877A-CB2FEF21A7D6}" id="{56BCBB27-FF95-4FB7-B357-5D74EB97E612}">
    <text>50% at DAP</text>
  </threadedComment>
  <threadedComment ref="AH146" dT="2025-01-23T06:26:18.61" personId="{436C6567-3A21-42FB-877A-CB2FEF21A7D6}" id="{DDD0FD99-B3EA-486F-BF0B-18B13661566A}">
    <text>10% at COD</text>
  </threadedComment>
  <threadedComment ref="W148" dT="2025-01-23T07:22:48.07" personId="{436C6567-3A21-42FB-877A-CB2FEF21A7D6}" id="{DED92EB8-E6C9-4CD5-A0E2-86C72363B58E}">
    <text>20% at DP</text>
  </threadedComment>
  <threadedComment ref="AB148" dT="2025-01-23T06:26:18.61" personId="{436C6567-3A21-42FB-877A-CB2FEF21A7D6}" id="{BF223CE8-42DC-4276-882D-6AD012AA4DFE}">
    <text>20% at EBL</text>
  </threadedComment>
  <threadedComment ref="AE148" dT="2025-01-23T06:26:18.61" personId="{436C6567-3A21-42FB-877A-CB2FEF21A7D6}" id="{8277C8B4-83D8-4B07-BDED-31FF9012455B}">
    <text>50% at DAP</text>
  </threadedComment>
  <threadedComment ref="AH148" dT="2025-01-23T06:26:18.61" personId="{436C6567-3A21-42FB-877A-CB2FEF21A7D6}" id="{76FF4F31-2C12-4AE4-BD66-FDE59081C3FE}">
    <text>10% at COD</text>
  </threadedComment>
  <threadedComment ref="W150" dT="2025-01-23T06:34:17.33" personId="{436C6567-3A21-42FB-877A-CB2FEF21A7D6}" id="{D8C68F9C-02EB-4AEC-ACE3-78CDEA34BB8B}">
    <text>10% at DP</text>
  </threadedComment>
  <threadedComment ref="AB150" dT="2025-01-23T05:35:01.59" personId="{436C6567-3A21-42FB-877A-CB2FEF21A7D6}" id="{5EE9F13E-ECB6-421B-9855-7BE5700C670A}">
    <text>20% at NTP</text>
  </threadedComment>
  <threadedComment ref="AE150" dT="2025-01-23T05:34:19.03" personId="{436C6567-3A21-42FB-877A-CB2FEF21A7D6}" id="{71082005-4033-4B24-9518-A182B5CAB7EF}">
    <text xml:space="preserve">40% at Module arrival
</text>
  </threadedComment>
  <threadedComment ref="AH150" dT="2025-01-23T05:34:19.03" personId="{436C6567-3A21-42FB-877A-CB2FEF21A7D6}" id="{B4D3FA10-AFF0-4138-AAFD-88C2DC8978AF}">
    <text>25% at Pre-use inspection</text>
  </threadedComment>
  <threadedComment ref="AK150" dT="2025-01-23T05:34:19.03" personId="{436C6567-3A21-42FB-877A-CB2FEF21A7D6}" id="{D2198875-1173-4392-8971-B3B6D786096D}">
    <text>5% at COD</text>
  </threadedComment>
  <threadedComment ref="W151" dT="2025-01-23T07:22:48.07" personId="{436C6567-3A21-42FB-877A-CB2FEF21A7D6}" id="{92E7ED28-B2D1-4941-9232-CD8F7192FBF4}">
    <text>20% at DP</text>
  </threadedComment>
  <threadedComment ref="AB151" dT="2025-01-23T06:26:18.61" personId="{436C6567-3A21-42FB-877A-CB2FEF21A7D6}" id="{EEA50B2C-6850-4F44-A2CD-5ACD10C69C05}">
    <text>20% at EBL</text>
  </threadedComment>
  <threadedComment ref="AE151" dT="2025-01-23T06:26:18.61" personId="{436C6567-3A21-42FB-877A-CB2FEF21A7D6}" id="{A7B63FC4-8D7F-4697-88F7-23488A69BB43}">
    <text>50% at DAP</text>
  </threadedComment>
  <threadedComment ref="AH151" dT="2025-01-23T06:26:18.61" personId="{436C6567-3A21-42FB-877A-CB2FEF21A7D6}" id="{E2982B55-B2DB-4ECD-8D72-57AE729E4947}">
    <text>10% at COD</text>
  </threadedComment>
  <threadedComment ref="W153" dT="2025-01-23T07:22:48.07" personId="{436C6567-3A21-42FB-877A-CB2FEF21A7D6}" id="{23CE5CF3-C9D8-4AF7-BB3A-83C96E6D5BEC}">
    <text>20% at DP</text>
  </threadedComment>
  <threadedComment ref="AB153" dT="2025-01-23T06:26:18.61" personId="{436C6567-3A21-42FB-877A-CB2FEF21A7D6}" id="{DD95190E-602E-4608-9BD3-C0D2BB3A802C}">
    <text>20% at EBL</text>
  </threadedComment>
  <threadedComment ref="AE153" dT="2025-01-23T06:26:18.61" personId="{436C6567-3A21-42FB-877A-CB2FEF21A7D6}" id="{FD5044BC-01CE-4E8D-8074-27B18964CA12}">
    <text>50% at DAP</text>
  </threadedComment>
  <threadedComment ref="AH153" dT="2025-01-23T06:26:18.61" personId="{436C6567-3A21-42FB-877A-CB2FEF21A7D6}" id="{A69483C0-B5EB-4432-AFB7-4DEF48518513}">
    <text>10% at COD</text>
  </threadedComment>
  <threadedComment ref="W155" dT="2025-01-23T06:34:17.33" personId="{436C6567-3A21-42FB-877A-CB2FEF21A7D6}" id="{D931CF5C-1972-466A-BD65-C2936707CED6}">
    <text>10% at DP</text>
  </threadedComment>
  <threadedComment ref="AB155" dT="2025-01-23T05:35:01.59" personId="{436C6567-3A21-42FB-877A-CB2FEF21A7D6}" id="{796141E4-658D-4103-A8AF-B20D0C7BE776}">
    <text>20% at NTP</text>
  </threadedComment>
  <threadedComment ref="AE155" dT="2025-01-23T05:34:19.03" personId="{436C6567-3A21-42FB-877A-CB2FEF21A7D6}" id="{BB3B0C60-2C5B-40E9-B638-5D7B9F682ECF}">
    <text xml:space="preserve">40% at Module arrival
</text>
  </threadedComment>
  <threadedComment ref="AH155" dT="2025-01-23T05:34:19.03" personId="{436C6567-3A21-42FB-877A-CB2FEF21A7D6}" id="{16ED8C6E-E64F-4E3A-A32B-962B5F22CD2E}">
    <text>25% at Pre-use inspection</text>
  </threadedComment>
  <threadedComment ref="AK155" dT="2025-01-23T05:34:19.03" personId="{436C6567-3A21-42FB-877A-CB2FEF21A7D6}" id="{CDC547D8-D920-47C7-99D6-1EBA79221C25}">
    <text>5% at COD</text>
  </threadedComment>
  <threadedComment ref="W156" dT="2025-01-23T07:22:48.07" personId="{436C6567-3A21-42FB-877A-CB2FEF21A7D6}" id="{0B2BDF19-7990-4976-A0CB-F0FFC0AB43DD}">
    <text>20% at DP</text>
  </threadedComment>
  <threadedComment ref="AB156" dT="2025-01-23T06:26:18.61" personId="{436C6567-3A21-42FB-877A-CB2FEF21A7D6}" id="{837B63EA-03ED-41C6-B855-5A5297433901}">
    <text>20% at EBL</text>
  </threadedComment>
  <threadedComment ref="AE156" dT="2025-01-23T06:26:18.61" personId="{436C6567-3A21-42FB-877A-CB2FEF21A7D6}" id="{0BF3EF50-960E-470A-9B29-534DC12433BC}">
    <text>50% at DAP</text>
  </threadedComment>
  <threadedComment ref="AH156" dT="2025-01-23T06:26:18.61" personId="{436C6567-3A21-42FB-877A-CB2FEF21A7D6}" id="{13DC622E-E4CD-4C5E-9032-50014A411304}">
    <text>10% at COD</text>
  </threadedComment>
  <threadedComment ref="W158" dT="2025-01-23T07:22:48.07" personId="{436C6567-3A21-42FB-877A-CB2FEF21A7D6}" id="{E61FC595-DB22-498F-8778-DE03D896F0FB}">
    <text>20% at DP</text>
  </threadedComment>
  <threadedComment ref="AB158" dT="2025-01-23T06:26:18.61" personId="{436C6567-3A21-42FB-877A-CB2FEF21A7D6}" id="{CE8D26BF-7783-42E9-8176-379D0BA9AA00}">
    <text>20% at EBL</text>
  </threadedComment>
  <threadedComment ref="AE158" dT="2025-01-23T06:26:18.61" personId="{436C6567-3A21-42FB-877A-CB2FEF21A7D6}" id="{2BD8B260-13B4-4FDD-9137-B252C038C283}">
    <text>50% at DAP</text>
  </threadedComment>
  <threadedComment ref="AH158" dT="2025-01-23T06:26:18.61" personId="{436C6567-3A21-42FB-877A-CB2FEF21A7D6}" id="{A78E751D-9D94-47EC-B599-09F1337338FF}">
    <text>10% at COD</text>
  </threadedComment>
  <threadedComment ref="W160" dT="2025-01-23T06:34:17.33" personId="{436C6567-3A21-42FB-877A-CB2FEF21A7D6}" id="{9675DBA8-AE97-4EAC-9574-A7E1700E6EE9}">
    <text>10% at DP</text>
  </threadedComment>
  <threadedComment ref="AB160" dT="2025-01-23T05:35:01.59" personId="{436C6567-3A21-42FB-877A-CB2FEF21A7D6}" id="{1AE287C1-DC9A-436C-8420-C2199F18D154}">
    <text>20% at NTP</text>
  </threadedComment>
  <threadedComment ref="AE160" dT="2025-01-23T05:34:19.03" personId="{436C6567-3A21-42FB-877A-CB2FEF21A7D6}" id="{57E3998F-F563-41EB-8163-F60F15AFB912}">
    <text xml:space="preserve">40% at Module arrival
</text>
  </threadedComment>
  <threadedComment ref="AH160" dT="2025-01-23T05:34:19.03" personId="{436C6567-3A21-42FB-877A-CB2FEF21A7D6}" id="{EEDFC1CA-6778-4754-A03D-FE3A1A81E3E1}">
    <text>25% at Pre-use inspection</text>
  </threadedComment>
  <threadedComment ref="AK160" dT="2025-01-23T05:34:19.03" personId="{436C6567-3A21-42FB-877A-CB2FEF21A7D6}" id="{A554C2C7-F708-421F-B91C-692BADB46B5D}">
    <text>5% at COD</text>
  </threadedComment>
  <threadedComment ref="W161" dT="2025-01-23T07:22:48.07" personId="{436C6567-3A21-42FB-877A-CB2FEF21A7D6}" id="{CE2A6EEB-46AB-4CEA-B598-81453630F928}">
    <text>20% at DP</text>
  </threadedComment>
  <threadedComment ref="AB161" dT="2025-01-23T06:26:18.61" personId="{436C6567-3A21-42FB-877A-CB2FEF21A7D6}" id="{C7D6B33C-E275-402E-8FF3-C2032908AE46}">
    <text>20% at EBL</text>
  </threadedComment>
  <threadedComment ref="AE161" dT="2025-01-23T06:26:18.61" personId="{436C6567-3A21-42FB-877A-CB2FEF21A7D6}" id="{B9787564-46BB-428D-A6BC-2FCF2C50FFA7}">
    <text>50% at DAP</text>
  </threadedComment>
  <threadedComment ref="AH161" dT="2025-01-23T06:26:18.61" personId="{436C6567-3A21-42FB-877A-CB2FEF21A7D6}" id="{A6B0361D-3674-47C4-8613-F7E7A7E0C634}">
    <text>10% at COD</text>
  </threadedComment>
  <threadedComment ref="W163" dT="2025-01-23T07:22:48.07" personId="{436C6567-3A21-42FB-877A-CB2FEF21A7D6}" id="{E6285A81-E5BE-4AEC-80E3-04762E2DA9BA}">
    <text>20% at DP</text>
  </threadedComment>
  <threadedComment ref="AB163" dT="2025-01-23T06:26:18.61" personId="{436C6567-3A21-42FB-877A-CB2FEF21A7D6}" id="{8E34F523-8380-4D2D-BBB1-402C2C868A14}">
    <text>20% at EBL</text>
  </threadedComment>
  <threadedComment ref="AE163" dT="2025-01-23T06:26:18.61" personId="{436C6567-3A21-42FB-877A-CB2FEF21A7D6}" id="{4F0593CE-110A-4084-ABB7-70C53ED5644E}">
    <text>50% at DAP</text>
  </threadedComment>
  <threadedComment ref="AH163" dT="2025-01-23T06:26:18.61" personId="{436C6567-3A21-42FB-877A-CB2FEF21A7D6}" id="{078EABFD-ED96-4C21-8F92-B45860D1AA7F}">
    <text>10% at COD</text>
  </threadedComment>
  <threadedComment ref="W165" dT="2025-01-23T06:34:17.33" personId="{436C6567-3A21-42FB-877A-CB2FEF21A7D6}" id="{BFF597EF-8785-4D22-BE51-D8227F166F3C}">
    <text>10% at DP</text>
  </threadedComment>
  <threadedComment ref="AB165" dT="2025-01-23T05:35:01.59" personId="{436C6567-3A21-42FB-877A-CB2FEF21A7D6}" id="{F48A0527-DFE9-4573-890B-8B8EAEA702FA}">
    <text>20% at NTP</text>
  </threadedComment>
  <threadedComment ref="AE165" dT="2025-01-23T05:34:19.03" personId="{436C6567-3A21-42FB-877A-CB2FEF21A7D6}" id="{89822991-A7B4-4784-AEA6-B8397EF30BBF}">
    <text xml:space="preserve">40% at Module arrival
</text>
  </threadedComment>
  <threadedComment ref="AH165" dT="2025-01-23T05:34:19.03" personId="{436C6567-3A21-42FB-877A-CB2FEF21A7D6}" id="{29F825CA-935A-4F40-A794-3437626C6F2F}">
    <text>25% at Pre-use inspection</text>
  </threadedComment>
  <threadedComment ref="AK165" dT="2025-01-23T05:34:19.03" personId="{436C6567-3A21-42FB-877A-CB2FEF21A7D6}" id="{E5B0949F-11D9-4F9D-801F-CC54E2A01CB7}">
    <text>5% at COD</text>
  </threadedComment>
  <threadedComment ref="W166" dT="2025-01-23T07:22:48.07" personId="{436C6567-3A21-42FB-877A-CB2FEF21A7D6}" id="{368E6AAC-6F76-4AEB-9F47-E633DD781583}">
    <text>20% at DP</text>
  </threadedComment>
  <threadedComment ref="AB166" dT="2025-01-23T06:26:18.61" personId="{436C6567-3A21-42FB-877A-CB2FEF21A7D6}" id="{142BEDC5-9338-4571-BC49-785893AE253F}">
    <text>20% at EBL</text>
  </threadedComment>
  <threadedComment ref="AE166" dT="2025-01-23T06:26:18.61" personId="{436C6567-3A21-42FB-877A-CB2FEF21A7D6}" id="{946EFAB5-D858-4B34-9588-A23D998CBBD4}">
    <text>50% at DAP</text>
  </threadedComment>
  <threadedComment ref="AH166" dT="2025-01-23T06:26:18.61" personId="{436C6567-3A21-42FB-877A-CB2FEF21A7D6}" id="{D248AF4F-D7CD-4805-A174-48B086F9104A}">
    <text>10% at COD</text>
  </threadedComment>
  <threadedComment ref="W168" dT="2025-01-23T07:22:48.07" personId="{436C6567-3A21-42FB-877A-CB2FEF21A7D6}" id="{A599C3D4-43CD-4572-8294-14647E0FAC56}">
    <text>20% at DP</text>
  </threadedComment>
  <threadedComment ref="AB168" dT="2025-01-23T06:26:18.61" personId="{436C6567-3A21-42FB-877A-CB2FEF21A7D6}" id="{4EA46745-46F2-4DDA-845A-7ED5F77A0286}">
    <text>20% at EBL</text>
  </threadedComment>
  <threadedComment ref="AE168" dT="2025-01-23T06:26:18.61" personId="{436C6567-3A21-42FB-877A-CB2FEF21A7D6}" id="{D8D10BD8-FC67-4FCA-B651-EB903DF04732}">
    <text>50% at DAP</text>
  </threadedComment>
  <threadedComment ref="AH168" dT="2025-01-23T06:26:18.61" personId="{436C6567-3A21-42FB-877A-CB2FEF21A7D6}" id="{7648FB44-71FF-4EF3-B090-C02F6B2E90B4}">
    <text>10% at COD</text>
  </threadedComment>
  <threadedComment ref="W169" dT="2025-01-23T07:22:48.07" personId="{436C6567-3A21-42FB-877A-CB2FEF21A7D6}" id="{A7F9EC3D-A7C8-45F7-A81C-AA5A74431AD8}">
    <text>20% at DP</text>
  </threadedComment>
  <threadedComment ref="W170" dT="2025-01-23T06:34:17.33" personId="{436C6567-3A21-42FB-877A-CB2FEF21A7D6}" id="{2CEED150-C88E-4E11-9ACA-F55A06A0E066}">
    <text>10% at DP</text>
  </threadedComment>
  <threadedComment ref="AB170" dT="2025-01-23T05:35:01.59" personId="{436C6567-3A21-42FB-877A-CB2FEF21A7D6}" id="{B330CC2B-5D3B-4A30-8358-7671811C747C}">
    <text>20% at NTP</text>
  </threadedComment>
  <threadedComment ref="AE170" dT="2025-01-23T05:34:19.03" personId="{436C6567-3A21-42FB-877A-CB2FEF21A7D6}" id="{769F0245-DE96-45AE-8EA8-1248E7078EFA}">
    <text xml:space="preserve">40% at Module arrival
</text>
  </threadedComment>
  <threadedComment ref="AH170" dT="2025-01-23T05:34:19.03" personId="{436C6567-3A21-42FB-877A-CB2FEF21A7D6}" id="{3CF9C095-5A43-43B7-811D-51D5C709925D}">
    <text>25% at Pre-use inspection</text>
  </threadedComment>
  <threadedComment ref="AK170" dT="2025-01-23T05:34:19.03" personId="{436C6567-3A21-42FB-877A-CB2FEF21A7D6}" id="{1A9C787C-CB36-4B93-A51C-F1086AC9D5BF}">
    <text>5% at COD</text>
  </threadedComment>
  <threadedComment ref="W171" dT="2025-01-23T07:22:48.07" personId="{436C6567-3A21-42FB-877A-CB2FEF21A7D6}" id="{9BE531BA-DC41-4F44-8A07-6B7E5282AB1F}">
    <text>20% at DP</text>
  </threadedComment>
  <threadedComment ref="AB171" dT="2025-01-23T06:26:18.61" personId="{436C6567-3A21-42FB-877A-CB2FEF21A7D6}" id="{747AC25E-95A9-4DD1-8915-D78C6889E87E}">
    <text>20% at EBL</text>
  </threadedComment>
  <threadedComment ref="AE171" dT="2025-01-23T06:26:18.61" personId="{436C6567-3A21-42FB-877A-CB2FEF21A7D6}" id="{A1B3F9FC-4043-4A59-9CAF-BFCB44A6867F}">
    <text>50% at DAP</text>
  </threadedComment>
  <threadedComment ref="AH171" dT="2025-01-23T06:26:18.61" personId="{436C6567-3A21-42FB-877A-CB2FEF21A7D6}" id="{0268E51F-422D-4EDD-9FAA-CCACA6E4EA3E}">
    <text>10% at COD</text>
  </threadedComment>
  <threadedComment ref="W173" dT="2025-01-23T07:22:48.07" personId="{436C6567-3A21-42FB-877A-CB2FEF21A7D6}" id="{3D55E591-EBF3-4F9B-BC58-3F24F8ED3D7E}">
    <text>20% at DP</text>
  </threadedComment>
  <threadedComment ref="AB173" dT="2025-01-23T06:26:18.61" personId="{436C6567-3A21-42FB-877A-CB2FEF21A7D6}" id="{95093A89-CC11-4663-9815-374972317C15}">
    <text>20% at EBL</text>
  </threadedComment>
  <threadedComment ref="AE173" dT="2025-01-23T06:26:18.61" personId="{436C6567-3A21-42FB-877A-CB2FEF21A7D6}" id="{968197D5-38C3-45CA-8762-62BCCE5349FD}">
    <text>50% at DAP</text>
  </threadedComment>
  <threadedComment ref="AH173" dT="2025-01-23T06:26:18.61" personId="{436C6567-3A21-42FB-877A-CB2FEF21A7D6}" id="{8560527D-AE86-490A-B29D-604C31FAA021}">
    <text>10% at COD</text>
  </threadedComment>
  <threadedComment ref="W174" dT="2025-01-23T07:22:48.07" personId="{436C6567-3A21-42FB-877A-CB2FEF21A7D6}" id="{11C7C80D-8485-40C1-A244-A9AC2523328C}">
    <text>20% at DP</text>
  </threadedComment>
  <threadedComment ref="W175" dT="2025-01-23T06:34:17.33" personId="{436C6567-3A21-42FB-877A-CB2FEF21A7D6}" id="{8878595B-52AB-4B9E-A3FE-527BA49961C7}">
    <text>10% at DP</text>
  </threadedComment>
  <threadedComment ref="AB175" dT="2025-01-23T05:35:01.59" personId="{436C6567-3A21-42FB-877A-CB2FEF21A7D6}" id="{AB65AA94-C58C-4CCA-ACE6-DC82FA20C851}">
    <text>20% at NTP</text>
  </threadedComment>
  <threadedComment ref="AE175" dT="2025-01-23T05:34:19.03" personId="{436C6567-3A21-42FB-877A-CB2FEF21A7D6}" id="{44B3E025-8F99-4D14-B4C6-ABBEBBDF8C55}">
    <text xml:space="preserve">40% at Module arrival
</text>
  </threadedComment>
  <threadedComment ref="AH175" dT="2025-01-23T05:34:19.03" personId="{436C6567-3A21-42FB-877A-CB2FEF21A7D6}" id="{D58FF652-24B8-432C-AFC8-D66413B35302}">
    <text>25% at Pre-use inspection</text>
  </threadedComment>
  <threadedComment ref="AK175" dT="2025-01-23T05:34:19.03" personId="{436C6567-3A21-42FB-877A-CB2FEF21A7D6}" id="{1221BEAD-7478-4FCB-8E02-451C05000F16}">
    <text>5% at COD</text>
  </threadedComment>
  <threadedComment ref="W176" dT="2025-01-23T07:22:48.07" personId="{436C6567-3A21-42FB-877A-CB2FEF21A7D6}" id="{1299EA9E-43AE-49CE-96AD-3FBFACD2A218}">
    <text>20% at DP</text>
  </threadedComment>
  <threadedComment ref="AB176" dT="2025-01-23T06:26:18.61" personId="{436C6567-3A21-42FB-877A-CB2FEF21A7D6}" id="{3FC65BB6-235A-4790-A68D-9BDDDA739742}">
    <text>20% at EBL</text>
  </threadedComment>
  <threadedComment ref="AE176" dT="2025-01-23T06:26:18.61" personId="{436C6567-3A21-42FB-877A-CB2FEF21A7D6}" id="{F09A5624-ACD5-4251-9363-08821B493ABC}">
    <text>50% at DAP</text>
  </threadedComment>
  <threadedComment ref="AH176" dT="2025-01-23T06:26:18.61" personId="{436C6567-3A21-42FB-877A-CB2FEF21A7D6}" id="{CF45CC81-AF99-437A-AD41-0B6E2FADAC15}">
    <text>10% at COD</text>
  </threadedComment>
  <threadedComment ref="W178" dT="2025-01-23T07:22:48.07" personId="{436C6567-3A21-42FB-877A-CB2FEF21A7D6}" id="{3491F89C-8ED2-4161-BFDC-EEC4941E355C}">
    <text>20% at DP</text>
  </threadedComment>
  <threadedComment ref="AB178" dT="2025-01-23T06:26:18.61" personId="{436C6567-3A21-42FB-877A-CB2FEF21A7D6}" id="{28CD668F-56A0-499A-8F38-7FA249E9156C}">
    <text>20% at EBL</text>
  </threadedComment>
  <threadedComment ref="AE178" dT="2025-01-23T06:26:18.61" personId="{436C6567-3A21-42FB-877A-CB2FEF21A7D6}" id="{D10C1679-33CD-4F7D-8E4E-B9A27DF26A50}">
    <text>50% at DAP</text>
  </threadedComment>
  <threadedComment ref="AH178" dT="2025-01-23T06:26:18.61" personId="{436C6567-3A21-42FB-877A-CB2FEF21A7D6}" id="{5B886175-8FF6-4D79-8D21-CE10B2747F63}">
    <text>10% at COD</text>
  </threadedComment>
  <threadedComment ref="W179" dT="2025-01-23T07:22:48.07" personId="{436C6567-3A21-42FB-877A-CB2FEF21A7D6}" id="{4913824E-394F-4A5F-BE3B-0EDBC34720B2}">
    <text>20% at DP</text>
  </threadedComment>
</ThreadedComments>
</file>

<file path=xl/threadedComments/threadedComment9.xml><?xml version="1.0" encoding="utf-8"?>
<ThreadedComments xmlns="http://schemas.microsoft.com/office/spreadsheetml/2018/threadedcomments" xmlns:x="http://schemas.openxmlformats.org/spreadsheetml/2006/main">
  <threadedComment ref="G2" dT="2024-10-07T06:51:01.28" personId="{C7196D56-78D4-4D72-A93B-A73E12FA0000}" id="{020411BE-FF3A-44E6-9A82-A2A9EA06EFFE}">
    <text>각종 공사 착공 신고</text>
  </threadedComment>
  <threadedComment ref="T2" dT="2024-10-07T03:05:08.79" personId="{C7196D56-78D4-4D72-A93B-A73E12FA0000}" id="{2FB1656A-7E17-4DB7-8A57-8881DACBE877}">
    <text>KRW 40M/MW</text>
  </threadedComment>
  <threadedComment ref="AU2" dT="2024-10-07T03:06:31.23" personId="{C7196D56-78D4-4D72-A93B-A73E12FA0000}" id="{8F910DA3-50BC-457E-93F5-857C3AE45640}">
    <text>Expected production</text>
  </threadedComment>
  <threadedComment ref="AO3" dT="2024-10-08T06:04:13.36" personId="{7CC3146B-4D76-4CD5-A5AD-886DE9985929}" id="{2B6ECBE9-1190-421A-B20D-2EBB5EE7E854}">
    <text>Extracted from land release material in ref-batch1 of budget sheet
8 sites of Batch1 are extracted from ref-batch1</text>
  </threadedComment>
  <threadedComment ref="AQ3" dT="2024-10-08T07:03:44.75" personId="{7CC3146B-4D76-4CD5-A5AD-886DE9985929}" id="{E5FC713D-376C-442B-9B3E-E0A8C03689A6}">
    <text>Permit set at KRW 180,000,000 per 1Mw</text>
  </threadedComment>
  <threadedComment ref="AO4" dT="2024-10-08T06:04:13.36" personId="{7CC3146B-4D76-4CD5-A5AD-886DE9985929}" id="{7B8DE223-5319-41F8-B6A3-59FBAB63B354}">
    <text>Extracted from land release material in ref-batch1 of budget sheet
8 sites of Batch1 are extracted from ref-batch1</text>
  </threadedComment>
  <threadedComment ref="AQ4" dT="2024-10-08T07:03:44.75" personId="{7CC3146B-4D76-4CD5-A5AD-886DE9985929}" id="{12D975B6-1574-471E-94A6-C80AECC4CCF6}">
    <text>Permit set at KRW 180,000,000 per 1Mw</text>
  </threadedComment>
  <threadedComment ref="AO5" dT="2024-10-08T06:04:13.36" personId="{7CC3146B-4D76-4CD5-A5AD-886DE9985929}" id="{91B8F3B8-467C-4181-89B2-7B8387049863}">
    <text>Extracted from land release material in ref-batch1 of budget sheet
8 sites of Batch1 are extracted from ref-batch1</text>
  </threadedComment>
  <threadedComment ref="AQ5" dT="2024-10-08T07:03:44.75" personId="{7CC3146B-4D76-4CD5-A5AD-886DE9985929}" id="{43D1AA64-27E9-42C8-BE99-A0F7E66DC11B}">
    <text>Permit set at KRW 180,000,000 per 1Mw</text>
  </threadedComment>
  <threadedComment ref="AO6" dT="2024-10-08T06:04:13.36" personId="{7CC3146B-4D76-4CD5-A5AD-886DE9985929}" id="{0A2F02C5-C0A5-4A61-B426-9F28455ECBC7}">
    <text>Extracted from land release material in ref-batch1 of budget sheet
8 sites of Batch1 are extracted from ref-batch1</text>
  </threadedComment>
  <threadedComment ref="AQ6" dT="2024-10-08T07:03:44.75" personId="{7CC3146B-4D76-4CD5-A5AD-886DE9985929}" id="{C7AC8107-98A3-4555-8370-205566C0B9F0}">
    <text>Permit set at KRW 180,000,000 per 1Mw</text>
  </threadedComment>
  <threadedComment ref="AO7" dT="2024-10-08T06:04:13.36" personId="{7CC3146B-4D76-4CD5-A5AD-886DE9985929}" id="{FE56A1C6-B7A8-4050-9116-9043A768E224}">
    <text>Extracted from land release material in ref-batch1 of budget sheet
8 sites of Batch1 are extracted from ref-batch1</text>
  </threadedComment>
  <threadedComment ref="AQ7" dT="2024-10-08T07:03:44.75" personId="{7CC3146B-4D76-4CD5-A5AD-886DE9985929}" id="{6DD51201-5787-4866-994F-8FC92F5CD456}">
    <text>Permit set at KRW 180,000,000 per 1Mw</text>
  </threadedComment>
  <threadedComment ref="AO8" dT="2024-10-08T06:04:13.36" personId="{7CC3146B-4D76-4CD5-A5AD-886DE9985929}" id="{CB2F58F5-EF15-40F5-BE62-6017E743569D}">
    <text>Extracted from land release material in ref-batch1 of budget sheet
8 sites of Batch1 are extracted from ref-batch1</text>
  </threadedComment>
  <threadedComment ref="AQ8" dT="2024-10-08T07:03:44.75" personId="{7CC3146B-4D76-4CD5-A5AD-886DE9985929}" id="{06EC4FFC-BECF-4D7D-B2A2-16B811D1C488}">
    <text>Permit set at KRW 180,000,000 per 1Mw</text>
  </threadedComment>
  <threadedComment ref="AO9" dT="2024-10-08T06:04:13.36" personId="{7CC3146B-4D76-4CD5-A5AD-886DE9985929}" id="{AED05475-2C08-4924-934C-7A935682A275}">
    <text>Extracted from land release material in ref-batch1 of budget sheet
8 sites of Batch1 are extracted from ref-batch1</text>
  </threadedComment>
  <threadedComment ref="AQ9" dT="2024-10-08T07:03:44.75" personId="{7CC3146B-4D76-4CD5-A5AD-886DE9985929}" id="{2500E4E7-BE21-496C-8529-897052C493BB}">
    <text>Permit set at KRW 180,000,000 per 1Mw</text>
  </threadedComment>
  <threadedComment ref="Z10" dT="2024-09-26T07:19:38.25" personId="{C7196D56-78D4-4D72-A93B-A73E12FA0000}" id="{76EB6AEF-8EA7-43CF-A039-CF968480D012}">
    <text>Mountain 56 : 385㎡ - KRW 7,510/Pyeong &amp; #619: 8311㎡ - KRW 7,800/Pyeong</text>
  </threadedComment>
  <threadedComment ref="AO10" dT="2024-10-08T06:04:13.36" personId="{7CC3146B-4D76-4CD5-A5AD-886DE9985929}" id="{6899E4B1-891A-4071-B103-D1615B37E814}">
    <text>Extracted from land release material in ref-batch1 of budget sheet
8 sites of Batch1 are extracted from ref-batch1</text>
  </threadedComment>
  <threadedComment ref="AQ10" dT="2024-10-08T07:03:44.75" personId="{7CC3146B-4D76-4CD5-A5AD-886DE9985929}" id="{534E78FA-BBA6-4CAD-A92A-C547BF031856}">
    <text>Permit set at KRW 180,000,000 per 1Mw</text>
  </threadedComment>
  <threadedComment ref="R11" dT="2025-01-24T04:50:37.96" personId="{C7196D56-78D4-4D72-A93B-A73E12FA0000}" id="{9695EE95-D967-4A31-AF1A-41F027DF2A0E}">
    <text>Grid connection:2025</text>
  </threadedComment>
  <threadedComment ref="R12" dT="2025-01-24T04:50:42.60" personId="{C7196D56-78D4-4D72-A93B-A73E12FA0000}" id="{6E757BD9-42D3-4BCA-AB1B-315DDAF18392}">
    <text>Grid connection:2025</text>
  </threadedComment>
  <threadedComment ref="R13" dT="2025-01-24T04:50:50.50" personId="{C7196D56-78D4-4D72-A93B-A73E12FA0000}" id="{665419C3-17C0-4E7B-83F4-2C2472D6ABA6}">
    <text>Grid connection:2026</text>
  </threadedComment>
  <threadedComment ref="R14" dT="2025-01-24T04:50:50.50" personId="{C7196D56-78D4-4D72-A93B-A73E12FA0000}" id="{00DC166E-CE18-4176-ACB4-C6B5CDC52E86}">
    <text>Grid connection:2026</text>
  </threadedComment>
  <threadedComment ref="R15" dT="2025-01-24T04:50:50.50" personId="{C7196D56-78D4-4D72-A93B-A73E12FA0000}" id="{26A5624F-E0B9-4501-A545-DE864BCE1D19}">
    <text>Grid connection:2026</text>
  </threadedComment>
  <threadedComment ref="R16" dT="2025-01-24T04:50:50.50" personId="{C7196D56-78D4-4D72-A93B-A73E12FA0000}" id="{06AB6BA2-A46B-4266-B8BA-8D903A8FDF83}">
    <text>Grid connection:2026</text>
  </threadedComment>
  <threadedComment ref="R17" dT="2025-01-24T04:50:42.60" personId="{C7196D56-78D4-4D72-A93B-A73E12FA0000}" id="{CE8F7D99-3DB5-4079-99C2-3215ADF80BB2}">
    <text>Grid connection:2027</text>
  </threadedComment>
  <threadedComment ref="R18" dT="2025-01-24T04:50:42.60" personId="{C7196D56-78D4-4D72-A93B-A73E12FA0000}" id="{0F7C24B1-238B-4688-9DC2-5711A37F3DF4}">
    <text>Grid connection:2027</text>
  </threadedComment>
  <threadedComment ref="R19" dT="2025-01-24T04:50:42.60" personId="{C7196D56-78D4-4D72-A93B-A73E12FA0000}" id="{C72896C4-64E2-422A-AAE0-B51DD8B3AB05}">
    <text>Grid connection:2027</text>
  </threadedComment>
  <threadedComment ref="R20" dT="2025-01-24T04:50:42.60" personId="{C7196D56-78D4-4D72-A93B-A73E12FA0000}" id="{99DD9256-84DF-4D8F-AD8B-1ED958647D41}">
    <text>Grid connection:2027</text>
  </threadedComment>
</ThreadedComments>
</file>

<file path=xl/threadedComments/threadedComment10.xml><?xml version="1.0" encoding="utf-8"?>
<ThreadedComments xmlns="http://schemas.microsoft.com/office/spreadsheetml/2018/threadedcomments" xmlns:x="http://schemas.openxmlformats.org/spreadsheetml/2006/main">
  <threadedComment ref="E2" dT="2024-10-07T06:51:01.28" personId="{C7196D56-78D4-4D72-A93B-A73E12FA0000}" id="{97253432-E53F-4B80-B073-A4FF241B20A6}">
    <text>각종 공사 착공 신고</text>
  </threadedComment>
  <threadedComment ref="T2" dT="2024-10-07T03:05:08.79" personId="{C7196D56-78D4-4D72-A93B-A73E12FA0000}" id="{DEDF5C86-7918-41BB-8FA8-5A22B31F17F8}">
    <text>20Milion KRW Per MW</text>
  </threadedComment>
  <threadedComment ref="AY2" dT="2024-10-07T03:06:31.23" personId="{C7196D56-78D4-4D72-A93B-A73E12FA0000}" id="{F7A13B4B-3573-4D57-9EDE-EB5566333B25}">
    <text>Expected production</text>
  </threadedComment>
  <threadedComment ref="AB10" dT="2024-09-26T07:19:38.25" personId="{C7196D56-78D4-4D72-A93B-A73E12FA0000}" id="{800F88B5-D26B-49D5-96B8-90F4DCB3E19E}">
    <text>Mountain 56 : 385㎡ - KRW 7,510/Pyeong &amp; #619: 8311㎡ - KRW 7,800/Pyeong</text>
  </threadedComment>
</ThreadedComments>
</file>

<file path=xl/threadedComments/threadedComment11.xml><?xml version="1.0" encoding="utf-8"?>
<ThreadedComments xmlns="http://schemas.microsoft.com/office/spreadsheetml/2018/threadedcomments" xmlns:x="http://schemas.openxmlformats.org/spreadsheetml/2006/main">
  <threadedComment ref="G2" dT="2024-10-07T06:51:01.28" personId="{C7196D56-78D4-4D72-A93B-A73E12FA0000}" id="{9AC764C5-95AB-4978-9569-7FF187FEDD49}">
    <text>각종 공사 착공 신고</text>
  </threadedComment>
  <threadedComment ref="U2" dT="2024-10-07T03:05:08.79" personId="{C7196D56-78D4-4D72-A93B-A73E12FA0000}" id="{1A9E0878-734F-41E5-B1DF-00322DA575CB}">
    <text>20Milion KRW Per MW</text>
  </threadedComment>
  <threadedComment ref="AZ2" dT="2024-10-07T03:06:31.23" personId="{C7196D56-78D4-4D72-A93B-A73E12FA0000}" id="{145E615D-AA6D-48AF-AD1B-C448C85820DD}">
    <text>Expected production</text>
  </threadedComment>
</ThreadedComments>
</file>

<file path=xl/threadedComments/threadedComment12.xml><?xml version="1.0" encoding="utf-8"?>
<ThreadedComments xmlns="http://schemas.microsoft.com/office/spreadsheetml/2018/threadedcomments" xmlns:x="http://schemas.openxmlformats.org/spreadsheetml/2006/main">
  <threadedComment ref="AC3" dT="2025-02-05T05:29:53.37" personId="{7CC3146B-4D76-4CD5-A5AD-886DE9985929}" id="{F423D085-100F-460A-8697-2BA21D5F2356}">
    <text>전체 인허가비용 40,000,000KRW 로 발전용량 대비 비율로 산정함.</text>
  </threadedComment>
  <threadedComment ref="AC4" dT="2025-02-05T05:30:01.37" personId="{7CC3146B-4D76-4CD5-A5AD-886DE9985929}" id="{96BA7183-8D88-4428-B415-45B278835C01}">
    <text>전체 인허가비용 40,000,000KRW 로 발전용량 대비 비율로 산정함.</text>
  </threadedComment>
  <threadedComment ref="Z5" dT="2025-02-05T05:13:42.96" personId="{C7196D56-78D4-4D72-A93B-A73E12FA0000}" id="{1BBA56F4-BD2D-4CC0-B692-095639784E17}">
    <text>Conditionally authorized</text>
  </threadedComment>
  <threadedComment ref="AC5" dT="2025-02-05T05:30:05.94" personId="{7CC3146B-4D76-4CD5-A5AD-886DE9985929}" id="{4E98D738-240D-44A9-9468-63254577927F}">
    <text>전체 인허가비용 40,000,000KRW 로 발전용량 대비 비율로 산정함.</text>
  </threadedComment>
  <threadedComment ref="AC6" dT="2025-02-05T05:30:09.90" personId="{7CC3146B-4D76-4CD5-A5AD-886DE9985929}" id="{25C68F21-2A41-4E0E-9C1C-184E3639B241}">
    <text>전체 인허가비용 40,000,000KRW 로 발전용량 대비 비율로 산정함.</text>
  </threadedComment>
  <threadedComment ref="AC7" dT="2025-02-05T05:30:14.30" personId="{7CC3146B-4D76-4CD5-A5AD-886DE9985929}" id="{AC6DD1C5-EEBC-4802-8554-EAF3105C588D}">
    <text>전체 인허가비용 40,000,000KRW 로 발전용량 대비 비율로 산정함.</text>
  </threadedComment>
</ThreadedComments>
</file>

<file path=xl/threadedComments/threadedComment13.xml><?xml version="1.0" encoding="utf-8"?>
<ThreadedComments xmlns="http://schemas.microsoft.com/office/spreadsheetml/2018/threadedcomments" xmlns:x="http://schemas.openxmlformats.org/spreadsheetml/2006/main">
  <threadedComment ref="AA11" dT="2025-02-18T05:26:20.93" personId="{C7196D56-78D4-4D72-A93B-A73E12FA0000}" id="{52075D84-759E-4C64-BCBB-C2E97BD9BE5B}">
    <text>KRW 35,000,000 for 5years then KRW 40,000,000 after 6th year</text>
  </threadedComment>
</ThreadedComments>
</file>

<file path=xl/threadedComments/threadedComment14.xml><?xml version="1.0" encoding="utf-8"?>
<ThreadedComments xmlns="http://schemas.microsoft.com/office/spreadsheetml/2018/threadedcomments" xmlns:x="http://schemas.openxmlformats.org/spreadsheetml/2006/main">
  <threadedComment ref="F2" dT="2024-10-07T06:51:01.28" personId="{C7196D56-78D4-4D72-A93B-A73E12FA0000}" id="{A486DC7B-A2C7-4ECC-BB91-D15207871DF0}">
    <text>각종 공사 착공 신고</text>
  </threadedComment>
  <threadedComment ref="T2" dT="2024-10-07T03:05:08.79" personId="{C7196D56-78D4-4D72-A93B-A73E12FA0000}" id="{B1ABF23F-23E5-4F00-8665-E53AD6FA39A3}">
    <text>20Milion KRW Per MW</text>
  </threadedComment>
  <threadedComment ref="AM2" dT="2024-10-18T02:45:10.63" personId="{C7196D56-78D4-4D72-A93B-A73E12FA0000}" id="{42589E7C-5162-4084-AA8F-75B6C26FFD59}">
    <text>=영업비</text>
  </threadedComment>
  <threadedComment ref="AX2" dT="2024-10-07T03:06:31.23" personId="{C7196D56-78D4-4D72-A93B-A73E12FA0000}" id="{F47CC302-471A-4640-A1F8-15D7881D2150}">
    <text>Expected production</text>
  </threadedComment>
</ThreadedComments>
</file>

<file path=xl/threadedComments/threadedComment15.xml><?xml version="1.0" encoding="utf-8"?>
<ThreadedComments xmlns="http://schemas.microsoft.com/office/spreadsheetml/2018/threadedcomments" xmlns:x="http://schemas.openxmlformats.org/spreadsheetml/2006/main">
  <threadedComment ref="F2" dT="2024-10-07T06:51:01.28" personId="{C7196D56-78D4-4D72-A93B-A73E12FA0000}" id="{7FCB5EC9-CBE2-48F2-8056-E795097EF170}">
    <text>각종 공사 착공 신고</text>
  </threadedComment>
  <threadedComment ref="U2" dT="2024-10-07T03:05:08.79" personId="{C7196D56-78D4-4D72-A93B-A73E12FA0000}" id="{7C20AFD2-E9AD-48A3-8B2C-5D47FBCFFBA5}">
    <text>20Milion KRW Per MW</text>
  </threadedComment>
  <threadedComment ref="AZ2" dT="2024-10-07T03:06:31.23" personId="{C7196D56-78D4-4D72-A93B-A73E12FA0000}" id="{69ADC3BE-1130-4E19-822F-B0B0C40144DE}">
    <text>Expected production</text>
  </threadedComment>
  <threadedComment ref="AG3" dT="2024-09-26T08:49:45.72" personId="{C7196D56-78D4-4D72-A93B-A73E12FA0000}" id="{A886AEC3-B6DE-4DF5-9E75-AE762E20FE4E}">
    <text>Forest: 12,363, Farmland 5,954</text>
  </threadedComment>
  <threadedComment ref="AP3" dT="2024-10-08T08:20:25.46" personId="{7CC3146B-4D76-4CD5-A5AD-886DE9985929}" id="{48959E50-827F-4D2F-BAB3-18C84789E610}">
    <text>Reflected as the amount of the lease consolidation fee of "GM_1.8 MW" in the budget sheet</text>
  </threadedComment>
  <threadedComment ref="AR3" dT="2024-10-08T08:20:56.01" personId="{7CC3146B-4D76-4CD5-A5AD-886DE9985929}" id="{4F457D0E-88F7-4762-A35E-D6D7F532F696}">
    <text>Reflected as the permit amount of "ref-GM" on the budget sheet</text>
  </threadedComment>
  <threadedComment ref="AS3" dT="2024-10-08T08:20:42.20" personId="{7CC3146B-4D76-4CD5-A5AD-886DE9985929}" id="{CFCE69B6-6645-43CF-B5D5-F67701C2C4D5}">
    <text>Reflected as EPC amount of "GM_1.8MW" in budget sheet</text>
  </threadedComment>
  <threadedComment ref="AQ9" dT="2024-10-08T06:04:13.36" personId="{7CC3146B-4D76-4CD5-A5AD-886DE9985929}" id="{E86ADD4D-B67A-40EF-8613-9186A635221B}">
    <text>Extracted from land release material in ref-batch1 of budget sheet
8 sites of Batch1 are extracted from ref-batch1</text>
  </threadedComment>
  <threadedComment ref="AQ10" dT="2024-10-08T06:04:13.36" personId="{7CC3146B-4D76-4CD5-A5AD-886DE9985929}" id="{D9472DE8-7EFB-4CFB-881A-02E6A235F8C9}">
    <text>Extracted from land release material in ref-batch1 of budget sheet
8 sites of Batch1 are extracted from ref-batch1</text>
  </threadedComment>
  <threadedComment ref="AQ11" dT="2024-10-08T06:04:13.36" personId="{7CC3146B-4D76-4CD5-A5AD-886DE9985929}" id="{4DFE2077-82E1-4678-BAD6-FEED8F010353}">
    <text>Extracted from land release material in ref-batch1 of budget sheet
8 sites of Batch1 are extracted from ref-batch1</text>
  </threadedComment>
  <threadedComment ref="AN70" dT="2024-10-08T08:16:14.06" personId="{7CC3146B-4D76-4CD5-A5AD-886DE9985929}" id="{EB6A105F-C800-47F5-B42A-79CE56D19DA3}">
    <text>Apply Land depot related cost in "Wind 98MW, M&amp;A98MW" sheet of budget sheet</text>
  </threadedComment>
  <threadedComment ref="AP70" dT="2024-10-08T08:15:27.84" personId="{7CC3146B-4D76-4CD5-A5AD-886DE9985929}" id="{48B8DF87-8790-4821-B64F-9417CB183752}">
    <text>Apply EBL related cost in "Wind 98MW, M&amp;A98MW" sheet of budget sheet</text>
  </threadedComment>
  <threadedComment ref="AQ70" dT="2024-10-08T08:16:44.89" personId="{7CC3146B-4D76-4CD5-A5AD-886DE9985929}" id="{93B9F940-2938-4BB2-A9CD-61967B73B6E0}">
    <text>EPC is set at KRW 2,400,000,000 per MW and reflected</text>
  </threadedComment>
</ThreadedComment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 Id="rId4" Type="http://schemas.microsoft.com/office/2017/10/relationships/threadedComment" Target="../threadedComments/threadedComment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microsoft.com/office/2019/04/relationships/documenttask" Target="../documenttasks/documenttask1.xml"/><Relationship Id="rId5" Type="http://schemas.microsoft.com/office/2017/10/relationships/threadedComment" Target="../threadedComments/threadedComment6.xml"/><Relationship Id="rId4"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 Id="rId4" Type="http://schemas.microsoft.com/office/2017/10/relationships/threadedComment" Target="../threadedComments/threadedComment8.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9.bin"/><Relationship Id="rId5" Type="http://schemas.microsoft.com/office/2017/10/relationships/threadedComment" Target="../threadedComments/threadedComment9.xml"/><Relationship Id="rId4"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 Id="rId4" Type="http://schemas.microsoft.com/office/2017/10/relationships/threadedComment" Target="../threadedComments/threadedComment10.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 Id="rId4" Type="http://schemas.microsoft.com/office/2017/10/relationships/threadedComment" Target="../threadedComments/threadedComment11.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6.xml"/><Relationship Id="rId1" Type="http://schemas.openxmlformats.org/officeDocument/2006/relationships/printerSettings" Target="../printerSettings/printerSettings12.bin"/><Relationship Id="rId5" Type="http://schemas.microsoft.com/office/2017/10/relationships/threadedComment" Target="../threadedComments/threadedComment12.xml"/><Relationship Id="rId4" Type="http://schemas.openxmlformats.org/officeDocument/2006/relationships/comments" Target="../comments13.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7.xml"/><Relationship Id="rId1" Type="http://schemas.openxmlformats.org/officeDocument/2006/relationships/printerSettings" Target="../printerSettings/printerSettings14.bin"/><Relationship Id="rId5" Type="http://schemas.microsoft.com/office/2017/10/relationships/threadedComment" Target="../threadedComments/threadedComment13.xml"/><Relationship Id="rId4" Type="http://schemas.openxmlformats.org/officeDocument/2006/relationships/comments" Target="../comments14.xml"/></Relationships>
</file>

<file path=xl/worksheets/_rels/sheet35.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 Id="rId4" Type="http://schemas.microsoft.com/office/2017/10/relationships/threadedComment" Target="../threadedComments/threadedComment15.xm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6AF3-C899-4E04-88D7-978AD680E741}">
  <sheetPr codeName="Sheet1">
    <tabColor theme="0" tint="-0.499984740745262"/>
  </sheetPr>
  <dimension ref="A2:F24"/>
  <sheetViews>
    <sheetView workbookViewId="0">
      <selection activeCell="F27" sqref="F27"/>
    </sheetView>
  </sheetViews>
  <sheetFormatPr defaultRowHeight="16.5"/>
  <cols>
    <col min="2" max="2" width="18.625" customWidth="1"/>
    <col min="3" max="3" width="28" style="31" customWidth="1"/>
    <col min="4" max="4" width="17.875" customWidth="1"/>
    <col min="5" max="5" width="16.75" customWidth="1"/>
    <col min="6" max="6" width="23.875" customWidth="1"/>
  </cols>
  <sheetData>
    <row r="2" spans="1:6" ht="25.5" customHeight="1">
      <c r="A2" s="385"/>
      <c r="B2" s="385"/>
      <c r="C2" s="386"/>
      <c r="D2" s="388" t="s">
        <v>0</v>
      </c>
      <c r="F2" s="389"/>
    </row>
    <row r="3" spans="1:6">
      <c r="A3" s="390" t="s">
        <v>1</v>
      </c>
      <c r="B3" s="384"/>
      <c r="C3" s="387" t="s">
        <v>2</v>
      </c>
      <c r="D3" s="384" t="s">
        <v>3</v>
      </c>
      <c r="E3" s="305"/>
      <c r="F3" s="305"/>
    </row>
    <row r="4" spans="1:6">
      <c r="A4" s="2346" t="s">
        <v>4</v>
      </c>
      <c r="B4" t="s">
        <v>5</v>
      </c>
      <c r="C4" s="31">
        <v>303473480</v>
      </c>
      <c r="D4" s="2345">
        <f>SUM(C4:C7)</f>
        <v>1210404780</v>
      </c>
      <c r="E4" s="2346"/>
      <c r="F4" s="2345"/>
    </row>
    <row r="5" spans="1:6">
      <c r="A5" s="2346"/>
      <c r="B5" t="s">
        <v>6</v>
      </c>
      <c r="C5" s="31">
        <v>302270100</v>
      </c>
      <c r="D5" s="2346"/>
      <c r="E5" s="2346"/>
      <c r="F5" s="2346"/>
    </row>
    <row r="6" spans="1:6">
      <c r="A6" s="2346"/>
      <c r="B6" t="s">
        <v>7</v>
      </c>
      <c r="C6" s="31">
        <v>302330600</v>
      </c>
      <c r="D6" s="2346"/>
      <c r="E6" s="2346"/>
      <c r="F6" s="2346"/>
    </row>
    <row r="7" spans="1:6">
      <c r="A7" s="2347"/>
      <c r="B7" s="385" t="s">
        <v>8</v>
      </c>
      <c r="C7" s="386">
        <v>302330600</v>
      </c>
      <c r="D7" s="2347"/>
      <c r="E7" s="2346"/>
      <c r="F7" s="2346"/>
    </row>
    <row r="8" spans="1:6">
      <c r="A8" s="2346" t="s">
        <v>9</v>
      </c>
      <c r="B8" t="s">
        <v>10</v>
      </c>
      <c r="C8" s="31">
        <v>302379000</v>
      </c>
      <c r="D8" s="2345">
        <f>SUM(C8:C11)</f>
        <v>1209503900</v>
      </c>
      <c r="E8" s="2346"/>
      <c r="F8" s="2345"/>
    </row>
    <row r="9" spans="1:6">
      <c r="A9" s="2346"/>
      <c r="B9" t="s">
        <v>11</v>
      </c>
      <c r="C9" s="31">
        <v>302379000</v>
      </c>
      <c r="D9" s="2346"/>
      <c r="E9" s="2346"/>
      <c r="F9" s="2346"/>
    </row>
    <row r="10" spans="1:6">
      <c r="A10" s="2346"/>
      <c r="B10" t="s">
        <v>12</v>
      </c>
      <c r="C10" s="31">
        <v>302372950</v>
      </c>
      <c r="D10" s="2346"/>
      <c r="E10" s="2346"/>
      <c r="F10" s="2346"/>
    </row>
    <row r="11" spans="1:6">
      <c r="A11" s="2347"/>
      <c r="B11" s="385" t="s">
        <v>13</v>
      </c>
      <c r="C11" s="386">
        <v>302372950</v>
      </c>
      <c r="D11" s="2347"/>
      <c r="E11" s="2346"/>
      <c r="F11" s="2346"/>
    </row>
    <row r="13" spans="1:6" ht="25.5" customHeight="1">
      <c r="A13" s="385"/>
      <c r="B13" s="385"/>
      <c r="C13" s="386"/>
      <c r="D13" s="385"/>
      <c r="E13" s="385"/>
      <c r="F13" s="388" t="s">
        <v>0</v>
      </c>
    </row>
    <row r="14" spans="1:6">
      <c r="A14" s="390" t="s">
        <v>14</v>
      </c>
      <c r="B14" s="384"/>
      <c r="C14" s="387" t="s">
        <v>2</v>
      </c>
      <c r="D14" s="384" t="s">
        <v>3</v>
      </c>
      <c r="E14" s="384" t="s">
        <v>15</v>
      </c>
      <c r="F14" s="384" t="s">
        <v>16</v>
      </c>
    </row>
    <row r="15" spans="1:6">
      <c r="A15" s="2346" t="s">
        <v>4</v>
      </c>
      <c r="B15" t="s">
        <v>17</v>
      </c>
      <c r="C15" s="31">
        <v>54945000</v>
      </c>
      <c r="D15" s="2345">
        <f>SUM(C15:C19)</f>
        <v>211365000</v>
      </c>
      <c r="E15" s="2346">
        <v>4</v>
      </c>
      <c r="F15" s="2345">
        <f>D15/E15</f>
        <v>52841250</v>
      </c>
    </row>
    <row r="16" spans="1:6">
      <c r="A16" s="2346"/>
      <c r="B16" t="s">
        <v>18</v>
      </c>
      <c r="C16" s="31">
        <v>11000000</v>
      </c>
      <c r="D16" s="2346"/>
      <c r="E16" s="2346"/>
      <c r="F16" s="2346"/>
    </row>
    <row r="17" spans="1:6">
      <c r="A17" s="2346"/>
      <c r="B17" t="s">
        <v>19</v>
      </c>
      <c r="C17" s="31">
        <v>35530000</v>
      </c>
      <c r="D17" s="2346"/>
      <c r="E17" s="2346"/>
      <c r="F17" s="2346"/>
    </row>
    <row r="18" spans="1:6">
      <c r="A18" s="2346"/>
      <c r="B18" t="s">
        <v>20</v>
      </c>
      <c r="C18" s="31">
        <v>54945000</v>
      </c>
      <c r="D18" s="2346"/>
      <c r="E18" s="2346"/>
      <c r="F18" s="2346"/>
    </row>
    <row r="19" spans="1:6">
      <c r="A19" s="2347"/>
      <c r="B19" s="385" t="s">
        <v>21</v>
      </c>
      <c r="C19" s="386">
        <v>54945000</v>
      </c>
      <c r="D19" s="2347"/>
      <c r="E19" s="2347"/>
      <c r="F19" s="2347"/>
    </row>
    <row r="20" spans="1:6">
      <c r="A20" s="2346" t="s">
        <v>9</v>
      </c>
      <c r="B20" t="s">
        <v>10</v>
      </c>
      <c r="C20" s="31">
        <v>54945000</v>
      </c>
      <c r="D20" s="2345">
        <f>SUM(C20:C24)</f>
        <v>207790000</v>
      </c>
      <c r="E20" s="2346">
        <v>4</v>
      </c>
      <c r="F20" s="2345">
        <f>D20/E20</f>
        <v>51947500</v>
      </c>
    </row>
    <row r="21" spans="1:6">
      <c r="A21" s="2346"/>
      <c r="B21" t="s">
        <v>11</v>
      </c>
      <c r="C21" s="31">
        <v>7040000</v>
      </c>
      <c r="D21" s="2346"/>
      <c r="E21" s="2346"/>
      <c r="F21" s="2346"/>
    </row>
    <row r="22" spans="1:6">
      <c r="A22" s="2346"/>
      <c r="B22" t="s">
        <v>12</v>
      </c>
      <c r="C22" s="31">
        <v>54945000</v>
      </c>
      <c r="D22" s="2346"/>
      <c r="E22" s="2346"/>
      <c r="F22" s="2346"/>
    </row>
    <row r="23" spans="1:6">
      <c r="A23" s="2346"/>
      <c r="B23" t="s">
        <v>22</v>
      </c>
      <c r="C23" s="31">
        <v>54945000</v>
      </c>
      <c r="D23" s="2346"/>
      <c r="E23" s="2346"/>
      <c r="F23" s="2346"/>
    </row>
    <row r="24" spans="1:6">
      <c r="A24" s="2347"/>
      <c r="B24" s="385" t="s">
        <v>13</v>
      </c>
      <c r="C24" s="386">
        <v>35915000</v>
      </c>
      <c r="D24" s="2347"/>
      <c r="E24" s="2347"/>
      <c r="F24" s="2347"/>
    </row>
  </sheetData>
  <mergeCells count="16">
    <mergeCell ref="F15:F19"/>
    <mergeCell ref="F20:F24"/>
    <mergeCell ref="A4:A7"/>
    <mergeCell ref="D4:D7"/>
    <mergeCell ref="E4:E7"/>
    <mergeCell ref="F4:F7"/>
    <mergeCell ref="A8:A11"/>
    <mergeCell ref="D8:D11"/>
    <mergeCell ref="E8:E11"/>
    <mergeCell ref="F8:F11"/>
    <mergeCell ref="A15:A19"/>
    <mergeCell ref="A20:A24"/>
    <mergeCell ref="D15:D19"/>
    <mergeCell ref="D20:D24"/>
    <mergeCell ref="E15:E19"/>
    <mergeCell ref="E20:E24"/>
  </mergeCells>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0AE0-C36B-4553-98D9-34DA219FF6FA}">
  <sheetPr codeName="Sheet2">
    <tabColor rgb="FFFAACFA"/>
  </sheetPr>
  <dimension ref="A1:D21"/>
  <sheetViews>
    <sheetView topLeftCell="A11" workbookViewId="0">
      <selection activeCell="C20" sqref="C20"/>
    </sheetView>
  </sheetViews>
  <sheetFormatPr defaultRowHeight="16.5"/>
  <cols>
    <col min="1" max="1" width="7.125" customWidth="1"/>
    <col min="2" max="2" width="38.25" customWidth="1"/>
    <col min="3" max="3" width="130.75" customWidth="1"/>
  </cols>
  <sheetData>
    <row r="1" spans="1:4" ht="32.25" customHeight="1">
      <c r="A1" s="304" t="s">
        <v>23</v>
      </c>
    </row>
    <row r="3" spans="1:4" s="303" customFormat="1" ht="21" customHeight="1">
      <c r="A3" s="315" t="s">
        <v>24</v>
      </c>
      <c r="B3" s="316" t="s">
        <v>25</v>
      </c>
      <c r="C3" s="316" t="s">
        <v>26</v>
      </c>
    </row>
    <row r="4" spans="1:4" ht="76.5" customHeight="1">
      <c r="A4" s="317">
        <v>1</v>
      </c>
      <c r="B4" s="313" t="s">
        <v>27</v>
      </c>
      <c r="C4" s="311" t="s">
        <v>28</v>
      </c>
    </row>
    <row r="5" spans="1:4" ht="54.75" customHeight="1">
      <c r="A5" s="2348">
        <v>2</v>
      </c>
      <c r="B5" s="2350" t="s">
        <v>29</v>
      </c>
      <c r="C5" s="308" t="s">
        <v>30</v>
      </c>
    </row>
    <row r="6" spans="1:4" ht="43.5" customHeight="1">
      <c r="A6" s="2349"/>
      <c r="B6" s="2351"/>
      <c r="C6" s="309" t="s">
        <v>31</v>
      </c>
    </row>
    <row r="7" spans="1:4" ht="39" customHeight="1">
      <c r="A7" s="2348">
        <v>3</v>
      </c>
      <c r="B7" s="2350" t="s">
        <v>32</v>
      </c>
      <c r="C7" s="308" t="s">
        <v>33</v>
      </c>
    </row>
    <row r="8" spans="1:4" ht="27" customHeight="1">
      <c r="A8" s="2349"/>
      <c r="B8" s="2351"/>
      <c r="C8" s="309" t="s">
        <v>34</v>
      </c>
    </row>
    <row r="9" spans="1:4">
      <c r="C9" s="306"/>
    </row>
    <row r="10" spans="1:4">
      <c r="C10" s="306"/>
    </row>
    <row r="11" spans="1:4" ht="28.5" customHeight="1">
      <c r="A11" s="304" t="s">
        <v>35</v>
      </c>
    </row>
    <row r="12" spans="1:4">
      <c r="C12" s="306"/>
    </row>
    <row r="13" spans="1:4" ht="20.25" customHeight="1">
      <c r="A13" s="322" t="s">
        <v>24</v>
      </c>
      <c r="B13" s="319" t="s">
        <v>36</v>
      </c>
      <c r="C13" s="316" t="s">
        <v>37</v>
      </c>
      <c r="D13" s="303"/>
    </row>
    <row r="14" spans="1:4" ht="66" customHeight="1">
      <c r="A14" s="314">
        <v>1</v>
      </c>
      <c r="B14" s="324" t="s">
        <v>38</v>
      </c>
      <c r="C14" s="312" t="s">
        <v>39</v>
      </c>
    </row>
    <row r="15" spans="1:4" ht="73.5" customHeight="1">
      <c r="A15" s="317">
        <v>2</v>
      </c>
      <c r="B15" s="323" t="s">
        <v>40</v>
      </c>
      <c r="C15" s="311" t="s">
        <v>41</v>
      </c>
    </row>
    <row r="16" spans="1:4" ht="90" customHeight="1">
      <c r="A16" s="318">
        <v>3</v>
      </c>
      <c r="B16" s="321" t="s">
        <v>42</v>
      </c>
      <c r="C16" s="309" t="s">
        <v>43</v>
      </c>
    </row>
    <row r="17" spans="1:3" ht="75.75" customHeight="1">
      <c r="A17" s="307">
        <v>4</v>
      </c>
      <c r="B17" s="320" t="s">
        <v>44</v>
      </c>
      <c r="C17" s="308" t="s">
        <v>45</v>
      </c>
    </row>
    <row r="18" spans="1:3" ht="39" customHeight="1">
      <c r="A18" s="310"/>
      <c r="B18" s="2352" t="s">
        <v>46</v>
      </c>
      <c r="C18" s="2353"/>
    </row>
    <row r="19" spans="1:3">
      <c r="A19" s="305"/>
    </row>
    <row r="20" spans="1:3">
      <c r="A20" s="305"/>
    </row>
    <row r="21" spans="1:3">
      <c r="A21" s="305"/>
    </row>
  </sheetData>
  <mergeCells count="5">
    <mergeCell ref="A5:A6"/>
    <mergeCell ref="B5:B6"/>
    <mergeCell ref="A7:A8"/>
    <mergeCell ref="B7:B8"/>
    <mergeCell ref="B18:C18"/>
  </mergeCells>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6A14-E14F-4821-8EA0-A95BF366408A}">
  <sheetPr codeName="Sheet5">
    <tabColor theme="1" tint="0.499984740745262"/>
  </sheetPr>
  <dimension ref="B1:O45"/>
  <sheetViews>
    <sheetView showGridLines="0" workbookViewId="0">
      <selection activeCell="E23" sqref="E23"/>
    </sheetView>
  </sheetViews>
  <sheetFormatPr defaultColWidth="9" defaultRowHeight="16.5"/>
  <cols>
    <col min="1" max="1" width="1.625" style="400" customWidth="1"/>
    <col min="2" max="2" width="21.25" style="405" customWidth="1"/>
    <col min="3" max="3" width="11.375" style="405" customWidth="1"/>
    <col min="4" max="11" width="16.875" style="405" customWidth="1"/>
    <col min="12" max="12" width="15.5" style="400" customWidth="1"/>
    <col min="13" max="13" width="15.375" style="400" customWidth="1"/>
    <col min="14" max="16384" width="9" style="400"/>
  </cols>
  <sheetData>
    <row r="1" spans="2:15">
      <c r="B1" s="413"/>
      <c r="C1" s="413"/>
    </row>
    <row r="2" spans="2:15">
      <c r="B2" s="400" t="s">
        <v>47</v>
      </c>
      <c r="C2" s="413"/>
      <c r="L2" s="429" t="s">
        <v>48</v>
      </c>
    </row>
    <row r="3" spans="2:15">
      <c r="B3" s="430" t="s">
        <v>49</v>
      </c>
      <c r="C3" s="430" t="s">
        <v>50</v>
      </c>
      <c r="D3" s="430" t="s">
        <v>51</v>
      </c>
      <c r="E3" s="430" t="s">
        <v>52</v>
      </c>
      <c r="F3" s="430" t="s">
        <v>53</v>
      </c>
      <c r="G3" s="430" t="s">
        <v>54</v>
      </c>
      <c r="H3" s="430" t="s">
        <v>55</v>
      </c>
      <c r="I3" s="430" t="s">
        <v>56</v>
      </c>
      <c r="J3" s="430" t="s">
        <v>57</v>
      </c>
      <c r="K3" s="430" t="s">
        <v>58</v>
      </c>
      <c r="L3" s="430" t="s">
        <v>59</v>
      </c>
      <c r="O3" s="431">
        <v>0.1</v>
      </c>
    </row>
    <row r="4" spans="2:15">
      <c r="B4" s="415" t="s">
        <v>60</v>
      </c>
      <c r="C4" s="415"/>
      <c r="D4" s="432">
        <v>999.58</v>
      </c>
      <c r="E4" s="432">
        <v>999.58</v>
      </c>
      <c r="F4" s="432">
        <v>999.6</v>
      </c>
      <c r="G4" s="432">
        <v>999.6</v>
      </c>
      <c r="H4" s="432">
        <v>999.24</v>
      </c>
      <c r="I4" s="432">
        <v>999.24</v>
      </c>
      <c r="J4" s="432">
        <v>999.44</v>
      </c>
      <c r="K4" s="432">
        <v>999.44</v>
      </c>
      <c r="L4" s="432">
        <f>+SUM(E4:K4)</f>
        <v>6996.1400000000012</v>
      </c>
    </row>
    <row r="5" spans="2:15">
      <c r="B5" s="415" t="s">
        <v>61</v>
      </c>
      <c r="C5" s="415"/>
      <c r="D5" s="433">
        <v>210448.88</v>
      </c>
      <c r="E5" s="433">
        <v>210448.88</v>
      </c>
      <c r="F5" s="433">
        <v>210453.09</v>
      </c>
      <c r="G5" s="433">
        <v>210453.09</v>
      </c>
      <c r="H5" s="433">
        <v>211354.04</v>
      </c>
      <c r="I5" s="433">
        <v>210377.3</v>
      </c>
      <c r="J5" s="433">
        <v>210419.4</v>
      </c>
      <c r="K5" s="433">
        <v>210419.4</v>
      </c>
      <c r="L5" s="433">
        <f>+SUM(E5:K5)</f>
        <v>1473925.1999999997</v>
      </c>
    </row>
    <row r="6" spans="2:15">
      <c r="B6" s="415" t="s">
        <v>62</v>
      </c>
      <c r="C6" s="415"/>
      <c r="D6" s="434">
        <f>+D7/$B$7</f>
        <v>549769000</v>
      </c>
      <c r="E6" s="434">
        <f>+E7/$B$7</f>
        <v>549769000</v>
      </c>
      <c r="F6" s="434">
        <f>+F7/$B$7</f>
        <v>549780000</v>
      </c>
      <c r="G6" s="434">
        <f>+G7/$B$7</f>
        <v>549780000</v>
      </c>
      <c r="H6" s="434">
        <f>+H4*550000000/1000</f>
        <v>549582000</v>
      </c>
      <c r="I6" s="434">
        <f>+I7/$B$7</f>
        <v>549582000</v>
      </c>
      <c r="J6" s="434">
        <f t="shared" ref="J6:L6" si="0">+J7/$B$7</f>
        <v>549692000</v>
      </c>
      <c r="K6" s="434">
        <f t="shared" si="0"/>
        <v>549692000</v>
      </c>
      <c r="L6" s="434">
        <f t="shared" si="0"/>
        <v>3850428599.9999995</v>
      </c>
    </row>
    <row r="7" spans="2:15" s="437" customFormat="1">
      <c r="B7" s="435">
        <v>0.55000000000000004</v>
      </c>
      <c r="C7" s="435"/>
      <c r="D7" s="436">
        <v>302372950</v>
      </c>
      <c r="E7" s="436">
        <v>302372950</v>
      </c>
      <c r="F7" s="436">
        <v>302379000</v>
      </c>
      <c r="G7" s="436">
        <v>302379000</v>
      </c>
      <c r="H7" s="436">
        <v>303673480</v>
      </c>
      <c r="I7" s="436">
        <v>302270100</v>
      </c>
      <c r="J7" s="436">
        <v>302330600</v>
      </c>
      <c r="K7" s="436">
        <v>302330600</v>
      </c>
      <c r="L7" s="436">
        <f>+SUM(E7:K7)</f>
        <v>2117735730</v>
      </c>
    </row>
    <row r="8" spans="2:15">
      <c r="B8" s="438" t="s">
        <v>63</v>
      </c>
      <c r="C8" s="438"/>
      <c r="D8" s="434">
        <f t="shared" ref="D8:K8" si="1">+D20*$O$3</f>
        <v>54976900</v>
      </c>
      <c r="E8" s="434">
        <f t="shared" si="1"/>
        <v>54976900</v>
      </c>
      <c r="F8" s="434">
        <f t="shared" si="1"/>
        <v>54978000</v>
      </c>
      <c r="G8" s="434">
        <f t="shared" si="1"/>
        <v>54978000</v>
      </c>
      <c r="H8" s="434">
        <f t="shared" si="1"/>
        <v>55213360</v>
      </c>
      <c r="I8" s="434">
        <f t="shared" si="1"/>
        <v>54958200</v>
      </c>
      <c r="J8" s="434">
        <f t="shared" si="1"/>
        <v>54969200</v>
      </c>
      <c r="K8" s="434">
        <f t="shared" si="1"/>
        <v>54969200</v>
      </c>
      <c r="L8" s="434">
        <f>+SUM(E8:K8)</f>
        <v>385042860</v>
      </c>
    </row>
    <row r="9" spans="2:15" s="437" customFormat="1">
      <c r="B9" s="439" t="s">
        <v>64</v>
      </c>
      <c r="C9" s="439"/>
      <c r="D9" s="440">
        <f t="shared" ref="D9:G9" si="2">+$C$18/4</f>
        <v>51947500</v>
      </c>
      <c r="E9" s="440">
        <f>+$C$18/4</f>
        <v>51947500</v>
      </c>
      <c r="F9" s="440">
        <f t="shared" si="2"/>
        <v>51947500</v>
      </c>
      <c r="G9" s="440">
        <f t="shared" si="2"/>
        <v>51947500</v>
      </c>
      <c r="H9" s="440">
        <f>+$C$17/4</f>
        <v>52841250</v>
      </c>
      <c r="I9" s="440">
        <f t="shared" ref="I9:K9" si="3">+$C$17/4</f>
        <v>52841250</v>
      </c>
      <c r="J9" s="440">
        <f t="shared" si="3"/>
        <v>52841250</v>
      </c>
      <c r="K9" s="440">
        <f t="shared" si="3"/>
        <v>52841250</v>
      </c>
      <c r="L9" s="440">
        <f>+SUM(E9:K9)</f>
        <v>367207500</v>
      </c>
    </row>
    <row r="10" spans="2:15">
      <c r="B10" s="441" t="s">
        <v>65</v>
      </c>
      <c r="C10" s="441"/>
      <c r="D10" s="442">
        <f t="shared" ref="D10:L10" si="4">+D6-D7-D9</f>
        <v>195448550</v>
      </c>
      <c r="E10" s="442">
        <f t="shared" si="4"/>
        <v>195448550</v>
      </c>
      <c r="F10" s="442">
        <f t="shared" si="4"/>
        <v>195453500</v>
      </c>
      <c r="G10" s="442">
        <f t="shared" si="4"/>
        <v>195453500</v>
      </c>
      <c r="H10" s="442">
        <f t="shared" si="4"/>
        <v>193067270</v>
      </c>
      <c r="I10" s="442">
        <f t="shared" si="4"/>
        <v>194470650</v>
      </c>
      <c r="J10" s="442">
        <f t="shared" si="4"/>
        <v>194520150</v>
      </c>
      <c r="K10" s="442">
        <f t="shared" si="4"/>
        <v>194520150</v>
      </c>
      <c r="L10" s="442">
        <f t="shared" si="4"/>
        <v>1365485369.9999995</v>
      </c>
    </row>
    <row r="11" spans="2:15">
      <c r="B11" s="415" t="s">
        <v>66</v>
      </c>
      <c r="C11" s="415"/>
      <c r="D11" s="443" t="s">
        <v>67</v>
      </c>
      <c r="E11" s="443" t="s">
        <v>67</v>
      </c>
      <c r="F11" s="443" t="s">
        <v>67</v>
      </c>
      <c r="G11" s="443" t="s">
        <v>67</v>
      </c>
      <c r="H11" s="443" t="s">
        <v>68</v>
      </c>
      <c r="I11" s="443" t="s">
        <v>69</v>
      </c>
      <c r="J11" s="443" t="s">
        <v>70</v>
      </c>
      <c r="K11" s="443" t="s">
        <v>71</v>
      </c>
      <c r="L11" s="443" t="s">
        <v>67</v>
      </c>
    </row>
    <row r="12" spans="2:15">
      <c r="B12" s="413"/>
      <c r="C12" s="413"/>
      <c r="D12" s="444">
        <f t="shared" ref="D12:K12" si="5">+D9+D7</f>
        <v>354320450</v>
      </c>
      <c r="E12" s="444">
        <f t="shared" si="5"/>
        <v>354320450</v>
      </c>
      <c r="F12" s="444">
        <f t="shared" si="5"/>
        <v>354326500</v>
      </c>
      <c r="G12" s="444">
        <f t="shared" si="5"/>
        <v>354326500</v>
      </c>
      <c r="H12" s="444">
        <f t="shared" si="5"/>
        <v>356514730</v>
      </c>
      <c r="I12" s="444">
        <f t="shared" si="5"/>
        <v>355111350</v>
      </c>
      <c r="J12" s="444">
        <f t="shared" si="5"/>
        <v>355171850</v>
      </c>
      <c r="K12" s="444">
        <f t="shared" si="5"/>
        <v>355171850</v>
      </c>
      <c r="L12" s="445"/>
    </row>
    <row r="13" spans="2:15">
      <c r="B13" s="413"/>
      <c r="C13" s="413"/>
      <c r="D13" s="446" t="s">
        <v>72</v>
      </c>
      <c r="E13" s="446" t="s">
        <v>72</v>
      </c>
      <c r="F13" s="446" t="s">
        <v>72</v>
      </c>
      <c r="G13" s="446" t="s">
        <v>72</v>
      </c>
      <c r="H13" s="446" t="s">
        <v>73</v>
      </c>
      <c r="I13" s="446" t="s">
        <v>73</v>
      </c>
      <c r="J13" s="446" t="s">
        <v>73</v>
      </c>
      <c r="K13" s="446" t="s">
        <v>73</v>
      </c>
    </row>
    <row r="14" spans="2:15">
      <c r="B14" s="447">
        <v>0.05</v>
      </c>
      <c r="C14" s="413"/>
      <c r="D14" s="448">
        <f t="shared" ref="D14:K14" si="6">+D6*$B$14</f>
        <v>27488450</v>
      </c>
      <c r="E14" s="448">
        <f t="shared" si="6"/>
        <v>27488450</v>
      </c>
      <c r="F14" s="448">
        <f t="shared" si="6"/>
        <v>27489000</v>
      </c>
      <c r="G14" s="448">
        <f t="shared" si="6"/>
        <v>27489000</v>
      </c>
      <c r="H14" s="448">
        <f t="shared" si="6"/>
        <v>27479100</v>
      </c>
      <c r="I14" s="448">
        <f t="shared" si="6"/>
        <v>27479100</v>
      </c>
      <c r="J14" s="448">
        <f t="shared" si="6"/>
        <v>27484600</v>
      </c>
      <c r="K14" s="448">
        <f t="shared" si="6"/>
        <v>27484600</v>
      </c>
    </row>
    <row r="15" spans="2:15">
      <c r="B15" s="447">
        <v>0.3</v>
      </c>
      <c r="C15" s="413"/>
      <c r="D15" s="448">
        <f t="shared" ref="D15:K15" si="7">+D6*$B$15</f>
        <v>164930700</v>
      </c>
      <c r="E15" s="448">
        <f t="shared" si="7"/>
        <v>164930700</v>
      </c>
      <c r="F15" s="448">
        <f t="shared" si="7"/>
        <v>164934000</v>
      </c>
      <c r="G15" s="448">
        <f t="shared" si="7"/>
        <v>164934000</v>
      </c>
      <c r="H15" s="448">
        <f t="shared" si="7"/>
        <v>164874600</v>
      </c>
      <c r="I15" s="448">
        <f t="shared" si="7"/>
        <v>164874600</v>
      </c>
      <c r="J15" s="448">
        <f t="shared" si="7"/>
        <v>164907600</v>
      </c>
      <c r="K15" s="448">
        <f t="shared" si="7"/>
        <v>164907600</v>
      </c>
    </row>
    <row r="16" spans="2:15">
      <c r="B16" s="413"/>
      <c r="C16" s="413"/>
      <c r="D16" s="449">
        <f t="shared" ref="D16:K16" si="8">+D4*550000000/1000-D6</f>
        <v>0</v>
      </c>
      <c r="E16" s="449">
        <f t="shared" si="8"/>
        <v>0</v>
      </c>
      <c r="F16" s="449">
        <f t="shared" si="8"/>
        <v>0</v>
      </c>
      <c r="G16" s="449">
        <f t="shared" si="8"/>
        <v>0</v>
      </c>
      <c r="H16" s="449">
        <f t="shared" si="8"/>
        <v>0</v>
      </c>
      <c r="I16" s="449">
        <f t="shared" si="8"/>
        <v>0</v>
      </c>
      <c r="J16" s="449">
        <f t="shared" si="8"/>
        <v>0</v>
      </c>
      <c r="K16" s="449">
        <f t="shared" si="8"/>
        <v>0</v>
      </c>
    </row>
    <row r="17" spans="2:15">
      <c r="B17" s="413" t="s">
        <v>73</v>
      </c>
      <c r="C17" s="450">
        <f>+'ref.Phase 1 (2)'!C33</f>
        <v>211365000</v>
      </c>
      <c r="D17" s="446"/>
      <c r="E17" s="446"/>
      <c r="F17" s="446"/>
      <c r="G17" s="446"/>
      <c r="H17" s="446"/>
      <c r="I17" s="446" t="s">
        <v>74</v>
      </c>
      <c r="J17" s="446"/>
      <c r="K17" s="446"/>
    </row>
    <row r="18" spans="2:15">
      <c r="B18" s="413" t="s">
        <v>72</v>
      </c>
      <c r="C18" s="450">
        <f>+'ref.Phase 1 (2)'!C34</f>
        <v>207790000</v>
      </c>
      <c r="D18" s="446"/>
      <c r="E18" s="446">
        <f>+C18/4</f>
        <v>51947500</v>
      </c>
      <c r="F18" s="446"/>
      <c r="G18" s="446"/>
      <c r="H18" s="446"/>
      <c r="I18" s="446"/>
      <c r="J18" s="446"/>
      <c r="K18" s="446"/>
    </row>
    <row r="19" spans="2:15">
      <c r="B19" s="413"/>
      <c r="C19" s="413"/>
      <c r="D19" s="446"/>
      <c r="E19" s="446"/>
      <c r="F19" s="446"/>
      <c r="G19" s="446"/>
      <c r="H19" s="446"/>
      <c r="I19" s="446"/>
      <c r="J19" s="446"/>
      <c r="K19" s="446"/>
    </row>
    <row r="20" spans="2:15">
      <c r="B20" s="413" t="s">
        <v>62</v>
      </c>
      <c r="C20" s="413"/>
      <c r="D20" s="448">
        <f t="shared" ref="D20:K20" si="9">+D7/$B$7</f>
        <v>549769000</v>
      </c>
      <c r="E20" s="448">
        <f t="shared" si="9"/>
        <v>549769000</v>
      </c>
      <c r="F20" s="448">
        <f t="shared" si="9"/>
        <v>549780000</v>
      </c>
      <c r="G20" s="448">
        <f t="shared" si="9"/>
        <v>549780000</v>
      </c>
      <c r="H20" s="448">
        <f t="shared" si="9"/>
        <v>552133600</v>
      </c>
      <c r="I20" s="448">
        <f t="shared" si="9"/>
        <v>549582000</v>
      </c>
      <c r="J20" s="448">
        <f t="shared" si="9"/>
        <v>549692000</v>
      </c>
      <c r="K20" s="448">
        <f t="shared" si="9"/>
        <v>549692000</v>
      </c>
    </row>
    <row r="21" spans="2:15">
      <c r="B21" s="451">
        <v>0.55000000000000004</v>
      </c>
      <c r="C21" s="451"/>
      <c r="D21" s="405" t="b">
        <f t="shared" ref="D21:K21" si="10">+D20*$B$21=D7</f>
        <v>1</v>
      </c>
      <c r="E21" s="405" t="b">
        <f t="shared" si="10"/>
        <v>1</v>
      </c>
      <c r="F21" s="405" t="b">
        <f t="shared" si="10"/>
        <v>1</v>
      </c>
      <c r="G21" s="405" t="b">
        <f t="shared" si="10"/>
        <v>1</v>
      </c>
      <c r="H21" s="405" t="b">
        <f t="shared" si="10"/>
        <v>1</v>
      </c>
      <c r="I21" s="405" t="b">
        <f t="shared" si="10"/>
        <v>1</v>
      </c>
      <c r="J21" s="405" t="b">
        <f t="shared" si="10"/>
        <v>1</v>
      </c>
      <c r="K21" s="405" t="b">
        <f t="shared" si="10"/>
        <v>1</v>
      </c>
    </row>
    <row r="22" spans="2:15">
      <c r="B22" s="413"/>
      <c r="C22" s="413"/>
      <c r="D22" s="452">
        <f t="shared" ref="D22:K22" si="11">+D7/D6</f>
        <v>0.55000000000000004</v>
      </c>
      <c r="E22" s="452">
        <f t="shared" si="11"/>
        <v>0.55000000000000004</v>
      </c>
      <c r="F22" s="452">
        <f t="shared" si="11"/>
        <v>0.55000000000000004</v>
      </c>
      <c r="G22" s="452">
        <f t="shared" si="11"/>
        <v>0.55000000000000004</v>
      </c>
      <c r="H22" s="452">
        <f t="shared" si="11"/>
        <v>0.5525535406909251</v>
      </c>
      <c r="I22" s="452">
        <f t="shared" si="11"/>
        <v>0.55000000000000004</v>
      </c>
      <c r="J22" s="452">
        <f t="shared" si="11"/>
        <v>0.55000000000000004</v>
      </c>
      <c r="K22" s="452">
        <f t="shared" si="11"/>
        <v>0.55000000000000004</v>
      </c>
    </row>
    <row r="23" spans="2:15">
      <c r="B23" s="413"/>
      <c r="C23" s="413"/>
    </row>
    <row r="24" spans="2:15">
      <c r="B24" s="413"/>
      <c r="C24" s="413"/>
    </row>
    <row r="25" spans="2:15">
      <c r="B25" s="400" t="s">
        <v>75</v>
      </c>
      <c r="C25" s="413"/>
      <c r="D25" s="400"/>
      <c r="E25" s="400"/>
      <c r="F25" s="400"/>
      <c r="G25" s="400"/>
      <c r="H25" s="400"/>
      <c r="I25" s="400"/>
      <c r="J25" s="400"/>
      <c r="K25" s="400"/>
      <c r="M25" s="453" t="s">
        <v>48</v>
      </c>
    </row>
    <row r="26" spans="2:15">
      <c r="B26" s="430" t="s">
        <v>49</v>
      </c>
      <c r="C26" s="430" t="s">
        <v>50</v>
      </c>
      <c r="D26" s="430" t="s">
        <v>76</v>
      </c>
      <c r="E26" s="430" t="s">
        <v>77</v>
      </c>
      <c r="F26" s="430" t="s">
        <v>78</v>
      </c>
      <c r="G26" s="430" t="s">
        <v>79</v>
      </c>
      <c r="H26" s="430" t="s">
        <v>80</v>
      </c>
      <c r="I26" s="430" t="s">
        <v>81</v>
      </c>
      <c r="J26" s="430" t="s">
        <v>82</v>
      </c>
      <c r="K26" s="430" t="s">
        <v>83</v>
      </c>
      <c r="L26" s="430" t="s">
        <v>84</v>
      </c>
      <c r="M26" s="430" t="s">
        <v>85</v>
      </c>
      <c r="N26" s="412"/>
      <c r="O26" s="431">
        <v>0.1</v>
      </c>
    </row>
    <row r="27" spans="2:15">
      <c r="B27" s="415" t="s">
        <v>60</v>
      </c>
      <c r="C27" s="415"/>
      <c r="D27" s="454"/>
      <c r="E27" s="454"/>
      <c r="F27" s="454"/>
      <c r="G27" s="454"/>
      <c r="H27" s="454"/>
      <c r="I27" s="454"/>
      <c r="J27" s="454"/>
      <c r="K27" s="454"/>
      <c r="L27" s="454"/>
      <c r="M27" s="454"/>
    </row>
    <row r="28" spans="2:15">
      <c r="B28" s="415" t="s">
        <v>61</v>
      </c>
      <c r="C28" s="415"/>
      <c r="D28" s="433">
        <v>38418.78</v>
      </c>
      <c r="E28" s="433">
        <v>25112.57</v>
      </c>
      <c r="F28" s="433">
        <v>38418.78</v>
      </c>
      <c r="G28" s="433">
        <v>4922.53</v>
      </c>
      <c r="H28" s="433">
        <v>38418.78</v>
      </c>
      <c r="I28" s="433">
        <v>7691.45</v>
      </c>
      <c r="J28" s="433">
        <v>24843.37</v>
      </c>
      <c r="K28" s="433">
        <v>38418.78</v>
      </c>
      <c r="L28" s="433">
        <v>38418.78</v>
      </c>
      <c r="M28" s="433">
        <v>38418.78</v>
      </c>
      <c r="N28" s="455"/>
    </row>
    <row r="29" spans="2:15">
      <c r="B29" s="438">
        <v>0.1</v>
      </c>
      <c r="C29" s="438"/>
      <c r="D29" s="434">
        <v>54945000</v>
      </c>
      <c r="E29" s="434">
        <v>35915000</v>
      </c>
      <c r="F29" s="434">
        <v>54945000</v>
      </c>
      <c r="G29" s="434">
        <v>7040000</v>
      </c>
      <c r="H29" s="434">
        <v>54945000</v>
      </c>
      <c r="I29" s="434">
        <v>11000000</v>
      </c>
      <c r="J29" s="434">
        <v>35530000</v>
      </c>
      <c r="K29" s="434">
        <v>54945000</v>
      </c>
      <c r="L29" s="434">
        <v>54945000</v>
      </c>
      <c r="M29" s="434">
        <v>54945000</v>
      </c>
      <c r="N29" s="414">
        <f>SUM(E29:M29)</f>
        <v>364210000</v>
      </c>
    </row>
    <row r="30" spans="2:15">
      <c r="B30" s="438"/>
      <c r="C30" s="438"/>
      <c r="D30" s="434"/>
      <c r="E30" s="434"/>
      <c r="F30" s="434"/>
      <c r="G30" s="434"/>
      <c r="H30" s="434"/>
      <c r="I30" s="434"/>
      <c r="J30" s="434"/>
      <c r="K30" s="434"/>
      <c r="L30" s="434"/>
      <c r="M30" s="434"/>
      <c r="N30" s="414"/>
    </row>
    <row r="31" spans="2:15">
      <c r="B31" s="415" t="s">
        <v>66</v>
      </c>
      <c r="C31" s="415"/>
      <c r="D31" s="443" t="s">
        <v>67</v>
      </c>
      <c r="E31" s="443" t="s">
        <v>67</v>
      </c>
      <c r="F31" s="443" t="s">
        <v>86</v>
      </c>
      <c r="G31" s="443" t="s">
        <v>86</v>
      </c>
      <c r="H31" s="443" t="s">
        <v>68</v>
      </c>
      <c r="I31" s="443" t="s">
        <v>68</v>
      </c>
      <c r="J31" s="443" t="s">
        <v>68</v>
      </c>
      <c r="K31" s="443" t="s">
        <v>68</v>
      </c>
      <c r="L31" s="443" t="s">
        <v>87</v>
      </c>
      <c r="M31" s="443" t="s">
        <v>67</v>
      </c>
      <c r="N31" s="455"/>
    </row>
    <row r="32" spans="2:15">
      <c r="B32" s="412"/>
      <c r="C32" s="413"/>
      <c r="D32" s="455" t="s">
        <v>72</v>
      </c>
      <c r="E32" s="455" t="s">
        <v>72</v>
      </c>
      <c r="F32" s="455" t="s">
        <v>72</v>
      </c>
      <c r="G32" s="455" t="s">
        <v>72</v>
      </c>
      <c r="H32" s="455" t="s">
        <v>73</v>
      </c>
      <c r="I32" s="455" t="s">
        <v>73</v>
      </c>
      <c r="J32" s="455" t="s">
        <v>73</v>
      </c>
      <c r="K32" s="455" t="s">
        <v>73</v>
      </c>
      <c r="L32" s="455" t="s">
        <v>73</v>
      </c>
      <c r="M32" s="455" t="s">
        <v>72</v>
      </c>
      <c r="N32" s="455"/>
    </row>
    <row r="33" spans="2:14">
      <c r="B33" s="412" t="s">
        <v>73</v>
      </c>
      <c r="C33" s="450">
        <f>+H29+I29+J29+K29+L29</f>
        <v>211365000</v>
      </c>
      <c r="D33" s="455"/>
      <c r="E33" s="400"/>
      <c r="F33" s="455"/>
      <c r="G33" s="455"/>
      <c r="H33" s="455"/>
      <c r="I33" s="455"/>
      <c r="J33" s="455"/>
      <c r="K33" s="455"/>
      <c r="L33" s="455"/>
      <c r="M33" s="455"/>
      <c r="N33" s="455"/>
    </row>
    <row r="34" spans="2:14" s="458" customFormat="1" ht="13.5">
      <c r="B34" s="456" t="s">
        <v>72</v>
      </c>
      <c r="C34" s="457">
        <f>+E29+F29+G29+D29+M29</f>
        <v>207790000</v>
      </c>
      <c r="D34" s="446"/>
      <c r="E34" s="446"/>
      <c r="F34" s="446"/>
      <c r="G34" s="446"/>
      <c r="H34" s="446"/>
      <c r="I34" s="446"/>
      <c r="J34" s="446"/>
      <c r="K34" s="446"/>
      <c r="L34" s="446"/>
      <c r="M34" s="446"/>
      <c r="N34" s="446"/>
    </row>
    <row r="35" spans="2:14" s="458" customFormat="1" ht="13.5">
      <c r="B35" s="456"/>
      <c r="C35" s="456" t="b">
        <f>+C33+C34=N29</f>
        <v>0</v>
      </c>
      <c r="D35" s="446"/>
      <c r="E35" s="446"/>
      <c r="F35" s="446"/>
      <c r="G35" s="446"/>
      <c r="H35" s="446"/>
      <c r="I35" s="446"/>
      <c r="J35" s="446"/>
      <c r="K35" s="446"/>
      <c r="L35" s="446"/>
      <c r="M35" s="446"/>
      <c r="N35" s="446"/>
    </row>
    <row r="36" spans="2:14" s="458" customFormat="1" ht="13.5">
      <c r="B36" s="456"/>
      <c r="C36" s="456"/>
      <c r="D36" s="446"/>
      <c r="E36" s="446"/>
      <c r="F36" s="446"/>
      <c r="G36" s="446"/>
      <c r="H36" s="446"/>
      <c r="I36" s="446"/>
      <c r="J36" s="446"/>
      <c r="K36" s="446"/>
      <c r="L36" s="446"/>
      <c r="M36" s="446"/>
      <c r="N36" s="446"/>
    </row>
    <row r="37" spans="2:14" s="458" customFormat="1" ht="13.5">
      <c r="B37" s="456"/>
      <c r="C37" s="456"/>
      <c r="D37" s="448"/>
      <c r="E37" s="448"/>
      <c r="F37" s="448"/>
      <c r="G37" s="448"/>
      <c r="H37" s="448"/>
      <c r="I37" s="448"/>
      <c r="J37" s="448"/>
      <c r="K37" s="448"/>
      <c r="L37" s="448"/>
      <c r="M37" s="448"/>
      <c r="N37" s="448"/>
    </row>
    <row r="38" spans="2:14" s="458" customFormat="1" ht="13.5">
      <c r="B38" s="451"/>
      <c r="C38" s="451"/>
    </row>
    <row r="39" spans="2:14" s="458" customFormat="1" ht="13.5">
      <c r="B39" s="456"/>
      <c r="C39" s="456"/>
    </row>
    <row r="40" spans="2:14" s="458" customFormat="1" ht="13.5">
      <c r="B40" s="456"/>
      <c r="C40" s="456"/>
    </row>
    <row r="41" spans="2:14" s="458" customFormat="1" ht="13.5">
      <c r="C41" s="456"/>
    </row>
    <row r="42" spans="2:14">
      <c r="B42" s="400"/>
      <c r="D42" s="459"/>
      <c r="E42" s="459"/>
      <c r="F42" s="459"/>
      <c r="G42" s="459"/>
      <c r="H42" s="459"/>
      <c r="I42" s="459"/>
      <c r="J42" s="459"/>
      <c r="K42" s="459"/>
      <c r="L42" s="459"/>
      <c r="M42" s="459"/>
    </row>
    <row r="43" spans="2:14">
      <c r="B43" s="400"/>
      <c r="D43" s="400"/>
      <c r="E43" s="400"/>
      <c r="F43" s="400"/>
      <c r="G43" s="400"/>
      <c r="H43" s="400"/>
      <c r="I43" s="400"/>
      <c r="J43" s="400"/>
      <c r="K43" s="400"/>
    </row>
    <row r="44" spans="2:14">
      <c r="B44" s="400"/>
      <c r="D44" s="400"/>
      <c r="E44" s="400"/>
      <c r="F44" s="400"/>
      <c r="G44" s="400"/>
      <c r="H44" s="400"/>
      <c r="I44" s="400"/>
      <c r="J44" s="400"/>
      <c r="K44" s="400"/>
    </row>
    <row r="45" spans="2:14">
      <c r="B45" s="400"/>
      <c r="D45" s="400"/>
      <c r="E45" s="400"/>
      <c r="F45" s="400"/>
      <c r="G45" s="400"/>
      <c r="H45" s="400"/>
      <c r="I45" s="400"/>
      <c r="J45" s="400"/>
      <c r="K45" s="400"/>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D6C3-4AEB-4D55-AB0D-8DE1FF6B8C8F}">
  <sheetPr>
    <tabColor rgb="FFFFFF00"/>
  </sheetPr>
  <dimension ref="B3:B14"/>
  <sheetViews>
    <sheetView showGridLines="0" workbookViewId="0">
      <selection activeCell="B7" sqref="B7"/>
    </sheetView>
  </sheetViews>
  <sheetFormatPr defaultRowHeight="16.5"/>
  <sheetData>
    <row r="3" spans="2:2">
      <c r="B3" t="s">
        <v>88</v>
      </c>
    </row>
    <row r="4" spans="2:2">
      <c r="B4" t="s">
        <v>89</v>
      </c>
    </row>
    <row r="5" spans="2:2">
      <c r="B5" t="s">
        <v>90</v>
      </c>
    </row>
    <row r="6" spans="2:2">
      <c r="B6" t="s">
        <v>91</v>
      </c>
    </row>
    <row r="8" spans="2:2">
      <c r="B8" t="s">
        <v>92</v>
      </c>
    </row>
    <row r="9" spans="2:2">
      <c r="B9" t="s">
        <v>93</v>
      </c>
    </row>
    <row r="10" spans="2:2">
      <c r="B10" t="s">
        <v>94</v>
      </c>
    </row>
    <row r="12" spans="2:2">
      <c r="B12" t="s">
        <v>95</v>
      </c>
    </row>
    <row r="13" spans="2:2">
      <c r="B13" t="s">
        <v>96</v>
      </c>
    </row>
    <row r="14" spans="2:2">
      <c r="B14" t="s">
        <v>97</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5E57-AB9E-48CC-ADBF-BD563F4F1DDB}">
  <dimension ref="B1:R26"/>
  <sheetViews>
    <sheetView showGridLines="0" zoomScaleNormal="100" workbookViewId="0">
      <selection activeCell="K17" sqref="K17:K22"/>
    </sheetView>
  </sheetViews>
  <sheetFormatPr defaultColWidth="8" defaultRowHeight="12.75"/>
  <cols>
    <col min="1" max="1" width="1.5" style="2058" customWidth="1"/>
    <col min="2" max="2" width="27.375" style="2058" customWidth="1"/>
    <col min="3" max="3" width="14.375" style="2059" customWidth="1"/>
    <col min="4" max="8" width="14.375" style="2058" customWidth="1"/>
    <col min="9" max="9" width="61.25" style="2058" customWidth="1"/>
    <col min="10" max="10" width="13.375" style="2058" bestFit="1" customWidth="1"/>
    <col min="11" max="11" width="12.375" style="2058" bestFit="1" customWidth="1"/>
    <col min="12" max="16384" width="8" style="2058"/>
  </cols>
  <sheetData>
    <row r="1" spans="2:18">
      <c r="J1" s="2050"/>
    </row>
    <row r="2" spans="2:18">
      <c r="B2" s="2051" t="s">
        <v>173</v>
      </c>
    </row>
    <row r="3" spans="2:18">
      <c r="E3" s="2060"/>
      <c r="F3" s="2060"/>
      <c r="G3" s="2060"/>
      <c r="H3" s="2060"/>
      <c r="I3" s="2060" t="s">
        <v>2479</v>
      </c>
    </row>
    <row r="4" spans="2:18" s="2062" customFormat="1" ht="61.5" customHeight="1">
      <c r="B4" s="2061" t="s">
        <v>132</v>
      </c>
      <c r="C4" s="2061" t="s">
        <v>174</v>
      </c>
      <c r="D4" s="2061" t="str">
        <f>+[1]자금현황!E5</f>
        <v>Balance</v>
      </c>
      <c r="E4" s="2061" t="s">
        <v>175</v>
      </c>
      <c r="F4" s="2047" t="s">
        <v>2506</v>
      </c>
      <c r="G4" s="2047" t="s">
        <v>2507</v>
      </c>
      <c r="H4" s="2047" t="s">
        <v>2508</v>
      </c>
      <c r="I4" s="2047" t="s">
        <v>2514</v>
      </c>
      <c r="K4" s="2058"/>
      <c r="L4" s="2058"/>
      <c r="M4" s="2058"/>
      <c r="N4" s="2058"/>
      <c r="O4" s="2058"/>
      <c r="P4" s="2058"/>
      <c r="Q4" s="2058"/>
      <c r="R4" s="2058"/>
    </row>
    <row r="5" spans="2:18">
      <c r="B5" s="2359" t="s">
        <v>176</v>
      </c>
      <c r="C5" s="2063" t="s">
        <v>177</v>
      </c>
      <c r="D5" s="2064">
        <v>115042926</v>
      </c>
      <c r="E5" s="2064">
        <f>+D5</f>
        <v>115042926</v>
      </c>
      <c r="F5" s="2064"/>
      <c r="G5" s="2064"/>
      <c r="H5" s="2064"/>
      <c r="I5" s="2365" t="s">
        <v>2512</v>
      </c>
      <c r="J5" s="2065"/>
      <c r="K5" s="2050"/>
    </row>
    <row r="6" spans="2:18">
      <c r="B6" s="2360"/>
      <c r="C6" s="2063" t="s">
        <v>178</v>
      </c>
      <c r="D6" s="2066">
        <v>299993.87</v>
      </c>
      <c r="E6" s="2064">
        <f>+D6*$E$15</f>
        <v>440990988.89999998</v>
      </c>
      <c r="F6" s="2064"/>
      <c r="G6" s="2064"/>
      <c r="H6" s="2064"/>
      <c r="I6" s="2366"/>
    </row>
    <row r="7" spans="2:18" ht="13.5" customHeight="1">
      <c r="B7" s="2361"/>
      <c r="C7" s="2067" t="s">
        <v>179</v>
      </c>
      <c r="D7" s="2068"/>
      <c r="E7" s="2052">
        <f>SUM(E5:E6)</f>
        <v>556033914.89999998</v>
      </c>
      <c r="F7" s="2052">
        <f>+'Amount to be paid in 2025(1004)'!P52</f>
        <v>2497132990</v>
      </c>
      <c r="G7" s="2052">
        <f>+F7-E7</f>
        <v>1941099075.0999999</v>
      </c>
      <c r="H7" s="2048">
        <f>+G7/$E$15</f>
        <v>1320475.561292517</v>
      </c>
      <c r="I7" s="2367"/>
    </row>
    <row r="8" spans="2:18">
      <c r="B8" s="2359" t="s">
        <v>2460</v>
      </c>
      <c r="C8" s="2063" t="s">
        <v>177</v>
      </c>
      <c r="D8" s="2064">
        <v>5130070</v>
      </c>
      <c r="E8" s="2064">
        <f>+D8</f>
        <v>5130070</v>
      </c>
      <c r="F8" s="2064"/>
      <c r="G8" s="2064"/>
      <c r="H8" s="2064"/>
      <c r="I8" s="2365" t="s">
        <v>2512</v>
      </c>
    </row>
    <row r="9" spans="2:18">
      <c r="B9" s="2360"/>
      <c r="C9" s="2063" t="s">
        <v>178</v>
      </c>
      <c r="D9" s="2066">
        <v>0</v>
      </c>
      <c r="E9" s="2064">
        <f>+D9*$E$15</f>
        <v>0</v>
      </c>
      <c r="F9" s="2064"/>
      <c r="G9" s="2064"/>
      <c r="H9" s="2064"/>
      <c r="I9" s="2366"/>
    </row>
    <row r="10" spans="2:18">
      <c r="B10" s="2361"/>
      <c r="C10" s="2067" t="s">
        <v>179</v>
      </c>
      <c r="D10" s="2068"/>
      <c r="E10" s="2052">
        <f>SUM(E8:E9)</f>
        <v>5130070</v>
      </c>
      <c r="F10" s="2052">
        <f>+D21+D22+D23</f>
        <v>1242149643</v>
      </c>
      <c r="G10" s="2052">
        <f>+F10-E10</f>
        <v>1237019573</v>
      </c>
      <c r="H10" s="2048">
        <f>+G10/$E$15</f>
        <v>841509.91360544215</v>
      </c>
      <c r="I10" s="2367"/>
    </row>
    <row r="11" spans="2:18" hidden="1">
      <c r="B11" s="2362" t="s">
        <v>138</v>
      </c>
      <c r="C11" s="2053" t="s">
        <v>177</v>
      </c>
      <c r="D11" s="2054">
        <f>+D5</f>
        <v>115042926</v>
      </c>
      <c r="E11" s="2054">
        <f>+E5</f>
        <v>115042926</v>
      </c>
      <c r="F11" s="2054"/>
      <c r="G11" s="2054"/>
      <c r="H11" s="2054"/>
      <c r="I11" s="2054"/>
    </row>
    <row r="12" spans="2:18" hidden="1">
      <c r="B12" s="2363"/>
      <c r="C12" s="2053" t="s">
        <v>178</v>
      </c>
      <c r="D12" s="2049">
        <f>+D6</f>
        <v>299993.87</v>
      </c>
      <c r="E12" s="2054">
        <f>+D12*$E$15</f>
        <v>440990988.89999998</v>
      </c>
      <c r="F12" s="2054"/>
      <c r="G12" s="2054"/>
      <c r="H12" s="2054"/>
      <c r="I12" s="2054"/>
    </row>
    <row r="13" spans="2:18" hidden="1">
      <c r="B13" s="2364"/>
      <c r="C13" s="2055" t="s">
        <v>179</v>
      </c>
      <c r="D13" s="2053"/>
      <c r="E13" s="2054">
        <f>SUM(E11:E12)</f>
        <v>556033914.89999998</v>
      </c>
      <c r="F13" s="2054"/>
      <c r="G13" s="2054"/>
      <c r="H13" s="2054"/>
      <c r="I13" s="2054"/>
    </row>
    <row r="14" spans="2:18">
      <c r="D14" s="2069"/>
    </row>
    <row r="15" spans="2:18">
      <c r="D15" s="2053" t="s">
        <v>180</v>
      </c>
      <c r="E15" s="2056">
        <v>1470</v>
      </c>
      <c r="F15" s="2057"/>
      <c r="G15" s="2057"/>
      <c r="H15" s="2057"/>
      <c r="I15" s="2057"/>
    </row>
    <row r="16" spans="2:18">
      <c r="D16" s="2069"/>
    </row>
    <row r="18" spans="2:9" ht="25.5">
      <c r="B18" s="2061" t="s">
        <v>132</v>
      </c>
      <c r="C18" s="2061" t="s">
        <v>2513</v>
      </c>
      <c r="D18" s="2047" t="s">
        <v>2507</v>
      </c>
      <c r="E18" s="2047" t="s">
        <v>2508</v>
      </c>
      <c r="F18" s="2355" t="s">
        <v>2514</v>
      </c>
      <c r="G18" s="2356"/>
      <c r="H18" s="2356"/>
      <c r="I18" s="2356"/>
    </row>
    <row r="19" spans="2:9" ht="33" customHeight="1">
      <c r="B19" s="2354" t="s">
        <v>176</v>
      </c>
      <c r="C19" s="2063" t="s">
        <v>2465</v>
      </c>
      <c r="D19" s="2064">
        <f>+'Amount to be paid in 2025(1004)'!P30</f>
        <v>2430003290</v>
      </c>
      <c r="E19" s="2049">
        <f>+D19/$E$15</f>
        <v>1653063.4625850341</v>
      </c>
      <c r="F19" s="2357" t="s">
        <v>2515</v>
      </c>
      <c r="G19" s="2357"/>
      <c r="H19" s="2357"/>
      <c r="I19" s="2357"/>
    </row>
    <row r="20" spans="2:9" ht="33" customHeight="1">
      <c r="B20" s="2354"/>
      <c r="C20" s="2063" t="s">
        <v>2509</v>
      </c>
      <c r="D20" s="2064">
        <f>+'Amount to be paid in 2025(1004)'!P50</f>
        <v>67129700</v>
      </c>
      <c r="E20" s="2049">
        <f>+D20/$E$15</f>
        <v>45666.462585034016</v>
      </c>
      <c r="F20" s="2357" t="s">
        <v>2516</v>
      </c>
      <c r="G20" s="2357"/>
      <c r="H20" s="2357"/>
      <c r="I20" s="2357"/>
    </row>
    <row r="21" spans="2:9" ht="33" customHeight="1">
      <c r="B21" s="2354" t="s">
        <v>2510</v>
      </c>
      <c r="C21" s="2063" t="s">
        <v>2465</v>
      </c>
      <c r="D21" s="2064">
        <f>+'Amount to be paid_POSN2HO'!D28+'Amount to be paid_POSN2HO'!D29+'Amount to be paid_POSN2HO'!D30</f>
        <v>931349470.00000012</v>
      </c>
      <c r="E21" s="2049">
        <f>+D21/$E$15</f>
        <v>633571.068027211</v>
      </c>
      <c r="F21" s="2358" t="s">
        <v>2517</v>
      </c>
      <c r="G21" s="2357"/>
      <c r="H21" s="2357"/>
      <c r="I21" s="2357"/>
    </row>
    <row r="22" spans="2:9" ht="33" customHeight="1">
      <c r="B22" s="2354"/>
      <c r="C22" s="2063" t="s">
        <v>2509</v>
      </c>
      <c r="D22" s="2064">
        <f>+'Amount to be paid_POSN2HO'!O22</f>
        <v>123494400</v>
      </c>
      <c r="E22" s="2049">
        <f>+D22/$E$15</f>
        <v>84009.795918367352</v>
      </c>
      <c r="F22" s="2357" t="s">
        <v>2518</v>
      </c>
      <c r="G22" s="2357"/>
      <c r="H22" s="2357"/>
      <c r="I22" s="2357"/>
    </row>
    <row r="23" spans="2:9" ht="33" customHeight="1">
      <c r="B23" s="2354"/>
      <c r="C23" s="2063" t="s">
        <v>2511</v>
      </c>
      <c r="D23" s="2064">
        <f>+'Amount to be paid_POSN2HO'!D31+'Amount to be paid_POSN2HO'!D32</f>
        <v>187305773</v>
      </c>
      <c r="E23" s="2049">
        <f>+D23/$E$15</f>
        <v>127418.89319727891</v>
      </c>
      <c r="F23" s="2357" t="s">
        <v>2519</v>
      </c>
      <c r="G23" s="2357"/>
      <c r="H23" s="2357"/>
      <c r="I23" s="2357"/>
    </row>
    <row r="25" spans="2:9">
      <c r="D25" s="2069"/>
      <c r="E25" s="2070"/>
    </row>
    <row r="26" spans="2:9">
      <c r="D26" s="2069"/>
      <c r="E26" s="2070"/>
    </row>
  </sheetData>
  <mergeCells count="13">
    <mergeCell ref="B8:B10"/>
    <mergeCell ref="B11:B13"/>
    <mergeCell ref="B5:B7"/>
    <mergeCell ref="I5:I7"/>
    <mergeCell ref="I8:I10"/>
    <mergeCell ref="B19:B20"/>
    <mergeCell ref="B21:B23"/>
    <mergeCell ref="F18:I18"/>
    <mergeCell ref="F19:I19"/>
    <mergeCell ref="F20:I20"/>
    <mergeCell ref="F21:I21"/>
    <mergeCell ref="F22:I22"/>
    <mergeCell ref="F23:I23"/>
  </mergeCells>
  <phoneticPr fontId="1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679D-426F-4D93-8916-B8AE08085A9E}">
  <dimension ref="B2:AK34"/>
  <sheetViews>
    <sheetView showGridLines="0" workbookViewId="0">
      <selection activeCell="K17" sqref="K17:K22"/>
    </sheetView>
  </sheetViews>
  <sheetFormatPr defaultRowHeight="16.5"/>
  <cols>
    <col min="1" max="1" width="1.625" style="1603" customWidth="1"/>
    <col min="2" max="2" width="18.875" style="1603" bestFit="1" customWidth="1"/>
    <col min="3" max="3" width="3.75" style="2083" bestFit="1" customWidth="1"/>
    <col min="4" max="4" width="17.375" style="2083" bestFit="1" customWidth="1"/>
    <col min="5" max="5" width="11.75" style="2083" bestFit="1" customWidth="1"/>
    <col min="6" max="6" width="10.375" style="1603" bestFit="1" customWidth="1"/>
    <col min="7" max="7" width="16.25" style="1603" bestFit="1" customWidth="1"/>
    <col min="8" max="8" width="8.375" style="1603" bestFit="1" customWidth="1"/>
    <col min="9" max="9" width="11.5" style="1603" bestFit="1" customWidth="1"/>
    <col min="10" max="10" width="11.375" style="1603" bestFit="1" customWidth="1"/>
    <col min="11" max="11" width="11.5" style="1603" bestFit="1" customWidth="1"/>
    <col min="12" max="12" width="9.5" style="1603" bestFit="1" customWidth="1"/>
    <col min="13" max="15" width="9" style="1603"/>
    <col min="16" max="16" width="10.125" style="1603" bestFit="1" customWidth="1"/>
    <col min="17" max="17" width="9" style="1603"/>
    <col min="18" max="18" width="11.5" style="1603" bestFit="1" customWidth="1"/>
    <col min="19" max="19" width="10.125" style="1603" bestFit="1" customWidth="1"/>
    <col min="20" max="36" width="9" style="1603"/>
    <col min="38" max="16384" width="9" style="1603"/>
  </cols>
  <sheetData>
    <row r="2" spans="2:36">
      <c r="B2" s="1603" t="s">
        <v>2534</v>
      </c>
    </row>
    <row r="4" spans="2:36">
      <c r="B4" s="2375" t="s">
        <v>2524</v>
      </c>
      <c r="C4" s="2375" t="s">
        <v>98</v>
      </c>
      <c r="D4" s="2375" t="s">
        <v>99</v>
      </c>
      <c r="E4" s="2373" t="s">
        <v>100</v>
      </c>
      <c r="F4" s="2373" t="s">
        <v>2525</v>
      </c>
      <c r="G4" s="2373" t="s">
        <v>2526</v>
      </c>
      <c r="H4" s="2373" t="s">
        <v>2530</v>
      </c>
      <c r="I4" s="2373" t="s">
        <v>448</v>
      </c>
      <c r="J4" s="2373" t="s">
        <v>2527</v>
      </c>
      <c r="K4" s="2368" t="s">
        <v>2528</v>
      </c>
      <c r="L4" s="2368">
        <v>45688</v>
      </c>
      <c r="M4" s="2368">
        <v>45716</v>
      </c>
      <c r="N4" s="2368">
        <v>45747</v>
      </c>
      <c r="O4" s="2368">
        <v>45777</v>
      </c>
      <c r="P4" s="2368">
        <v>45808</v>
      </c>
      <c r="Q4" s="2368">
        <v>45838</v>
      </c>
      <c r="R4" s="2368">
        <v>45869</v>
      </c>
      <c r="S4" s="2368">
        <v>45900</v>
      </c>
      <c r="T4" s="2368">
        <v>45930</v>
      </c>
      <c r="U4" s="2368">
        <v>45961</v>
      </c>
      <c r="V4" s="2368">
        <v>45991</v>
      </c>
      <c r="W4" s="2368">
        <v>46022</v>
      </c>
      <c r="X4" s="2368" t="s">
        <v>2529</v>
      </c>
      <c r="Y4" s="2368">
        <v>46053</v>
      </c>
      <c r="Z4" s="2368">
        <v>46081</v>
      </c>
      <c r="AA4" s="2368">
        <v>46112</v>
      </c>
      <c r="AB4" s="2368">
        <v>46142</v>
      </c>
      <c r="AC4" s="2368">
        <v>46173</v>
      </c>
      <c r="AD4" s="2368">
        <v>46203</v>
      </c>
      <c r="AE4" s="2368">
        <v>46234</v>
      </c>
      <c r="AF4" s="2368">
        <v>46265</v>
      </c>
      <c r="AG4" s="2368">
        <v>46295</v>
      </c>
      <c r="AH4" s="2368">
        <v>46326</v>
      </c>
      <c r="AI4" s="2368">
        <v>46356</v>
      </c>
      <c r="AJ4" s="2368">
        <v>46387</v>
      </c>
    </row>
    <row r="5" spans="2:36">
      <c r="B5" s="2376"/>
      <c r="C5" s="2376"/>
      <c r="D5" s="2376"/>
      <c r="E5" s="2374"/>
      <c r="F5" s="2374"/>
      <c r="G5" s="2374"/>
      <c r="H5" s="2374"/>
      <c r="I5" s="2374"/>
      <c r="J5" s="2374"/>
      <c r="K5" s="2369"/>
      <c r="L5" s="2369"/>
      <c r="M5" s="2369"/>
      <c r="N5" s="2369"/>
      <c r="O5" s="2369"/>
      <c r="P5" s="2369"/>
      <c r="Q5" s="2369"/>
      <c r="R5" s="2369"/>
      <c r="S5" s="2369"/>
      <c r="T5" s="2369"/>
      <c r="U5" s="2369"/>
      <c r="V5" s="2369"/>
      <c r="W5" s="2369"/>
      <c r="X5" s="2369"/>
      <c r="Y5" s="2369"/>
      <c r="Z5" s="2369"/>
      <c r="AA5" s="2369"/>
      <c r="AB5" s="2369"/>
      <c r="AC5" s="2369"/>
      <c r="AD5" s="2369"/>
      <c r="AE5" s="2369"/>
      <c r="AF5" s="2369"/>
      <c r="AG5" s="2369"/>
      <c r="AH5" s="2369"/>
      <c r="AI5" s="2369"/>
      <c r="AJ5" s="2369"/>
    </row>
    <row r="6" spans="2:36" s="2095" customFormat="1" ht="16.5" customHeight="1">
      <c r="B6" s="2096" t="s">
        <v>130</v>
      </c>
      <c r="C6" s="2096">
        <f>+C7+C8+C9+C10+C11+C12</f>
        <v>22</v>
      </c>
      <c r="D6" s="2096"/>
      <c r="E6" s="2097">
        <f>+SUM(E13:E34)</f>
        <v>15912.580000000002</v>
      </c>
      <c r="F6" s="2098"/>
      <c r="G6" s="2099">
        <f>+SUM(G13:G34)</f>
        <v>7955636000</v>
      </c>
      <c r="H6" s="2100">
        <f>+I6/G6</f>
        <v>0.6173967109606322</v>
      </c>
      <c r="I6" s="2099">
        <f>+J6+K6+X6</f>
        <v>4911783500</v>
      </c>
      <c r="J6" s="2099">
        <f>+SUM(J13:J34)</f>
        <v>2837860300</v>
      </c>
      <c r="K6" s="2099">
        <f>+SUM(K13:K34)</f>
        <v>2073923200</v>
      </c>
      <c r="L6" s="2099">
        <f t="shared" ref="L6:AJ6" si="0">+SUM(L13:L34)</f>
        <v>0</v>
      </c>
      <c r="M6" s="2099">
        <f t="shared" si="0"/>
        <v>0</v>
      </c>
      <c r="N6" s="2099">
        <f t="shared" si="0"/>
        <v>0</v>
      </c>
      <c r="O6" s="2099">
        <f t="shared" si="0"/>
        <v>0</v>
      </c>
      <c r="P6" s="2099">
        <f t="shared" si="0"/>
        <v>740251200</v>
      </c>
      <c r="Q6" s="2099">
        <f t="shared" si="0"/>
        <v>0</v>
      </c>
      <c r="R6" s="2099">
        <f t="shared" si="0"/>
        <v>1333672000</v>
      </c>
      <c r="S6" s="2099">
        <f t="shared" si="0"/>
        <v>0</v>
      </c>
      <c r="T6" s="2099">
        <f t="shared" si="0"/>
        <v>0</v>
      </c>
      <c r="U6" s="2099">
        <f t="shared" si="0"/>
        <v>0</v>
      </c>
      <c r="V6" s="2099">
        <f t="shared" si="0"/>
        <v>0</v>
      </c>
      <c r="W6" s="2099">
        <f t="shared" si="0"/>
        <v>0</v>
      </c>
      <c r="X6" s="2099">
        <f>+SUM(X13:X34)</f>
        <v>0</v>
      </c>
      <c r="Y6" s="2099">
        <f t="shared" si="0"/>
        <v>0</v>
      </c>
      <c r="Z6" s="2099">
        <f t="shared" si="0"/>
        <v>0</v>
      </c>
      <c r="AA6" s="2099">
        <f t="shared" si="0"/>
        <v>0</v>
      </c>
      <c r="AB6" s="2099">
        <f t="shared" si="0"/>
        <v>0</v>
      </c>
      <c r="AC6" s="2099">
        <f t="shared" si="0"/>
        <v>0</v>
      </c>
      <c r="AD6" s="2099">
        <f t="shared" si="0"/>
        <v>0</v>
      </c>
      <c r="AE6" s="2099">
        <f t="shared" si="0"/>
        <v>0</v>
      </c>
      <c r="AF6" s="2099">
        <f t="shared" si="0"/>
        <v>0</v>
      </c>
      <c r="AG6" s="2099">
        <f t="shared" si="0"/>
        <v>0</v>
      </c>
      <c r="AH6" s="2099">
        <f t="shared" si="0"/>
        <v>0</v>
      </c>
      <c r="AI6" s="2099">
        <f t="shared" si="0"/>
        <v>0</v>
      </c>
      <c r="AJ6" s="2099">
        <f t="shared" si="0"/>
        <v>0</v>
      </c>
    </row>
    <row r="7" spans="2:36" s="2095" customFormat="1" ht="16.5" customHeight="1">
      <c r="B7" s="2102" t="s">
        <v>2532</v>
      </c>
      <c r="C7" s="2102">
        <f>+C26</f>
        <v>14</v>
      </c>
      <c r="D7" s="2102"/>
      <c r="E7" s="2103">
        <f>+SUM(E13:E26)</f>
        <v>10394.640000000001</v>
      </c>
      <c r="F7" s="2104"/>
      <c r="G7" s="2105">
        <f>+SUM(G13:G26)</f>
        <v>6436728000</v>
      </c>
      <c r="H7" s="2106">
        <f>+I7/G7</f>
        <v>0.55588980923226827</v>
      </c>
      <c r="I7" s="2105">
        <f t="shared" ref="I7:AJ7" si="1">+SUM(I13:I26)</f>
        <v>3578111500</v>
      </c>
      <c r="J7" s="2105">
        <f t="shared" si="1"/>
        <v>2837860300</v>
      </c>
      <c r="K7" s="2105">
        <f t="shared" si="1"/>
        <v>740251200</v>
      </c>
      <c r="L7" s="2105">
        <f t="shared" si="1"/>
        <v>0</v>
      </c>
      <c r="M7" s="2105">
        <f t="shared" si="1"/>
        <v>0</v>
      </c>
      <c r="N7" s="2105">
        <f t="shared" si="1"/>
        <v>0</v>
      </c>
      <c r="O7" s="2105">
        <f t="shared" si="1"/>
        <v>0</v>
      </c>
      <c r="P7" s="2105">
        <f t="shared" si="1"/>
        <v>740251200</v>
      </c>
      <c r="Q7" s="2105">
        <f t="shared" si="1"/>
        <v>0</v>
      </c>
      <c r="R7" s="2105">
        <f t="shared" si="1"/>
        <v>0</v>
      </c>
      <c r="S7" s="2105">
        <f t="shared" si="1"/>
        <v>0</v>
      </c>
      <c r="T7" s="2105">
        <f t="shared" si="1"/>
        <v>0</v>
      </c>
      <c r="U7" s="2105">
        <f t="shared" si="1"/>
        <v>0</v>
      </c>
      <c r="V7" s="2105">
        <f t="shared" si="1"/>
        <v>0</v>
      </c>
      <c r="W7" s="2105">
        <f t="shared" si="1"/>
        <v>0</v>
      </c>
      <c r="X7" s="2105">
        <f t="shared" si="1"/>
        <v>0</v>
      </c>
      <c r="Y7" s="2105">
        <f t="shared" si="1"/>
        <v>0</v>
      </c>
      <c r="Z7" s="2105">
        <f t="shared" si="1"/>
        <v>0</v>
      </c>
      <c r="AA7" s="2105">
        <f t="shared" si="1"/>
        <v>0</v>
      </c>
      <c r="AB7" s="2105">
        <f t="shared" si="1"/>
        <v>0</v>
      </c>
      <c r="AC7" s="2105">
        <f t="shared" si="1"/>
        <v>0</v>
      </c>
      <c r="AD7" s="2105">
        <f t="shared" si="1"/>
        <v>0</v>
      </c>
      <c r="AE7" s="2105">
        <f t="shared" si="1"/>
        <v>0</v>
      </c>
      <c r="AF7" s="2105">
        <f t="shared" si="1"/>
        <v>0</v>
      </c>
      <c r="AG7" s="2105">
        <f t="shared" si="1"/>
        <v>0</v>
      </c>
      <c r="AH7" s="2105">
        <f t="shared" si="1"/>
        <v>0</v>
      </c>
      <c r="AI7" s="2105">
        <f t="shared" si="1"/>
        <v>0</v>
      </c>
      <c r="AJ7" s="2105">
        <f t="shared" si="1"/>
        <v>0</v>
      </c>
    </row>
    <row r="8" spans="2:36" s="2095" customFormat="1" ht="16.5" customHeight="1">
      <c r="B8" s="2102" t="s">
        <v>2539</v>
      </c>
      <c r="C8" s="2102">
        <f>+C27</f>
        <v>1</v>
      </c>
      <c r="D8" s="2102"/>
      <c r="E8" s="2103">
        <f>+E27</f>
        <v>993.6</v>
      </c>
      <c r="F8" s="2104"/>
      <c r="G8" s="2105">
        <f>+G27</f>
        <v>223820970</v>
      </c>
      <c r="H8" s="2106">
        <f t="shared" ref="H8:H11" si="2">+I8/G8</f>
        <v>1</v>
      </c>
      <c r="I8" s="2105">
        <f>+I27</f>
        <v>223820970</v>
      </c>
      <c r="J8" s="2105">
        <f t="shared" ref="J8:AJ8" si="3">+J27</f>
        <v>0</v>
      </c>
      <c r="K8" s="2105">
        <f t="shared" si="3"/>
        <v>223820970</v>
      </c>
      <c r="L8" s="2105">
        <f t="shared" si="3"/>
        <v>0</v>
      </c>
      <c r="M8" s="2105">
        <f t="shared" si="3"/>
        <v>0</v>
      </c>
      <c r="N8" s="2105">
        <f t="shared" si="3"/>
        <v>0</v>
      </c>
      <c r="O8" s="2105">
        <f t="shared" si="3"/>
        <v>0</v>
      </c>
      <c r="P8" s="2105">
        <f t="shared" si="3"/>
        <v>0</v>
      </c>
      <c r="Q8" s="2105">
        <f t="shared" si="3"/>
        <v>0</v>
      </c>
      <c r="R8" s="2105">
        <f t="shared" si="3"/>
        <v>223820970</v>
      </c>
      <c r="S8" s="2105">
        <f t="shared" si="3"/>
        <v>0</v>
      </c>
      <c r="T8" s="2105">
        <f t="shared" si="3"/>
        <v>0</v>
      </c>
      <c r="U8" s="2105">
        <f t="shared" si="3"/>
        <v>0</v>
      </c>
      <c r="V8" s="2105">
        <f t="shared" si="3"/>
        <v>0</v>
      </c>
      <c r="W8" s="2105">
        <f t="shared" si="3"/>
        <v>0</v>
      </c>
      <c r="X8" s="2105">
        <f t="shared" si="3"/>
        <v>0</v>
      </c>
      <c r="Y8" s="2105">
        <f t="shared" si="3"/>
        <v>0</v>
      </c>
      <c r="Z8" s="2105">
        <f t="shared" si="3"/>
        <v>0</v>
      </c>
      <c r="AA8" s="2105">
        <f t="shared" si="3"/>
        <v>0</v>
      </c>
      <c r="AB8" s="2105">
        <f t="shared" si="3"/>
        <v>0</v>
      </c>
      <c r="AC8" s="2105">
        <f t="shared" si="3"/>
        <v>0</v>
      </c>
      <c r="AD8" s="2105">
        <f t="shared" si="3"/>
        <v>0</v>
      </c>
      <c r="AE8" s="2105">
        <f t="shared" si="3"/>
        <v>0</v>
      </c>
      <c r="AF8" s="2105">
        <f t="shared" si="3"/>
        <v>0</v>
      </c>
      <c r="AG8" s="2105">
        <f t="shared" si="3"/>
        <v>0</v>
      </c>
      <c r="AH8" s="2105">
        <f t="shared" si="3"/>
        <v>0</v>
      </c>
      <c r="AI8" s="2105">
        <f t="shared" si="3"/>
        <v>0</v>
      </c>
      <c r="AJ8" s="2105">
        <f t="shared" si="3"/>
        <v>0</v>
      </c>
    </row>
    <row r="9" spans="2:36" s="2095" customFormat="1" ht="16.5" customHeight="1">
      <c r="B9" s="2102" t="s">
        <v>2540</v>
      </c>
      <c r="C9" s="2102">
        <f t="shared" ref="C9:C11" si="4">+C28</f>
        <v>1</v>
      </c>
      <c r="D9" s="2102"/>
      <c r="E9" s="2103">
        <f t="shared" ref="E9:E11" si="5">+E28</f>
        <v>993.6</v>
      </c>
      <c r="F9" s="2104"/>
      <c r="G9" s="2105">
        <f t="shared" ref="G9:I11" si="6">+G28</f>
        <v>110418040</v>
      </c>
      <c r="H9" s="2106">
        <f t="shared" si="2"/>
        <v>1</v>
      </c>
      <c r="I9" s="2105">
        <f t="shared" si="6"/>
        <v>110418040</v>
      </c>
      <c r="J9" s="2105">
        <f t="shared" ref="J9:AJ9" si="7">+J28</f>
        <v>0</v>
      </c>
      <c r="K9" s="2105">
        <f t="shared" si="7"/>
        <v>110418040</v>
      </c>
      <c r="L9" s="2105">
        <f t="shared" si="7"/>
        <v>0</v>
      </c>
      <c r="M9" s="2105">
        <f t="shared" si="7"/>
        <v>0</v>
      </c>
      <c r="N9" s="2105">
        <f t="shared" si="7"/>
        <v>0</v>
      </c>
      <c r="O9" s="2105">
        <f t="shared" si="7"/>
        <v>0</v>
      </c>
      <c r="P9" s="2105">
        <f t="shared" si="7"/>
        <v>0</v>
      </c>
      <c r="Q9" s="2105">
        <f t="shared" si="7"/>
        <v>0</v>
      </c>
      <c r="R9" s="2105">
        <f t="shared" si="7"/>
        <v>110418040</v>
      </c>
      <c r="S9" s="2105">
        <f t="shared" si="7"/>
        <v>0</v>
      </c>
      <c r="T9" s="2105">
        <f t="shared" si="7"/>
        <v>0</v>
      </c>
      <c r="U9" s="2105">
        <f t="shared" si="7"/>
        <v>0</v>
      </c>
      <c r="V9" s="2105">
        <f t="shared" si="7"/>
        <v>0</v>
      </c>
      <c r="W9" s="2105">
        <f t="shared" si="7"/>
        <v>0</v>
      </c>
      <c r="X9" s="2105">
        <f t="shared" si="7"/>
        <v>0</v>
      </c>
      <c r="Y9" s="2105">
        <f t="shared" si="7"/>
        <v>0</v>
      </c>
      <c r="Z9" s="2105">
        <f t="shared" si="7"/>
        <v>0</v>
      </c>
      <c r="AA9" s="2105">
        <f t="shared" si="7"/>
        <v>0</v>
      </c>
      <c r="AB9" s="2105">
        <f t="shared" si="7"/>
        <v>0</v>
      </c>
      <c r="AC9" s="2105">
        <f t="shared" si="7"/>
        <v>0</v>
      </c>
      <c r="AD9" s="2105">
        <f t="shared" si="7"/>
        <v>0</v>
      </c>
      <c r="AE9" s="2105">
        <f t="shared" si="7"/>
        <v>0</v>
      </c>
      <c r="AF9" s="2105">
        <f t="shared" si="7"/>
        <v>0</v>
      </c>
      <c r="AG9" s="2105">
        <f t="shared" si="7"/>
        <v>0</v>
      </c>
      <c r="AH9" s="2105">
        <f t="shared" si="7"/>
        <v>0</v>
      </c>
      <c r="AI9" s="2105">
        <f t="shared" si="7"/>
        <v>0</v>
      </c>
      <c r="AJ9" s="2105">
        <f t="shared" si="7"/>
        <v>0</v>
      </c>
    </row>
    <row r="10" spans="2:36" s="2095" customFormat="1" ht="16.5" customHeight="1">
      <c r="B10" s="2102" t="s">
        <v>2541</v>
      </c>
      <c r="C10" s="2102">
        <f t="shared" si="4"/>
        <v>1</v>
      </c>
      <c r="D10" s="2102"/>
      <c r="E10" s="2103">
        <f t="shared" si="5"/>
        <v>993.6</v>
      </c>
      <c r="F10" s="2104"/>
      <c r="G10" s="2105">
        <f t="shared" si="6"/>
        <v>108773270</v>
      </c>
      <c r="H10" s="2106">
        <f t="shared" si="2"/>
        <v>1</v>
      </c>
      <c r="I10" s="2105">
        <f t="shared" si="6"/>
        <v>108773270</v>
      </c>
      <c r="J10" s="2105">
        <f t="shared" ref="J10:AJ10" si="8">+J29</f>
        <v>0</v>
      </c>
      <c r="K10" s="2105">
        <f t="shared" si="8"/>
        <v>108773270</v>
      </c>
      <c r="L10" s="2105">
        <f t="shared" si="8"/>
        <v>0</v>
      </c>
      <c r="M10" s="2105">
        <f t="shared" si="8"/>
        <v>0</v>
      </c>
      <c r="N10" s="2105">
        <f t="shared" si="8"/>
        <v>0</v>
      </c>
      <c r="O10" s="2105">
        <f t="shared" si="8"/>
        <v>0</v>
      </c>
      <c r="P10" s="2105">
        <f t="shared" si="8"/>
        <v>0</v>
      </c>
      <c r="Q10" s="2105">
        <f t="shared" si="8"/>
        <v>0</v>
      </c>
      <c r="R10" s="2105">
        <f t="shared" si="8"/>
        <v>108773270</v>
      </c>
      <c r="S10" s="2105">
        <f t="shared" si="8"/>
        <v>0</v>
      </c>
      <c r="T10" s="2105">
        <f t="shared" si="8"/>
        <v>0</v>
      </c>
      <c r="U10" s="2105">
        <f t="shared" si="8"/>
        <v>0</v>
      </c>
      <c r="V10" s="2105">
        <f t="shared" si="8"/>
        <v>0</v>
      </c>
      <c r="W10" s="2105">
        <f t="shared" si="8"/>
        <v>0</v>
      </c>
      <c r="X10" s="2105">
        <f t="shared" si="8"/>
        <v>0</v>
      </c>
      <c r="Y10" s="2105">
        <f t="shared" si="8"/>
        <v>0</v>
      </c>
      <c r="Z10" s="2105">
        <f t="shared" si="8"/>
        <v>0</v>
      </c>
      <c r="AA10" s="2105">
        <f t="shared" si="8"/>
        <v>0</v>
      </c>
      <c r="AB10" s="2105">
        <f t="shared" si="8"/>
        <v>0</v>
      </c>
      <c r="AC10" s="2105">
        <f t="shared" si="8"/>
        <v>0</v>
      </c>
      <c r="AD10" s="2105">
        <f t="shared" si="8"/>
        <v>0</v>
      </c>
      <c r="AE10" s="2105">
        <f t="shared" si="8"/>
        <v>0</v>
      </c>
      <c r="AF10" s="2105">
        <f t="shared" si="8"/>
        <v>0</v>
      </c>
      <c r="AG10" s="2105">
        <f t="shared" si="8"/>
        <v>0</v>
      </c>
      <c r="AH10" s="2105">
        <f t="shared" si="8"/>
        <v>0</v>
      </c>
      <c r="AI10" s="2105">
        <f t="shared" si="8"/>
        <v>0</v>
      </c>
      <c r="AJ10" s="2105">
        <f t="shared" si="8"/>
        <v>0</v>
      </c>
    </row>
    <row r="11" spans="2:36" s="2095" customFormat="1" ht="16.5" customHeight="1">
      <c r="B11" s="2102" t="s">
        <v>2542</v>
      </c>
      <c r="C11" s="2102">
        <f t="shared" si="4"/>
        <v>1</v>
      </c>
      <c r="D11" s="2102"/>
      <c r="E11" s="2103">
        <f t="shared" si="5"/>
        <v>993.6</v>
      </c>
      <c r="F11" s="2104"/>
      <c r="G11" s="2105">
        <f t="shared" si="6"/>
        <v>458479720</v>
      </c>
      <c r="H11" s="2106">
        <f t="shared" si="2"/>
        <v>1</v>
      </c>
      <c r="I11" s="2105">
        <f t="shared" si="6"/>
        <v>458479720</v>
      </c>
      <c r="J11" s="2105">
        <f t="shared" ref="J11:AJ11" si="9">+J30</f>
        <v>0</v>
      </c>
      <c r="K11" s="2105">
        <f t="shared" si="9"/>
        <v>458479720</v>
      </c>
      <c r="L11" s="2105">
        <f t="shared" si="9"/>
        <v>0</v>
      </c>
      <c r="M11" s="2105">
        <f t="shared" si="9"/>
        <v>0</v>
      </c>
      <c r="N11" s="2105">
        <f t="shared" si="9"/>
        <v>0</v>
      </c>
      <c r="O11" s="2105">
        <f t="shared" si="9"/>
        <v>0</v>
      </c>
      <c r="P11" s="2105">
        <f t="shared" si="9"/>
        <v>0</v>
      </c>
      <c r="Q11" s="2105">
        <f t="shared" si="9"/>
        <v>0</v>
      </c>
      <c r="R11" s="2105">
        <f t="shared" si="9"/>
        <v>458479720</v>
      </c>
      <c r="S11" s="2105">
        <f t="shared" si="9"/>
        <v>0</v>
      </c>
      <c r="T11" s="2105">
        <f t="shared" si="9"/>
        <v>0</v>
      </c>
      <c r="U11" s="2105">
        <f t="shared" si="9"/>
        <v>0</v>
      </c>
      <c r="V11" s="2105">
        <f t="shared" si="9"/>
        <v>0</v>
      </c>
      <c r="W11" s="2105">
        <f t="shared" si="9"/>
        <v>0</v>
      </c>
      <c r="X11" s="2105">
        <f t="shared" si="9"/>
        <v>0</v>
      </c>
      <c r="Y11" s="2105">
        <f t="shared" si="9"/>
        <v>0</v>
      </c>
      <c r="Z11" s="2105">
        <f t="shared" si="9"/>
        <v>0</v>
      </c>
      <c r="AA11" s="2105">
        <f t="shared" si="9"/>
        <v>0</v>
      </c>
      <c r="AB11" s="2105">
        <f t="shared" si="9"/>
        <v>0</v>
      </c>
      <c r="AC11" s="2105">
        <f t="shared" si="9"/>
        <v>0</v>
      </c>
      <c r="AD11" s="2105">
        <f t="shared" si="9"/>
        <v>0</v>
      </c>
      <c r="AE11" s="2105">
        <f t="shared" si="9"/>
        <v>0</v>
      </c>
      <c r="AF11" s="2105">
        <f t="shared" si="9"/>
        <v>0</v>
      </c>
      <c r="AG11" s="2105">
        <f t="shared" si="9"/>
        <v>0</v>
      </c>
      <c r="AH11" s="2105">
        <f t="shared" si="9"/>
        <v>0</v>
      </c>
      <c r="AI11" s="2105">
        <f t="shared" si="9"/>
        <v>0</v>
      </c>
      <c r="AJ11" s="2105">
        <f t="shared" si="9"/>
        <v>0</v>
      </c>
    </row>
    <row r="12" spans="2:36" s="2095" customFormat="1" ht="16.5" customHeight="1">
      <c r="B12" s="2102" t="s">
        <v>2533</v>
      </c>
      <c r="C12" s="2102">
        <v>4</v>
      </c>
      <c r="D12" s="2102"/>
      <c r="E12" s="2103">
        <f>+SUM(E31:E34)</f>
        <v>1543.54</v>
      </c>
      <c r="F12" s="2104"/>
      <c r="G12" s="2105">
        <f>+SUM(G31:G34)</f>
        <v>617416000</v>
      </c>
      <c r="H12" s="2106">
        <f>+I12/G12</f>
        <v>0.69998185988053441</v>
      </c>
      <c r="I12" s="2105">
        <f>+SUM(I31:I34)</f>
        <v>432180000</v>
      </c>
      <c r="J12" s="2105">
        <f>+SUM(J31:J34)</f>
        <v>0</v>
      </c>
      <c r="K12" s="2105">
        <f>+SUM(K31:K34)</f>
        <v>432180000</v>
      </c>
      <c r="L12" s="2105">
        <f t="shared" ref="L12:AJ12" si="10">+SUM(L31:L34)</f>
        <v>0</v>
      </c>
      <c r="M12" s="2105">
        <f t="shared" si="10"/>
        <v>0</v>
      </c>
      <c r="N12" s="2105">
        <f t="shared" si="10"/>
        <v>0</v>
      </c>
      <c r="O12" s="2105">
        <f t="shared" si="10"/>
        <v>0</v>
      </c>
      <c r="P12" s="2105">
        <f t="shared" si="10"/>
        <v>0</v>
      </c>
      <c r="Q12" s="2105">
        <f t="shared" si="10"/>
        <v>0</v>
      </c>
      <c r="R12" s="2105">
        <f t="shared" si="10"/>
        <v>432180000</v>
      </c>
      <c r="S12" s="2105">
        <f t="shared" si="10"/>
        <v>0</v>
      </c>
      <c r="T12" s="2105">
        <f t="shared" si="10"/>
        <v>0</v>
      </c>
      <c r="U12" s="2105">
        <f t="shared" si="10"/>
        <v>0</v>
      </c>
      <c r="V12" s="2105">
        <f t="shared" si="10"/>
        <v>0</v>
      </c>
      <c r="W12" s="2105">
        <f t="shared" si="10"/>
        <v>0</v>
      </c>
      <c r="X12" s="2105">
        <f>+SUM(X31:X34)</f>
        <v>0</v>
      </c>
      <c r="Y12" s="2105">
        <f t="shared" si="10"/>
        <v>0</v>
      </c>
      <c r="Z12" s="2105">
        <f t="shared" si="10"/>
        <v>0</v>
      </c>
      <c r="AA12" s="2105">
        <f t="shared" si="10"/>
        <v>0</v>
      </c>
      <c r="AB12" s="2105">
        <f t="shared" si="10"/>
        <v>0</v>
      </c>
      <c r="AC12" s="2105">
        <f t="shared" si="10"/>
        <v>0</v>
      </c>
      <c r="AD12" s="2105">
        <f t="shared" si="10"/>
        <v>0</v>
      </c>
      <c r="AE12" s="2105">
        <f t="shared" si="10"/>
        <v>0</v>
      </c>
      <c r="AF12" s="2105">
        <f t="shared" si="10"/>
        <v>0</v>
      </c>
      <c r="AG12" s="2105">
        <f t="shared" si="10"/>
        <v>0</v>
      </c>
      <c r="AH12" s="2105">
        <f t="shared" si="10"/>
        <v>0</v>
      </c>
      <c r="AI12" s="2105">
        <f t="shared" si="10"/>
        <v>0</v>
      </c>
      <c r="AJ12" s="2105">
        <f t="shared" si="10"/>
        <v>0</v>
      </c>
    </row>
    <row r="13" spans="2:36" ht="16.5" customHeight="1">
      <c r="B13" s="2372" t="s">
        <v>150</v>
      </c>
      <c r="C13" s="2107">
        <v>1</v>
      </c>
      <c r="D13" s="2108" t="str">
        <f>+'GM Batch1'!C11</f>
        <v>YJ NANSAN 1</v>
      </c>
      <c r="E13" s="2108">
        <f>+'GM Batch1'!D11</f>
        <v>999.58</v>
      </c>
      <c r="F13" s="2109">
        <v>550000000</v>
      </c>
      <c r="G13" s="2109">
        <f>+E13*F13/1000</f>
        <v>549769000</v>
      </c>
      <c r="H13" s="2110">
        <f>+I13/G13</f>
        <v>0.66947517957542169</v>
      </c>
      <c r="I13" s="2109">
        <f t="shared" ref="I13:I34" si="11">+J13+K13+X13</f>
        <v>368056700</v>
      </c>
      <c r="J13" s="2109">
        <f>+'GM Batch1'!Q12+'GM Batch1'!X12</f>
        <v>368056700</v>
      </c>
      <c r="K13" s="2109">
        <f t="shared" ref="K13:K34" si="12">+SUM(L13:W13)</f>
        <v>0</v>
      </c>
      <c r="L13" s="2109"/>
      <c r="M13" s="2109"/>
      <c r="N13" s="2109"/>
      <c r="O13" s="2109"/>
      <c r="P13" s="2109"/>
      <c r="Q13" s="2109"/>
      <c r="R13" s="2109"/>
      <c r="S13" s="2109"/>
      <c r="T13" s="2109"/>
      <c r="U13" s="2109"/>
      <c r="V13" s="2109"/>
      <c r="W13" s="2109"/>
      <c r="X13" s="2109">
        <f t="shared" ref="X13:X34" si="13">+SUM(Y13:AJ13)</f>
        <v>0</v>
      </c>
      <c r="Y13" s="2109"/>
      <c r="Z13" s="2109"/>
      <c r="AA13" s="2109"/>
      <c r="AB13" s="2109"/>
      <c r="AC13" s="2109"/>
      <c r="AD13" s="2109"/>
      <c r="AE13" s="2109"/>
      <c r="AF13" s="2109"/>
      <c r="AG13" s="2109"/>
      <c r="AH13" s="2109"/>
      <c r="AI13" s="2109"/>
      <c r="AJ13" s="2109"/>
    </row>
    <row r="14" spans="2:36" ht="16.5" customHeight="1">
      <c r="B14" s="2370"/>
      <c r="C14" s="2084">
        <f>+C13+1</f>
        <v>2</v>
      </c>
      <c r="D14" s="2088" t="str">
        <f>+'GM Batch1'!C17</f>
        <v>YJ NANSAN 2</v>
      </c>
      <c r="E14" s="2088">
        <f>+'GM Batch1'!D17</f>
        <v>999.58</v>
      </c>
      <c r="F14" s="2085">
        <v>550000000</v>
      </c>
      <c r="G14" s="2085">
        <f t="shared" ref="G14:G34" si="14">+E14*F14/1000</f>
        <v>549769000</v>
      </c>
      <c r="H14" s="2089">
        <f t="shared" ref="H14:H34" si="15">+I14/G14</f>
        <v>0.66947517957542169</v>
      </c>
      <c r="I14" s="2085">
        <f t="shared" si="11"/>
        <v>368056700</v>
      </c>
      <c r="J14" s="2085">
        <f>+'GM Batch1'!Q18+'GM Batch1'!X18</f>
        <v>368056700</v>
      </c>
      <c r="K14" s="2085">
        <f t="shared" si="12"/>
        <v>0</v>
      </c>
      <c r="L14" s="2085"/>
      <c r="M14" s="2085"/>
      <c r="N14" s="2085"/>
      <c r="O14" s="2085"/>
      <c r="P14" s="2085"/>
      <c r="Q14" s="2085"/>
      <c r="R14" s="2085"/>
      <c r="S14" s="2085"/>
      <c r="T14" s="2085"/>
      <c r="U14" s="2085"/>
      <c r="V14" s="2085"/>
      <c r="W14" s="2085"/>
      <c r="X14" s="2085">
        <f t="shared" si="13"/>
        <v>0</v>
      </c>
      <c r="Y14" s="2085"/>
      <c r="Z14" s="2085"/>
      <c r="AA14" s="2085"/>
      <c r="AB14" s="2085"/>
      <c r="AC14" s="2085"/>
      <c r="AD14" s="2085"/>
      <c r="AE14" s="2085"/>
      <c r="AF14" s="2085"/>
      <c r="AG14" s="2085"/>
      <c r="AH14" s="2085"/>
      <c r="AI14" s="2085"/>
      <c r="AJ14" s="2085"/>
    </row>
    <row r="15" spans="2:36" ht="16.5" customHeight="1">
      <c r="B15" s="2370"/>
      <c r="C15" s="2084">
        <f t="shared" ref="C15:C34" si="16">+C14+1</f>
        <v>3</v>
      </c>
      <c r="D15" s="2088" t="str">
        <f>+'GM Batch1'!C23</f>
        <v>YJ GASI 1</v>
      </c>
      <c r="E15" s="2088">
        <f>+'GM Batch1'!D23</f>
        <v>999.6</v>
      </c>
      <c r="F15" s="2085">
        <v>550000000</v>
      </c>
      <c r="G15" s="2085">
        <f t="shared" si="14"/>
        <v>549780000</v>
      </c>
      <c r="H15" s="2089">
        <f t="shared" si="15"/>
        <v>0.66947278911564623</v>
      </c>
      <c r="I15" s="2085">
        <f t="shared" si="11"/>
        <v>368062750</v>
      </c>
      <c r="J15" s="2085">
        <f>+'GM Batch1'!Q24+'GM Batch1'!X24</f>
        <v>368062750</v>
      </c>
      <c r="K15" s="2085">
        <f t="shared" si="12"/>
        <v>0</v>
      </c>
      <c r="L15" s="2085"/>
      <c r="M15" s="2085"/>
      <c r="N15" s="2085"/>
      <c r="O15" s="2085"/>
      <c r="P15" s="2085"/>
      <c r="Q15" s="2085"/>
      <c r="R15" s="2085"/>
      <c r="S15" s="2085"/>
      <c r="T15" s="2085"/>
      <c r="U15" s="2085"/>
      <c r="V15" s="2085"/>
      <c r="W15" s="2085"/>
      <c r="X15" s="2085">
        <f t="shared" si="13"/>
        <v>0</v>
      </c>
      <c r="Y15" s="2085"/>
      <c r="Z15" s="2085"/>
      <c r="AA15" s="2085"/>
      <c r="AB15" s="2085"/>
      <c r="AC15" s="2085"/>
      <c r="AD15" s="2085"/>
      <c r="AE15" s="2085"/>
      <c r="AF15" s="2085"/>
      <c r="AG15" s="2085"/>
      <c r="AH15" s="2085"/>
      <c r="AI15" s="2085"/>
      <c r="AJ15" s="2085"/>
    </row>
    <row r="16" spans="2:36" ht="16.5" customHeight="1">
      <c r="B16" s="2370"/>
      <c r="C16" s="2084">
        <f t="shared" si="16"/>
        <v>4</v>
      </c>
      <c r="D16" s="2088" t="str">
        <f>+'GM Batch1'!C29</f>
        <v>YJ GASI 2</v>
      </c>
      <c r="E16" s="2088">
        <f>+'GM Batch1'!D29</f>
        <v>999.6</v>
      </c>
      <c r="F16" s="2085">
        <v>550000000</v>
      </c>
      <c r="G16" s="2085">
        <f t="shared" si="14"/>
        <v>549780000</v>
      </c>
      <c r="H16" s="2089">
        <f t="shared" si="15"/>
        <v>0.66947278911564623</v>
      </c>
      <c r="I16" s="2085">
        <f t="shared" si="11"/>
        <v>368062750</v>
      </c>
      <c r="J16" s="2085">
        <f>+'GM Batch1'!Q30+'GM Batch1'!X30</f>
        <v>368062750</v>
      </c>
      <c r="K16" s="2085">
        <f t="shared" si="12"/>
        <v>0</v>
      </c>
      <c r="L16" s="2085"/>
      <c r="M16" s="2085"/>
      <c r="N16" s="2085"/>
      <c r="O16" s="2085"/>
      <c r="P16" s="2085"/>
      <c r="Q16" s="2085"/>
      <c r="R16" s="2085"/>
      <c r="S16" s="2085"/>
      <c r="T16" s="2085"/>
      <c r="U16" s="2085"/>
      <c r="V16" s="2085"/>
      <c r="W16" s="2085"/>
      <c r="X16" s="2085">
        <f t="shared" si="13"/>
        <v>0</v>
      </c>
      <c r="Y16" s="2085"/>
      <c r="Z16" s="2085"/>
      <c r="AA16" s="2085"/>
      <c r="AB16" s="2085"/>
      <c r="AC16" s="2085"/>
      <c r="AD16" s="2085"/>
      <c r="AE16" s="2085"/>
      <c r="AF16" s="2085"/>
      <c r="AG16" s="2085"/>
      <c r="AH16" s="2085"/>
      <c r="AI16" s="2085"/>
      <c r="AJ16" s="2085"/>
    </row>
    <row r="17" spans="2:36" ht="16.5" customHeight="1">
      <c r="B17" s="2370"/>
      <c r="C17" s="2084">
        <f t="shared" si="16"/>
        <v>5</v>
      </c>
      <c r="D17" s="2088" t="str">
        <f>+'GM Batch1'!C35</f>
        <v>Dream 1</v>
      </c>
      <c r="E17" s="2088">
        <f>+'GM Batch1'!D35</f>
        <v>999.24</v>
      </c>
      <c r="F17" s="2085">
        <v>550000000</v>
      </c>
      <c r="G17" s="2085">
        <f t="shared" si="14"/>
        <v>549582000</v>
      </c>
      <c r="H17" s="2089">
        <f t="shared" si="15"/>
        <v>0.62115407709859494</v>
      </c>
      <c r="I17" s="2085">
        <f t="shared" si="11"/>
        <v>341375100</v>
      </c>
      <c r="J17" s="2085">
        <f>+'GM Batch1'!Q36+'GM Batch1'!X36</f>
        <v>341375100</v>
      </c>
      <c r="K17" s="2085">
        <f t="shared" si="12"/>
        <v>0</v>
      </c>
      <c r="L17" s="2085"/>
      <c r="M17" s="2085"/>
      <c r="N17" s="2085"/>
      <c r="O17" s="2085"/>
      <c r="P17" s="2085"/>
      <c r="Q17" s="2085"/>
      <c r="R17" s="2085"/>
      <c r="S17" s="2085"/>
      <c r="T17" s="2085"/>
      <c r="U17" s="2085"/>
      <c r="V17" s="2085"/>
      <c r="W17" s="2085"/>
      <c r="X17" s="2085">
        <f t="shared" si="13"/>
        <v>0</v>
      </c>
      <c r="Y17" s="2085"/>
      <c r="Z17" s="2085"/>
      <c r="AA17" s="2085"/>
      <c r="AB17" s="2085"/>
      <c r="AC17" s="2085"/>
      <c r="AD17" s="2085"/>
      <c r="AE17" s="2085"/>
      <c r="AF17" s="2085"/>
      <c r="AG17" s="2085"/>
      <c r="AH17" s="2085"/>
      <c r="AI17" s="2085"/>
      <c r="AJ17" s="2085"/>
    </row>
    <row r="18" spans="2:36" ht="16.5" customHeight="1">
      <c r="B18" s="2370"/>
      <c r="C18" s="2084">
        <f t="shared" si="16"/>
        <v>6</v>
      </c>
      <c r="D18" s="2088" t="str">
        <f>+'GM Batch1'!C41</f>
        <v>Dream 2</v>
      </c>
      <c r="E18" s="2088">
        <f>+'GM Batch1'!D41</f>
        <v>999.24</v>
      </c>
      <c r="F18" s="2085">
        <v>550000000</v>
      </c>
      <c r="G18" s="2085">
        <f t="shared" si="14"/>
        <v>549582000</v>
      </c>
      <c r="H18" s="2089">
        <f t="shared" si="15"/>
        <v>0.62115407709859494</v>
      </c>
      <c r="I18" s="2085">
        <f t="shared" si="11"/>
        <v>341375100</v>
      </c>
      <c r="J18" s="2085">
        <f>+'GM Batch1'!Q42+'GM Batch1'!X42</f>
        <v>341375100</v>
      </c>
      <c r="K18" s="2085">
        <f t="shared" si="12"/>
        <v>0</v>
      </c>
      <c r="L18" s="2085"/>
      <c r="M18" s="2085"/>
      <c r="N18" s="2085"/>
      <c r="O18" s="2085"/>
      <c r="P18" s="2085"/>
      <c r="Q18" s="2085"/>
      <c r="R18" s="2085"/>
      <c r="S18" s="2085"/>
      <c r="T18" s="2085"/>
      <c r="U18" s="2085"/>
      <c r="V18" s="2085"/>
      <c r="W18" s="2085"/>
      <c r="X18" s="2085">
        <f t="shared" si="13"/>
        <v>0</v>
      </c>
      <c r="Y18" s="2085"/>
      <c r="Z18" s="2085"/>
      <c r="AA18" s="2085"/>
      <c r="AB18" s="2085"/>
      <c r="AC18" s="2085"/>
      <c r="AD18" s="2085"/>
      <c r="AE18" s="2085"/>
      <c r="AF18" s="2085"/>
      <c r="AG18" s="2085"/>
      <c r="AH18" s="2085"/>
      <c r="AI18" s="2085"/>
      <c r="AJ18" s="2085"/>
    </row>
    <row r="19" spans="2:36" ht="16.5" customHeight="1">
      <c r="B19" s="2370"/>
      <c r="C19" s="2084">
        <f t="shared" si="16"/>
        <v>7</v>
      </c>
      <c r="D19" s="2088" t="str">
        <f>+'GM Batch1'!C47</f>
        <v>JEIL TECH 1</v>
      </c>
      <c r="E19" s="2088">
        <f>+'GM Batch1'!D47</f>
        <v>999.44</v>
      </c>
      <c r="F19" s="2085">
        <v>550000000</v>
      </c>
      <c r="G19" s="2085">
        <f t="shared" si="14"/>
        <v>549692000</v>
      </c>
      <c r="H19" s="2089">
        <f t="shared" si="15"/>
        <v>0.6211398383094533</v>
      </c>
      <c r="I19" s="2085">
        <f t="shared" si="11"/>
        <v>341435600</v>
      </c>
      <c r="J19" s="2085">
        <f>+'GM Batch1'!Q48+'GM Batch1'!X48</f>
        <v>341435600</v>
      </c>
      <c r="K19" s="2085">
        <f t="shared" si="12"/>
        <v>0</v>
      </c>
      <c r="L19" s="2085"/>
      <c r="M19" s="2085"/>
      <c r="N19" s="2085"/>
      <c r="O19" s="2085"/>
      <c r="P19" s="2085"/>
      <c r="Q19" s="2085"/>
      <c r="R19" s="2085"/>
      <c r="S19" s="2085"/>
      <c r="T19" s="2085"/>
      <c r="U19" s="2085"/>
      <c r="V19" s="2085"/>
      <c r="W19" s="2085"/>
      <c r="X19" s="2085">
        <f t="shared" si="13"/>
        <v>0</v>
      </c>
      <c r="Y19" s="2085"/>
      <c r="Z19" s="2085"/>
      <c r="AA19" s="2085"/>
      <c r="AB19" s="2085"/>
      <c r="AC19" s="2085"/>
      <c r="AD19" s="2085"/>
      <c r="AE19" s="2085"/>
      <c r="AF19" s="2085"/>
      <c r="AG19" s="2085"/>
      <c r="AH19" s="2085"/>
      <c r="AI19" s="2085"/>
      <c r="AJ19" s="2085"/>
    </row>
    <row r="20" spans="2:36" ht="16.5" customHeight="1">
      <c r="B20" s="2370"/>
      <c r="C20" s="2084">
        <f t="shared" si="16"/>
        <v>8</v>
      </c>
      <c r="D20" s="2088" t="str">
        <f>+'GM Batch1'!C53</f>
        <v>JEIL TECH 2</v>
      </c>
      <c r="E20" s="2088">
        <f>+'GM Batch1'!D53</f>
        <v>999.44</v>
      </c>
      <c r="F20" s="2085">
        <v>550000000</v>
      </c>
      <c r="G20" s="2085">
        <f t="shared" si="14"/>
        <v>549692000</v>
      </c>
      <c r="H20" s="2089">
        <f t="shared" si="15"/>
        <v>0.6211398383094533</v>
      </c>
      <c r="I20" s="2085">
        <f t="shared" si="11"/>
        <v>341435600</v>
      </c>
      <c r="J20" s="2085">
        <f>+'GM Batch1'!Q54+'GM Batch1'!X54</f>
        <v>341435600</v>
      </c>
      <c r="K20" s="2085">
        <f t="shared" si="12"/>
        <v>0</v>
      </c>
      <c r="L20" s="2085"/>
      <c r="M20" s="2085"/>
      <c r="N20" s="2085"/>
      <c r="O20" s="2085"/>
      <c r="P20" s="2085"/>
      <c r="Q20" s="2085"/>
      <c r="R20" s="2085"/>
      <c r="S20" s="2085"/>
      <c r="T20" s="2085"/>
      <c r="U20" s="2085"/>
      <c r="V20" s="2085"/>
      <c r="W20" s="2085"/>
      <c r="X20" s="2085">
        <f t="shared" si="13"/>
        <v>0</v>
      </c>
      <c r="Y20" s="2085"/>
      <c r="Z20" s="2085"/>
      <c r="AA20" s="2085"/>
      <c r="AB20" s="2085"/>
      <c r="AC20" s="2085"/>
      <c r="AD20" s="2085"/>
      <c r="AE20" s="2085"/>
      <c r="AF20" s="2085"/>
      <c r="AG20" s="2085"/>
      <c r="AH20" s="2085"/>
      <c r="AI20" s="2085"/>
      <c r="AJ20" s="2085"/>
    </row>
    <row r="21" spans="2:36" ht="16.5" customHeight="1">
      <c r="B21" s="2370"/>
      <c r="C21" s="2084">
        <f t="shared" si="16"/>
        <v>9</v>
      </c>
      <c r="D21" s="2088" t="str">
        <f>+'GM Batch2-APA'!C11</f>
        <v>Jangchon 1 (APA)</v>
      </c>
      <c r="E21" s="2088">
        <f>+'GM Batch2-APA'!D11</f>
        <v>551.04</v>
      </c>
      <c r="F21" s="2085">
        <v>850000000</v>
      </c>
      <c r="G21" s="2085">
        <f t="shared" si="14"/>
        <v>468383999.99999994</v>
      </c>
      <c r="H21" s="2089">
        <f t="shared" si="15"/>
        <v>0.55467821274851414</v>
      </c>
      <c r="I21" s="2085">
        <f t="shared" si="11"/>
        <v>259802400</v>
      </c>
      <c r="J21" s="2085"/>
      <c r="K21" s="2085">
        <f t="shared" si="12"/>
        <v>259802400</v>
      </c>
      <c r="L21" s="2085"/>
      <c r="M21" s="2085"/>
      <c r="N21" s="2085"/>
      <c r="O21" s="2085"/>
      <c r="P21" s="2085">
        <f>+'GM Batch2-APA'!Q12+'GM Batch2-APA'!Q13+'GM Batch2-APA'!Q14</f>
        <v>259802400</v>
      </c>
      <c r="Q21" s="2085"/>
      <c r="R21" s="2085"/>
      <c r="S21" s="2085"/>
      <c r="T21" s="2085"/>
      <c r="U21" s="2085"/>
      <c r="V21" s="2085"/>
      <c r="W21" s="2085"/>
      <c r="X21" s="2085">
        <f t="shared" si="13"/>
        <v>0</v>
      </c>
      <c r="Y21" s="2085"/>
      <c r="Z21" s="2085"/>
      <c r="AA21" s="2085"/>
      <c r="AB21" s="2085"/>
      <c r="AC21" s="2085"/>
      <c r="AD21" s="2085"/>
      <c r="AE21" s="2085"/>
      <c r="AF21" s="2085"/>
      <c r="AG21" s="2085"/>
      <c r="AH21" s="2085"/>
      <c r="AI21" s="2085"/>
      <c r="AJ21" s="2085"/>
    </row>
    <row r="22" spans="2:36" ht="16.5" customHeight="1">
      <c r="B22" s="2370"/>
      <c r="C22" s="2084">
        <f t="shared" si="16"/>
        <v>10</v>
      </c>
      <c r="D22" s="2088" t="str">
        <f>+'GM Batch2-APA'!C17</f>
        <v>Soltop Masan 1 (APA)</v>
      </c>
      <c r="E22" s="2088">
        <f>+'GM Batch2-APA'!D17</f>
        <v>399.04</v>
      </c>
      <c r="F22" s="2085">
        <v>850000000</v>
      </c>
      <c r="G22" s="2085">
        <f t="shared" si="14"/>
        <v>339184000</v>
      </c>
      <c r="H22" s="2089">
        <f t="shared" si="15"/>
        <v>0.30588235294117649</v>
      </c>
      <c r="I22" s="2085">
        <f t="shared" si="11"/>
        <v>103750400</v>
      </c>
      <c r="J22" s="2085"/>
      <c r="K22" s="2085">
        <f t="shared" si="12"/>
        <v>103750400</v>
      </c>
      <c r="L22" s="2085"/>
      <c r="M22" s="2085"/>
      <c r="N22" s="2085"/>
      <c r="O22" s="2085"/>
      <c r="P22" s="2085">
        <f>+'GM Batch2-APA'!Q18+'GM Batch2-APA'!Q19+'GM Batch2-APA'!Q20</f>
        <v>103750400</v>
      </c>
      <c r="Q22" s="2085"/>
      <c r="R22" s="2085"/>
      <c r="S22" s="2085"/>
      <c r="T22" s="2085"/>
      <c r="U22" s="2085"/>
      <c r="V22" s="2085"/>
      <c r="W22" s="2085"/>
      <c r="X22" s="2085">
        <f t="shared" si="13"/>
        <v>0</v>
      </c>
      <c r="Y22" s="2085"/>
      <c r="Z22" s="2085"/>
      <c r="AA22" s="2085"/>
      <c r="AB22" s="2085"/>
      <c r="AC22" s="2085"/>
      <c r="AD22" s="2085"/>
      <c r="AE22" s="2085"/>
      <c r="AF22" s="2085"/>
      <c r="AG22" s="2085"/>
      <c r="AH22" s="2085"/>
      <c r="AI22" s="2085"/>
      <c r="AJ22" s="2085"/>
    </row>
    <row r="23" spans="2:36" ht="16.5" customHeight="1">
      <c r="B23" s="2370"/>
      <c r="C23" s="2084">
        <f t="shared" si="16"/>
        <v>11</v>
      </c>
      <c r="D23" s="2088" t="str">
        <f>+'GM Batch2-APA'!C23</f>
        <v>Hanil Mugok 15 (APA)</v>
      </c>
      <c r="E23" s="2088">
        <f>+'GM Batch2-APA'!D23</f>
        <v>499.96</v>
      </c>
      <c r="F23" s="2085">
        <v>850000000</v>
      </c>
      <c r="G23" s="2085">
        <f t="shared" si="14"/>
        <v>424966000</v>
      </c>
      <c r="H23" s="2089">
        <f t="shared" si="15"/>
        <v>0.30588235294117649</v>
      </c>
      <c r="I23" s="2085">
        <f t="shared" si="11"/>
        <v>129989600</v>
      </c>
      <c r="J23" s="2085"/>
      <c r="K23" s="2085">
        <f t="shared" si="12"/>
        <v>129989600</v>
      </c>
      <c r="L23" s="2085"/>
      <c r="M23" s="2085"/>
      <c r="N23" s="2085"/>
      <c r="O23" s="2085"/>
      <c r="P23" s="2085">
        <f>+'GM Batch2-APA'!Q24+'GM Batch2-APA'!Q25+'GM Batch2-APA'!Q26</f>
        <v>129989600</v>
      </c>
      <c r="Q23" s="2085"/>
      <c r="R23" s="2085"/>
      <c r="S23" s="2085"/>
      <c r="T23" s="2085"/>
      <c r="U23" s="2085"/>
      <c r="V23" s="2085"/>
      <c r="W23" s="2085"/>
      <c r="X23" s="2085">
        <f t="shared" si="13"/>
        <v>0</v>
      </c>
      <c r="Y23" s="2085"/>
      <c r="Z23" s="2085"/>
      <c r="AA23" s="2085"/>
      <c r="AB23" s="2085"/>
      <c r="AC23" s="2085"/>
      <c r="AD23" s="2085"/>
      <c r="AE23" s="2085"/>
      <c r="AF23" s="2085"/>
      <c r="AG23" s="2085"/>
      <c r="AH23" s="2085"/>
      <c r="AI23" s="2085"/>
      <c r="AJ23" s="2085"/>
    </row>
    <row r="24" spans="2:36" ht="16.5" customHeight="1">
      <c r="B24" s="2370"/>
      <c r="C24" s="2084">
        <f t="shared" si="16"/>
        <v>12</v>
      </c>
      <c r="D24" s="2088" t="str">
        <f>+'GM Batch2-APA'!C29</f>
        <v>Hanil Jigyeong 1 (APA)</v>
      </c>
      <c r="E24" s="2088">
        <f>+'GM Batch2-APA'!D29</f>
        <v>499.96</v>
      </c>
      <c r="F24" s="2085">
        <v>850000000</v>
      </c>
      <c r="G24" s="2085">
        <f t="shared" si="14"/>
        <v>424966000</v>
      </c>
      <c r="H24" s="2089">
        <f t="shared" si="15"/>
        <v>0.30588235294117649</v>
      </c>
      <c r="I24" s="2085">
        <f t="shared" si="11"/>
        <v>129989600</v>
      </c>
      <c r="J24" s="2085"/>
      <c r="K24" s="2085">
        <f t="shared" si="12"/>
        <v>129989600</v>
      </c>
      <c r="L24" s="2085"/>
      <c r="M24" s="2085"/>
      <c r="N24" s="2085"/>
      <c r="O24" s="2085"/>
      <c r="P24" s="2085">
        <f>+'GM Batch2-APA'!Q30+'GM Batch2-APA'!Q31+'GM Batch2-APA'!Q32</f>
        <v>129989600</v>
      </c>
      <c r="Q24" s="2085"/>
      <c r="R24" s="2085"/>
      <c r="S24" s="2085"/>
      <c r="T24" s="2085"/>
      <c r="U24" s="2085"/>
      <c r="V24" s="2085"/>
      <c r="W24" s="2085"/>
      <c r="X24" s="2085">
        <f t="shared" si="13"/>
        <v>0</v>
      </c>
      <c r="Y24" s="2085"/>
      <c r="Z24" s="2085"/>
      <c r="AA24" s="2085"/>
      <c r="AB24" s="2085"/>
      <c r="AC24" s="2085"/>
      <c r="AD24" s="2085"/>
      <c r="AE24" s="2085"/>
      <c r="AF24" s="2085"/>
      <c r="AG24" s="2085"/>
      <c r="AH24" s="2085"/>
      <c r="AI24" s="2085"/>
      <c r="AJ24" s="2085"/>
    </row>
    <row r="25" spans="2:36" ht="16.5" customHeight="1">
      <c r="B25" s="2370"/>
      <c r="C25" s="2084">
        <f t="shared" si="16"/>
        <v>13</v>
      </c>
      <c r="D25" s="2088" t="str">
        <f>+'GM Batch2-APA'!C35</f>
        <v>Hanil Jigyeong 2 (APA)</v>
      </c>
      <c r="E25" s="2088">
        <f>+'GM Batch2-APA'!D35</f>
        <v>149.63999999999999</v>
      </c>
      <c r="F25" s="2085">
        <v>850000000</v>
      </c>
      <c r="G25" s="2085">
        <f t="shared" si="14"/>
        <v>127193999.99999999</v>
      </c>
      <c r="H25" s="2089">
        <f t="shared" si="15"/>
        <v>0.30588235294117649</v>
      </c>
      <c r="I25" s="2085">
        <f t="shared" si="11"/>
        <v>38906400</v>
      </c>
      <c r="J25" s="2085"/>
      <c r="K25" s="2085">
        <f t="shared" si="12"/>
        <v>38906400</v>
      </c>
      <c r="L25" s="2085"/>
      <c r="M25" s="2085"/>
      <c r="N25" s="2085"/>
      <c r="O25" s="2085"/>
      <c r="P25" s="2085">
        <f>+'GM Batch2-APA'!Q36+'GM Batch2-APA'!Q37+'GM Batch2-APA'!Q38</f>
        <v>38906400</v>
      </c>
      <c r="Q25" s="2085"/>
      <c r="R25" s="2085"/>
      <c r="S25" s="2085"/>
      <c r="T25" s="2085"/>
      <c r="U25" s="2085"/>
      <c r="V25" s="2085"/>
      <c r="W25" s="2085"/>
      <c r="X25" s="2085">
        <f t="shared" si="13"/>
        <v>0</v>
      </c>
      <c r="Y25" s="2085"/>
      <c r="Z25" s="2085"/>
      <c r="AA25" s="2085"/>
      <c r="AB25" s="2085"/>
      <c r="AC25" s="2085"/>
      <c r="AD25" s="2085"/>
      <c r="AE25" s="2085"/>
      <c r="AF25" s="2085"/>
      <c r="AG25" s="2085"/>
      <c r="AH25" s="2085"/>
      <c r="AI25" s="2085"/>
      <c r="AJ25" s="2085"/>
    </row>
    <row r="26" spans="2:36" ht="16.5" customHeight="1">
      <c r="B26" s="2371"/>
      <c r="C26" s="2086">
        <f t="shared" si="16"/>
        <v>14</v>
      </c>
      <c r="D26" s="2094" t="str">
        <f>+'GM Batch2-APA'!C41</f>
        <v>Ho Duck4 (APA)</v>
      </c>
      <c r="E26" s="2094">
        <f>+'GM Batch2-APA'!D41</f>
        <v>299.27999999999997</v>
      </c>
      <c r="F26" s="2087">
        <v>850000000</v>
      </c>
      <c r="G26" s="2087">
        <f t="shared" si="14"/>
        <v>254387999.99999997</v>
      </c>
      <c r="H26" s="2090">
        <f t="shared" si="15"/>
        <v>0.30588235294117649</v>
      </c>
      <c r="I26" s="2087">
        <f t="shared" si="11"/>
        <v>77812800</v>
      </c>
      <c r="J26" s="2087"/>
      <c r="K26" s="2087">
        <f t="shared" si="12"/>
        <v>77812800</v>
      </c>
      <c r="L26" s="2087"/>
      <c r="M26" s="2087"/>
      <c r="N26" s="2087"/>
      <c r="O26" s="2087"/>
      <c r="P26" s="2087">
        <f>+'GM Batch2-APA'!Q42+'GM Batch2-APA'!Q43+'GM Batch2-APA'!Q44</f>
        <v>77812800</v>
      </c>
      <c r="Q26" s="2087"/>
      <c r="R26" s="2087"/>
      <c r="S26" s="2087"/>
      <c r="T26" s="2087"/>
      <c r="U26" s="2087"/>
      <c r="V26" s="2087"/>
      <c r="W26" s="2087"/>
      <c r="X26" s="2087">
        <f t="shared" si="13"/>
        <v>0</v>
      </c>
      <c r="Y26" s="2087"/>
      <c r="Z26" s="2087"/>
      <c r="AA26" s="2087"/>
      <c r="AB26" s="2087"/>
      <c r="AC26" s="2087"/>
      <c r="AD26" s="2087"/>
      <c r="AE26" s="2087"/>
      <c r="AF26" s="2087"/>
      <c r="AG26" s="2087"/>
      <c r="AH26" s="2087"/>
      <c r="AI26" s="2087"/>
      <c r="AJ26" s="2087"/>
    </row>
    <row r="27" spans="2:36" ht="16.5" customHeight="1">
      <c r="B27" s="1916" t="s">
        <v>2535</v>
      </c>
      <c r="C27" s="1916">
        <v>1</v>
      </c>
      <c r="D27" s="2111" t="str">
        <f>+'GM Batch2-SPA'!C11</f>
        <v>Galsan (SPA)</v>
      </c>
      <c r="E27" s="2111">
        <f>+'GM Batch2-SPA'!D11</f>
        <v>993.6</v>
      </c>
      <c r="F27" s="1917">
        <f>+G27/E27*1000</f>
        <v>225262650.96618357</v>
      </c>
      <c r="G27" s="1917">
        <v>223820970</v>
      </c>
      <c r="H27" s="2112">
        <f t="shared" si="15"/>
        <v>1</v>
      </c>
      <c r="I27" s="1917">
        <f t="shared" si="11"/>
        <v>223820970</v>
      </c>
      <c r="J27" s="1917"/>
      <c r="K27" s="1917">
        <f t="shared" si="12"/>
        <v>223820970</v>
      </c>
      <c r="L27" s="1917"/>
      <c r="M27" s="1917"/>
      <c r="N27" s="1917"/>
      <c r="O27" s="1917"/>
      <c r="P27" s="1917"/>
      <c r="Q27" s="1917"/>
      <c r="R27" s="1917">
        <f>+'GM Batch2-SPA'!Q12</f>
        <v>223820970</v>
      </c>
      <c r="S27" s="1917"/>
      <c r="T27" s="1917"/>
      <c r="U27" s="1917"/>
      <c r="V27" s="1917"/>
      <c r="W27" s="1917"/>
      <c r="X27" s="1917">
        <f t="shared" si="13"/>
        <v>0</v>
      </c>
      <c r="Y27" s="1917"/>
      <c r="Z27" s="1917"/>
      <c r="AA27" s="1917"/>
      <c r="AB27" s="1917"/>
      <c r="AC27" s="1917"/>
      <c r="AD27" s="1917"/>
      <c r="AE27" s="1917"/>
      <c r="AF27" s="1917"/>
      <c r="AG27" s="1917"/>
      <c r="AH27" s="1917"/>
      <c r="AI27" s="1917"/>
      <c r="AJ27" s="1917"/>
    </row>
    <row r="28" spans="2:36" ht="16.5" customHeight="1">
      <c r="B28" s="1916" t="s">
        <v>2536</v>
      </c>
      <c r="C28" s="1916">
        <v>1</v>
      </c>
      <c r="D28" s="2111" t="str">
        <f>+'GM Batch2-SPA'!C17</f>
        <v>Mineuri (SPA)</v>
      </c>
      <c r="E28" s="2111">
        <f>+'GM Batch2-SPA'!D17</f>
        <v>993.6</v>
      </c>
      <c r="F28" s="1917">
        <f t="shared" ref="F28:F30" si="17">+G28/E28*1000</f>
        <v>111129267.31078905</v>
      </c>
      <c r="G28" s="1917">
        <v>110418040</v>
      </c>
      <c r="H28" s="2112">
        <f t="shared" si="15"/>
        <v>1</v>
      </c>
      <c r="I28" s="1917">
        <f t="shared" si="11"/>
        <v>110418040</v>
      </c>
      <c r="J28" s="1917"/>
      <c r="K28" s="1917">
        <f t="shared" si="12"/>
        <v>110418040</v>
      </c>
      <c r="L28" s="1917"/>
      <c r="M28" s="1917"/>
      <c r="N28" s="1917"/>
      <c r="O28" s="1917"/>
      <c r="P28" s="1917"/>
      <c r="Q28" s="1917"/>
      <c r="R28" s="1917">
        <f>+'GM Batch2-SPA'!Q18</f>
        <v>110418040</v>
      </c>
      <c r="S28" s="1917"/>
      <c r="T28" s="1917"/>
      <c r="U28" s="1917"/>
      <c r="V28" s="1917"/>
      <c r="W28" s="1917"/>
      <c r="X28" s="1917">
        <f t="shared" si="13"/>
        <v>0</v>
      </c>
      <c r="Y28" s="1917"/>
      <c r="Z28" s="1917"/>
      <c r="AA28" s="1917"/>
      <c r="AB28" s="1917"/>
      <c r="AC28" s="1917"/>
      <c r="AD28" s="1917"/>
      <c r="AE28" s="1917"/>
      <c r="AF28" s="1917"/>
      <c r="AG28" s="1917"/>
      <c r="AH28" s="1917"/>
      <c r="AI28" s="1917"/>
      <c r="AJ28" s="1917"/>
    </row>
    <row r="29" spans="2:36" ht="16.5" customHeight="1">
      <c r="B29" s="1916" t="s">
        <v>2537</v>
      </c>
      <c r="C29" s="1916">
        <v>1</v>
      </c>
      <c r="D29" s="2111" t="str">
        <f>+'GM Batch2-SPA'!C23</f>
        <v>Seagol(SPA)</v>
      </c>
      <c r="E29" s="2111">
        <f>+'GM Batch2-SPA'!D23</f>
        <v>993.6</v>
      </c>
      <c r="F29" s="1917">
        <f t="shared" si="17"/>
        <v>109473902.97906601</v>
      </c>
      <c r="G29" s="1917">
        <v>108773270</v>
      </c>
      <c r="H29" s="2112">
        <f t="shared" si="15"/>
        <v>1</v>
      </c>
      <c r="I29" s="1917">
        <f t="shared" si="11"/>
        <v>108773270</v>
      </c>
      <c r="J29" s="1917"/>
      <c r="K29" s="1917">
        <f t="shared" si="12"/>
        <v>108773270</v>
      </c>
      <c r="L29" s="1917"/>
      <c r="M29" s="1917"/>
      <c r="N29" s="1917"/>
      <c r="O29" s="1917"/>
      <c r="P29" s="1917"/>
      <c r="Q29" s="1917"/>
      <c r="R29" s="1917">
        <f>+'GM Batch2-SPA'!Q24</f>
        <v>108773270</v>
      </c>
      <c r="S29" s="1917"/>
      <c r="T29" s="1917"/>
      <c r="U29" s="1917"/>
      <c r="V29" s="1917"/>
      <c r="W29" s="1917"/>
      <c r="X29" s="1917">
        <f t="shared" si="13"/>
        <v>0</v>
      </c>
      <c r="Y29" s="1917"/>
      <c r="Z29" s="1917"/>
      <c r="AA29" s="1917"/>
      <c r="AB29" s="1917"/>
      <c r="AC29" s="1917"/>
      <c r="AD29" s="1917"/>
      <c r="AE29" s="1917"/>
      <c r="AF29" s="1917"/>
      <c r="AG29" s="1917"/>
      <c r="AH29" s="1917"/>
      <c r="AI29" s="1917"/>
      <c r="AJ29" s="1917"/>
    </row>
    <row r="30" spans="2:36" ht="16.5" customHeight="1">
      <c r="B30" s="1916" t="s">
        <v>2538</v>
      </c>
      <c r="C30" s="1916">
        <v>1</v>
      </c>
      <c r="D30" s="2111" t="str">
        <f>+'GM Batch2-SPA'!C29</f>
        <v>Jaesan (SPA)</v>
      </c>
      <c r="E30" s="2111">
        <f>+'GM Batch2-SPA'!D29</f>
        <v>993.6</v>
      </c>
      <c r="F30" s="1917">
        <f t="shared" si="17"/>
        <v>461432890.49919486</v>
      </c>
      <c r="G30" s="1917">
        <v>458479720</v>
      </c>
      <c r="H30" s="2112">
        <f t="shared" si="15"/>
        <v>1</v>
      </c>
      <c r="I30" s="1917">
        <f t="shared" si="11"/>
        <v>458479720</v>
      </c>
      <c r="J30" s="1917"/>
      <c r="K30" s="1917">
        <f t="shared" si="12"/>
        <v>458479720</v>
      </c>
      <c r="L30" s="1917"/>
      <c r="M30" s="1917"/>
      <c r="N30" s="1917"/>
      <c r="O30" s="1917"/>
      <c r="P30" s="1917"/>
      <c r="Q30" s="1917"/>
      <c r="R30" s="1917">
        <f>+'GM Batch2-SPA'!Q30</f>
        <v>458479720</v>
      </c>
      <c r="S30" s="1917"/>
      <c r="T30" s="1917"/>
      <c r="U30" s="1917"/>
      <c r="V30" s="1917"/>
      <c r="W30" s="1917"/>
      <c r="X30" s="1917">
        <f t="shared" si="13"/>
        <v>0</v>
      </c>
      <c r="Y30" s="1917"/>
      <c r="Z30" s="1917"/>
      <c r="AA30" s="1917"/>
      <c r="AB30" s="1917"/>
      <c r="AC30" s="1917"/>
      <c r="AD30" s="1917"/>
      <c r="AE30" s="1917"/>
      <c r="AF30" s="1917"/>
      <c r="AG30" s="1917"/>
      <c r="AH30" s="1917"/>
      <c r="AI30" s="1917"/>
      <c r="AJ30" s="1917"/>
    </row>
    <row r="31" spans="2:36" ht="16.5" customHeight="1">
      <c r="B31" s="2370" t="s">
        <v>2460</v>
      </c>
      <c r="C31" s="2091">
        <v>1</v>
      </c>
      <c r="D31" s="2092" t="str">
        <f>+'DG M&amp;A-SPA_POSN'!C11</f>
        <v>POS-1</v>
      </c>
      <c r="E31" s="2092">
        <f>+'DG M&amp;A-SPA_POSN'!D11</f>
        <v>340.8</v>
      </c>
      <c r="F31" s="2093">
        <v>400000000</v>
      </c>
      <c r="G31" s="2093">
        <f t="shared" si="14"/>
        <v>136320000</v>
      </c>
      <c r="H31" s="2101">
        <f t="shared" si="15"/>
        <v>0.74535211267605639</v>
      </c>
      <c r="I31" s="2093">
        <f t="shared" si="11"/>
        <v>101606400</v>
      </c>
      <c r="J31" s="2093"/>
      <c r="K31" s="2093">
        <f t="shared" si="12"/>
        <v>101606400</v>
      </c>
      <c r="L31" s="2093"/>
      <c r="M31" s="2093"/>
      <c r="N31" s="2093"/>
      <c r="O31" s="2093"/>
      <c r="P31" s="2093"/>
      <c r="Q31" s="2093"/>
      <c r="R31" s="2093">
        <f>+'DG M&amp;A-SPA_POSN'!Q12</f>
        <v>101606400</v>
      </c>
      <c r="S31" s="2093"/>
      <c r="T31" s="2093"/>
      <c r="U31" s="2093"/>
      <c r="V31" s="2093"/>
      <c r="W31" s="2093"/>
      <c r="X31" s="2093">
        <f t="shared" si="13"/>
        <v>0</v>
      </c>
      <c r="Y31" s="2093"/>
      <c r="Z31" s="2093"/>
      <c r="AA31" s="2093"/>
      <c r="AB31" s="2093"/>
      <c r="AC31" s="2093"/>
      <c r="AD31" s="2093"/>
      <c r="AE31" s="2093"/>
      <c r="AF31" s="2093"/>
      <c r="AG31" s="2093"/>
      <c r="AH31" s="2093"/>
      <c r="AI31" s="2093"/>
      <c r="AJ31" s="2093"/>
    </row>
    <row r="32" spans="2:36" ht="16.5" customHeight="1">
      <c r="B32" s="2370"/>
      <c r="C32" s="2084">
        <f t="shared" si="16"/>
        <v>2</v>
      </c>
      <c r="D32" s="2088" t="str">
        <f>+'DG M&amp;A-SPA_POSN'!C17</f>
        <v>POS-3</v>
      </c>
      <c r="E32" s="2088">
        <f>+'DG M&amp;A-SPA_POSN'!D17</f>
        <v>144.84</v>
      </c>
      <c r="F32" s="2085">
        <v>400000000</v>
      </c>
      <c r="G32" s="2085">
        <f t="shared" si="14"/>
        <v>57936000</v>
      </c>
      <c r="H32" s="2089">
        <f t="shared" si="15"/>
        <v>0.6820215410107705</v>
      </c>
      <c r="I32" s="2085">
        <f t="shared" si="11"/>
        <v>39513600</v>
      </c>
      <c r="J32" s="2085"/>
      <c r="K32" s="2085">
        <f t="shared" si="12"/>
        <v>39513600</v>
      </c>
      <c r="L32" s="2085"/>
      <c r="M32" s="2085"/>
      <c r="N32" s="2085"/>
      <c r="O32" s="2085"/>
      <c r="P32" s="2085"/>
      <c r="Q32" s="2085"/>
      <c r="R32" s="2085">
        <f>+'DG M&amp;A-SPA_POSN'!Q18</f>
        <v>39513600</v>
      </c>
      <c r="S32" s="2085"/>
      <c r="T32" s="2085"/>
      <c r="U32" s="2085"/>
      <c r="V32" s="2085"/>
      <c r="W32" s="2085"/>
      <c r="X32" s="2085">
        <f t="shared" si="13"/>
        <v>0</v>
      </c>
      <c r="Y32" s="2085"/>
      <c r="Z32" s="2085"/>
      <c r="AA32" s="2085"/>
      <c r="AB32" s="2085"/>
      <c r="AC32" s="2085"/>
      <c r="AD32" s="2085"/>
      <c r="AE32" s="2085"/>
      <c r="AF32" s="2085"/>
      <c r="AG32" s="2085"/>
      <c r="AH32" s="2085"/>
      <c r="AI32" s="2085"/>
      <c r="AJ32" s="2085"/>
    </row>
    <row r="33" spans="2:36" ht="16.5" customHeight="1">
      <c r="B33" s="2370"/>
      <c r="C33" s="2084">
        <f t="shared" si="16"/>
        <v>3</v>
      </c>
      <c r="D33" s="2088" t="str">
        <f>+'DG M&amp;A-SPA_POSN'!C23</f>
        <v>POS-4</v>
      </c>
      <c r="E33" s="2088">
        <f>+'DG M&amp;A-SPA_POSN'!D23</f>
        <v>807.98</v>
      </c>
      <c r="F33" s="2085">
        <v>400000000</v>
      </c>
      <c r="G33" s="2085">
        <f t="shared" si="14"/>
        <v>323192000</v>
      </c>
      <c r="H33" s="2089">
        <f t="shared" si="15"/>
        <v>0.68498601450530949</v>
      </c>
      <c r="I33" s="2085">
        <f t="shared" si="11"/>
        <v>221382000</v>
      </c>
      <c r="J33" s="2085"/>
      <c r="K33" s="2085">
        <f t="shared" si="12"/>
        <v>221382000</v>
      </c>
      <c r="L33" s="2085"/>
      <c r="M33" s="2085"/>
      <c r="N33" s="2085"/>
      <c r="O33" s="2085"/>
      <c r="P33" s="2085"/>
      <c r="Q33" s="2085"/>
      <c r="R33" s="2085">
        <f>+'DG M&amp;A-SPA_POSN'!Q24</f>
        <v>221382000</v>
      </c>
      <c r="S33" s="2085"/>
      <c r="T33" s="2085"/>
      <c r="U33" s="2085"/>
      <c r="V33" s="2085"/>
      <c r="W33" s="2085"/>
      <c r="X33" s="2085">
        <f t="shared" si="13"/>
        <v>0</v>
      </c>
      <c r="Y33" s="2085"/>
      <c r="Z33" s="2085"/>
      <c r="AA33" s="2085"/>
      <c r="AB33" s="2085"/>
      <c r="AC33" s="2085"/>
      <c r="AD33" s="2085"/>
      <c r="AE33" s="2085"/>
      <c r="AF33" s="2085"/>
      <c r="AG33" s="2085"/>
      <c r="AH33" s="2085"/>
      <c r="AI33" s="2085"/>
      <c r="AJ33" s="2085"/>
    </row>
    <row r="34" spans="2:36" ht="16.5" customHeight="1">
      <c r="B34" s="2371"/>
      <c r="C34" s="2086">
        <f t="shared" si="16"/>
        <v>4</v>
      </c>
      <c r="D34" s="2094" t="str">
        <f>+'DG M&amp;A-SPA_POSN'!C29</f>
        <v>POS-8</v>
      </c>
      <c r="E34" s="2094">
        <f>+'DG M&amp;A-SPA_POSN'!D29</f>
        <v>249.92</v>
      </c>
      <c r="F34" s="2087">
        <v>400000000</v>
      </c>
      <c r="G34" s="2087">
        <f t="shared" si="14"/>
        <v>99968000</v>
      </c>
      <c r="H34" s="2090">
        <f t="shared" si="15"/>
        <v>0.69700304097311139</v>
      </c>
      <c r="I34" s="2087">
        <f t="shared" si="11"/>
        <v>69678000</v>
      </c>
      <c r="J34" s="2087"/>
      <c r="K34" s="2087">
        <f t="shared" si="12"/>
        <v>69678000</v>
      </c>
      <c r="L34" s="2087"/>
      <c r="M34" s="2087"/>
      <c r="N34" s="2087"/>
      <c r="O34" s="2087"/>
      <c r="P34" s="2087"/>
      <c r="Q34" s="2087"/>
      <c r="R34" s="2087">
        <f>+'DG M&amp;A-SPA_POSN'!Q30</f>
        <v>69678000</v>
      </c>
      <c r="S34" s="2087"/>
      <c r="T34" s="2087"/>
      <c r="U34" s="2087"/>
      <c r="V34" s="2087"/>
      <c r="W34" s="2087"/>
      <c r="X34" s="2087">
        <f t="shared" si="13"/>
        <v>0</v>
      </c>
      <c r="Y34" s="2087"/>
      <c r="Z34" s="2087"/>
      <c r="AA34" s="2087"/>
      <c r="AB34" s="2087"/>
      <c r="AC34" s="2087"/>
      <c r="AD34" s="2087"/>
      <c r="AE34" s="2087"/>
      <c r="AF34" s="2087"/>
      <c r="AG34" s="2087"/>
      <c r="AH34" s="2087"/>
      <c r="AI34" s="2087"/>
      <c r="AJ34" s="2087"/>
    </row>
  </sheetData>
  <mergeCells count="37">
    <mergeCell ref="B4:B5"/>
    <mergeCell ref="D4:D5"/>
    <mergeCell ref="E4:E5"/>
    <mergeCell ref="F4:F5"/>
    <mergeCell ref="G4:G5"/>
    <mergeCell ref="C4:C5"/>
    <mergeCell ref="W4:W5"/>
    <mergeCell ref="R4:R5"/>
    <mergeCell ref="S4:S5"/>
    <mergeCell ref="T4:T5"/>
    <mergeCell ref="U4:U5"/>
    <mergeCell ref="X4:X5"/>
    <mergeCell ref="B31:B34"/>
    <mergeCell ref="AE4:AE5"/>
    <mergeCell ref="AF4:AF5"/>
    <mergeCell ref="V4:V5"/>
    <mergeCell ref="B13:B26"/>
    <mergeCell ref="H4:H5"/>
    <mergeCell ref="I4:I5"/>
    <mergeCell ref="K4:K5"/>
    <mergeCell ref="P4:P5"/>
    <mergeCell ref="Q4:Q5"/>
    <mergeCell ref="O4:O5"/>
    <mergeCell ref="J4:J5"/>
    <mergeCell ref="L4:L5"/>
    <mergeCell ref="M4:M5"/>
    <mergeCell ref="N4:N5"/>
    <mergeCell ref="AG4:AG5"/>
    <mergeCell ref="AH4:AH5"/>
    <mergeCell ref="AI4:AI5"/>
    <mergeCell ref="AJ4:AJ5"/>
    <mergeCell ref="Y4:Y5"/>
    <mergeCell ref="Z4:Z5"/>
    <mergeCell ref="AA4:AA5"/>
    <mergeCell ref="AB4:AB5"/>
    <mergeCell ref="AC4:AC5"/>
    <mergeCell ref="AD4:AD5"/>
  </mergeCells>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C017-C890-41C8-9291-7246EA17EBED}">
  <sheetPr>
    <tabColor rgb="FFFF0000"/>
  </sheetPr>
  <dimension ref="B1:AB64"/>
  <sheetViews>
    <sheetView showGridLines="0" zoomScale="115" zoomScaleNormal="115" workbookViewId="0">
      <pane xSplit="6" ySplit="10" topLeftCell="P11" activePane="bottomRight" state="frozen"/>
      <selection activeCell="K17" sqref="K17:K22"/>
      <selection pane="topRight" activeCell="K17" sqref="K17:K22"/>
      <selection pane="bottomLeft" activeCell="K17" sqref="K17:K22"/>
      <selection pane="bottomRight" activeCell="K17" sqref="K17:K22"/>
    </sheetView>
  </sheetViews>
  <sheetFormatPr defaultColWidth="8" defaultRowHeight="12.75"/>
  <cols>
    <col min="1" max="1" width="1.5" style="1770" customWidth="1"/>
    <col min="2" max="2" width="11" style="1770" customWidth="1"/>
    <col min="3" max="3" width="22.5" style="1770" customWidth="1"/>
    <col min="4" max="5" width="12.25" style="1770" customWidth="1"/>
    <col min="6" max="6" width="13" style="1771" bestFit="1" customWidth="1"/>
    <col min="7" max="7" width="13" style="1771" customWidth="1"/>
    <col min="8" max="8" width="17" style="1770" hidden="1" customWidth="1"/>
    <col min="9" max="9" width="15.375" style="1770" hidden="1" customWidth="1"/>
    <col min="10" max="13" width="12.75" style="1770" customWidth="1"/>
    <col min="14" max="14" width="19.5" style="1770" customWidth="1"/>
    <col min="15" max="15" width="7.875" style="1771" customWidth="1"/>
    <col min="16" max="16" width="14.25" style="1770" customWidth="1"/>
    <col min="17" max="17" width="19.5" style="1770" customWidth="1"/>
    <col min="18" max="18" width="7.875" style="1771" customWidth="1"/>
    <col min="19" max="19" width="14.875" style="1770" customWidth="1"/>
    <col min="20" max="20" width="7.875" style="1771" customWidth="1"/>
    <col min="21" max="21" width="14.875" style="1770" customWidth="1"/>
    <col min="22" max="22" width="7.875" style="1771" customWidth="1"/>
    <col min="23" max="23" width="14.875" style="1770" customWidth="1"/>
    <col min="24" max="24" width="7.875" style="1771" customWidth="1"/>
    <col min="25" max="25" width="14.875" style="1770" customWidth="1"/>
    <col min="26" max="26" width="1.5" style="1770" customWidth="1"/>
    <col min="27" max="27" width="9.875" style="1770" bestFit="1" customWidth="1"/>
    <col min="28" max="28" width="11.625" style="1770" bestFit="1" customWidth="1"/>
    <col min="29" max="29" width="9.375" style="1770" bestFit="1" customWidth="1"/>
    <col min="30" max="16384" width="8" style="1770"/>
  </cols>
  <sheetData>
    <row r="1" spans="2:28">
      <c r="I1" s="1958"/>
      <c r="Y1" s="1772"/>
    </row>
    <row r="2" spans="2:28">
      <c r="B2" s="1860" t="s">
        <v>181</v>
      </c>
      <c r="C2" s="1860"/>
      <c r="D2" s="1860" t="s">
        <v>150</v>
      </c>
      <c r="E2" s="1860"/>
      <c r="F2" s="1810"/>
      <c r="I2" s="1958"/>
      <c r="Y2" s="1772"/>
    </row>
    <row r="3" spans="2:28">
      <c r="B3" s="1860" t="s">
        <v>182</v>
      </c>
      <c r="C3" s="1860"/>
      <c r="D3" s="1860" t="s">
        <v>183</v>
      </c>
      <c r="E3" s="1860"/>
      <c r="F3" s="1810"/>
      <c r="I3" s="1958"/>
      <c r="Y3" s="1772"/>
    </row>
    <row r="4" spans="2:28">
      <c r="B4" s="1860" t="s">
        <v>184</v>
      </c>
      <c r="C4" s="1860"/>
      <c r="D4" s="1860" t="s">
        <v>185</v>
      </c>
      <c r="E4" s="1860"/>
      <c r="F4" s="1810"/>
      <c r="I4" s="1958"/>
      <c r="Y4" s="1772"/>
    </row>
    <row r="5" spans="2:28">
      <c r="B5" s="1860" t="s">
        <v>186</v>
      </c>
      <c r="C5" s="1860"/>
      <c r="D5" s="1860" t="s">
        <v>187</v>
      </c>
      <c r="E5" s="1860"/>
      <c r="F5" s="1810"/>
      <c r="I5" s="1958"/>
      <c r="P5" s="1783">
        <f>+P11+P12</f>
        <v>1214989490</v>
      </c>
      <c r="Y5" s="1772"/>
    </row>
    <row r="6" spans="2:28">
      <c r="B6" s="1860" t="s">
        <v>188</v>
      </c>
      <c r="C6" s="1860"/>
      <c r="D6" s="1860" t="s">
        <v>189</v>
      </c>
      <c r="E6" s="1860"/>
      <c r="F6" s="1810"/>
      <c r="I6" s="1958"/>
      <c r="P6" s="1770">
        <f>+P5/1470</f>
        <v>826523.46258503397</v>
      </c>
      <c r="Y6" s="1772"/>
    </row>
    <row r="7" spans="2:28">
      <c r="B7" s="1860" t="s">
        <v>190</v>
      </c>
      <c r="C7" s="1860"/>
      <c r="D7" s="1860" t="s">
        <v>2472</v>
      </c>
      <c r="E7" s="1860"/>
      <c r="F7" s="1810"/>
      <c r="I7" s="1958"/>
      <c r="Y7" s="1772"/>
    </row>
    <row r="8" spans="2:28" ht="13.5" thickBot="1">
      <c r="I8" s="1958"/>
      <c r="Y8" s="1772" t="s">
        <v>131</v>
      </c>
    </row>
    <row r="9" spans="2:28" ht="27" customHeight="1">
      <c r="B9" s="2392" t="s">
        <v>132</v>
      </c>
      <c r="C9" s="2392" t="s">
        <v>133</v>
      </c>
      <c r="D9" s="2393" t="s">
        <v>194</v>
      </c>
      <c r="E9" s="2393" t="s">
        <v>134</v>
      </c>
      <c r="F9" s="2392" t="s">
        <v>135</v>
      </c>
      <c r="G9" s="2399" t="s">
        <v>136</v>
      </c>
      <c r="H9" s="2390" t="s">
        <v>2476</v>
      </c>
      <c r="I9" s="2393" t="s">
        <v>2483</v>
      </c>
      <c r="J9" s="2393" t="s">
        <v>138</v>
      </c>
      <c r="K9" s="2399" t="s">
        <v>2480</v>
      </c>
      <c r="L9" s="2405" t="s">
        <v>2473</v>
      </c>
      <c r="M9" s="2405" t="s">
        <v>2520</v>
      </c>
      <c r="N9" s="2401" t="s">
        <v>2521</v>
      </c>
      <c r="O9" s="2413" t="s">
        <v>145</v>
      </c>
      <c r="P9" s="2414"/>
      <c r="Q9" s="2395" t="s">
        <v>2522</v>
      </c>
      <c r="R9" s="2411" t="s">
        <v>198</v>
      </c>
      <c r="S9" s="2392"/>
      <c r="T9" s="2392" t="s">
        <v>2463</v>
      </c>
      <c r="U9" s="2392"/>
      <c r="V9" s="2392" t="s">
        <v>2477</v>
      </c>
      <c r="W9" s="2392"/>
      <c r="X9" s="2407" t="s">
        <v>2478</v>
      </c>
      <c r="Y9" s="2408"/>
      <c r="AA9" s="2393" t="s">
        <v>147</v>
      </c>
    </row>
    <row r="10" spans="2:28" ht="27" customHeight="1">
      <c r="B10" s="2412"/>
      <c r="C10" s="2412"/>
      <c r="D10" s="2394"/>
      <c r="E10" s="2394"/>
      <c r="F10" s="2412"/>
      <c r="G10" s="2400"/>
      <c r="H10" s="2391"/>
      <c r="I10" s="2394"/>
      <c r="J10" s="2394"/>
      <c r="K10" s="2400"/>
      <c r="L10" s="2406"/>
      <c r="M10" s="2406"/>
      <c r="N10" s="2402"/>
      <c r="O10" s="1966" t="s">
        <v>148</v>
      </c>
      <c r="P10" s="1967" t="s">
        <v>149</v>
      </c>
      <c r="Q10" s="2396"/>
      <c r="R10" s="1961" t="s">
        <v>148</v>
      </c>
      <c r="S10" s="1773" t="s">
        <v>149</v>
      </c>
      <c r="T10" s="1773" t="s">
        <v>148</v>
      </c>
      <c r="U10" s="1773" t="s">
        <v>149</v>
      </c>
      <c r="V10" s="1773" t="s">
        <v>148</v>
      </c>
      <c r="W10" s="1773" t="s">
        <v>149</v>
      </c>
      <c r="X10" s="2409"/>
      <c r="Y10" s="2410"/>
      <c r="AA10" s="2394"/>
    </row>
    <row r="11" spans="2:28" ht="16.5" customHeight="1">
      <c r="B11" s="2377" t="s">
        <v>150</v>
      </c>
      <c r="C11" s="1941" t="s">
        <v>151</v>
      </c>
      <c r="D11" s="1774">
        <f>1050000+$D$64/1000</f>
        <v>1077500</v>
      </c>
      <c r="E11" s="1774"/>
      <c r="F11" s="1775">
        <v>999.58</v>
      </c>
      <c r="G11" s="1776">
        <f>D11*F11*1.1/1470</f>
        <v>805953.87414965988</v>
      </c>
      <c r="H11" s="1777">
        <f>+P11+S11</f>
        <v>896123470</v>
      </c>
      <c r="I11" s="1777">
        <f>+F11*D11*1.1</f>
        <v>1184752195</v>
      </c>
      <c r="J11" s="1777">
        <f t="shared" ref="J11:J28" si="0">+K11+P11+S11+U11+Y11+W11</f>
        <v>1184752195</v>
      </c>
      <c r="K11" s="1777">
        <f>+'GM Batch1'!AE11</f>
        <v>231000000</v>
      </c>
      <c r="L11" s="2403"/>
      <c r="M11" s="2074"/>
      <c r="N11" s="2014">
        <f>+P11</f>
        <v>607494745</v>
      </c>
      <c r="O11" s="1968">
        <f>+'GM Batch1'!AO11</f>
        <v>45950</v>
      </c>
      <c r="P11" s="1969">
        <f>+'GM Batch1'!AR11</f>
        <v>607494745</v>
      </c>
      <c r="Q11" s="2020">
        <f>+S11</f>
        <v>288628725</v>
      </c>
      <c r="R11" s="1962">
        <f>+'GM Batch1'!BC11</f>
        <v>45991</v>
      </c>
      <c r="S11" s="1777">
        <f>+'GM Batch1'!BF11</f>
        <v>288628725</v>
      </c>
      <c r="T11" s="1778">
        <f>+'GM Batch1'!BJ11</f>
        <v>46022</v>
      </c>
      <c r="U11" s="1777">
        <f>+'GM Batch1'!BM11+'GM Batch1'!AF11</f>
        <v>57628725.000000075</v>
      </c>
      <c r="V11" s="1778"/>
      <c r="W11" s="1777"/>
      <c r="X11" s="1778"/>
      <c r="Y11" s="1777"/>
      <c r="AA11" s="1951" t="b">
        <f t="shared" ref="AA11:AA21" si="1">+I11=J11</f>
        <v>1</v>
      </c>
      <c r="AB11" s="1783"/>
    </row>
    <row r="12" spans="2:28">
      <c r="B12" s="2378"/>
      <c r="C12" s="1942" t="s">
        <v>152</v>
      </c>
      <c r="D12" s="1784">
        <f t="shared" ref="D12:D28" si="2">1050000+$D$64/1000</f>
        <v>1077500</v>
      </c>
      <c r="E12" s="1784"/>
      <c r="F12" s="1785">
        <v>999.58</v>
      </c>
      <c r="G12" s="1786">
        <f t="shared" ref="G12:G28" si="3">D12*F12*1.1/1470</f>
        <v>805953.87414965988</v>
      </c>
      <c r="H12" s="1781">
        <f t="shared" ref="H12:H28" si="4">+P12+S12</f>
        <v>896123470</v>
      </c>
      <c r="I12" s="1781">
        <f t="shared" ref="I12:I28" si="5">+F12*D12*1.1</f>
        <v>1184752195</v>
      </c>
      <c r="J12" s="1781">
        <f t="shared" si="0"/>
        <v>1184752195</v>
      </c>
      <c r="K12" s="1781">
        <f>+'GM Batch1'!AE17</f>
        <v>231000000</v>
      </c>
      <c r="L12" s="2404"/>
      <c r="M12" s="2075"/>
      <c r="N12" s="2015">
        <f t="shared" ref="N12:N28" si="6">+P12</f>
        <v>607494745</v>
      </c>
      <c r="O12" s="1970">
        <f>+'GM Batch1'!AO17</f>
        <v>45950</v>
      </c>
      <c r="P12" s="1971">
        <f>+'GM Batch1'!AR17</f>
        <v>607494745</v>
      </c>
      <c r="Q12" s="2021">
        <f t="shared" ref="Q12:Q28" si="7">+S12</f>
        <v>288628725</v>
      </c>
      <c r="R12" s="1963">
        <f>+'GM Batch1'!BC17</f>
        <v>45991</v>
      </c>
      <c r="S12" s="1781">
        <f>+'GM Batch1'!BF17</f>
        <v>288628725</v>
      </c>
      <c r="T12" s="1787">
        <f>+'GM Batch1'!BJ17</f>
        <v>46022</v>
      </c>
      <c r="U12" s="1781">
        <f>+'GM Batch1'!BM17+'GM Batch1'!AF17</f>
        <v>57628725.000000075</v>
      </c>
      <c r="V12" s="1787"/>
      <c r="W12" s="1781"/>
      <c r="X12" s="1787"/>
      <c r="Y12" s="1781"/>
      <c r="AA12" s="1791" t="b">
        <f t="shared" si="1"/>
        <v>1</v>
      </c>
    </row>
    <row r="13" spans="2:28">
      <c r="B13" s="2378"/>
      <c r="C13" s="1942" t="s">
        <v>153</v>
      </c>
      <c r="D13" s="1784">
        <f t="shared" si="2"/>
        <v>1077500</v>
      </c>
      <c r="E13" s="1784"/>
      <c r="F13" s="1785">
        <v>999.6</v>
      </c>
      <c r="G13" s="1786">
        <f t="shared" si="3"/>
        <v>805970</v>
      </c>
      <c r="H13" s="1781">
        <f t="shared" si="4"/>
        <v>896141400</v>
      </c>
      <c r="I13" s="1781">
        <f t="shared" si="5"/>
        <v>1184775900</v>
      </c>
      <c r="J13" s="1781">
        <f t="shared" si="0"/>
        <v>1184775900</v>
      </c>
      <c r="K13" s="1781">
        <f>+'GM Batch1'!AE23</f>
        <v>231000000</v>
      </c>
      <c r="L13" s="2404"/>
      <c r="M13" s="2075"/>
      <c r="N13" s="2015">
        <f t="shared" si="6"/>
        <v>607506900</v>
      </c>
      <c r="O13" s="1970">
        <f>+'GM Batch1'!AO23</f>
        <v>45950</v>
      </c>
      <c r="P13" s="1971">
        <f>+'GM Batch1'!AR23</f>
        <v>607506900</v>
      </c>
      <c r="Q13" s="2021">
        <f t="shared" si="7"/>
        <v>288634500</v>
      </c>
      <c r="R13" s="1963">
        <f>+'GM Batch1'!BC23</f>
        <v>45991</v>
      </c>
      <c r="S13" s="1781">
        <f>+'GM Batch1'!BF23</f>
        <v>288634500</v>
      </c>
      <c r="T13" s="1787">
        <f>+'GM Batch1'!BJ23</f>
        <v>46022</v>
      </c>
      <c r="U13" s="1781">
        <f>+'GM Batch1'!BM23+'GM Batch1'!AF23</f>
        <v>57634500.000000075</v>
      </c>
      <c r="V13" s="1787"/>
      <c r="W13" s="1781"/>
      <c r="X13" s="1787"/>
      <c r="Y13" s="1781"/>
      <c r="AA13" s="1790" t="b">
        <f t="shared" si="1"/>
        <v>1</v>
      </c>
    </row>
    <row r="14" spans="2:28">
      <c r="B14" s="2378"/>
      <c r="C14" s="1942" t="s">
        <v>154</v>
      </c>
      <c r="D14" s="1784">
        <f t="shared" si="2"/>
        <v>1077500</v>
      </c>
      <c r="E14" s="1784"/>
      <c r="F14" s="1792">
        <v>999.6</v>
      </c>
      <c r="G14" s="1786">
        <f t="shared" si="3"/>
        <v>805970</v>
      </c>
      <c r="H14" s="1781">
        <f t="shared" si="4"/>
        <v>896141400</v>
      </c>
      <c r="I14" s="1781">
        <f t="shared" si="5"/>
        <v>1184775900</v>
      </c>
      <c r="J14" s="1781">
        <f t="shared" si="0"/>
        <v>1184775900</v>
      </c>
      <c r="K14" s="1781">
        <f>+'GM Batch1'!AE29</f>
        <v>231000000</v>
      </c>
      <c r="L14" s="2404"/>
      <c r="M14" s="2075"/>
      <c r="N14" s="2015">
        <f t="shared" si="6"/>
        <v>607506900</v>
      </c>
      <c r="O14" s="1970">
        <f>+'GM Batch1'!AO29</f>
        <v>45950</v>
      </c>
      <c r="P14" s="1971">
        <f>+'GM Batch1'!AR29</f>
        <v>607506900</v>
      </c>
      <c r="Q14" s="2021">
        <f t="shared" si="7"/>
        <v>288634500</v>
      </c>
      <c r="R14" s="1963">
        <f>+'GM Batch1'!BC29</f>
        <v>45991</v>
      </c>
      <c r="S14" s="1794">
        <f>+'GM Batch1'!BF29</f>
        <v>288634500</v>
      </c>
      <c r="T14" s="1787">
        <f>+'GM Batch1'!BJ29</f>
        <v>46022</v>
      </c>
      <c r="U14" s="1781">
        <f>+'GM Batch1'!BM29+'GM Batch1'!AF29</f>
        <v>57634500.000000075</v>
      </c>
      <c r="V14" s="1787"/>
      <c r="W14" s="1781"/>
      <c r="X14" s="1787"/>
      <c r="Y14" s="1781"/>
      <c r="AA14" s="1790" t="b">
        <f t="shared" si="1"/>
        <v>1</v>
      </c>
    </row>
    <row r="15" spans="2:28">
      <c r="B15" s="2378"/>
      <c r="C15" s="1942" t="s">
        <v>155</v>
      </c>
      <c r="D15" s="1784">
        <f t="shared" si="2"/>
        <v>1077500</v>
      </c>
      <c r="E15" s="1784"/>
      <c r="F15" s="1792">
        <v>999.24</v>
      </c>
      <c r="G15" s="1786">
        <f t="shared" si="3"/>
        <v>805679.73469387752</v>
      </c>
      <c r="H15" s="1781">
        <f t="shared" si="4"/>
        <v>0</v>
      </c>
      <c r="I15" s="1781">
        <f t="shared" si="5"/>
        <v>1184349210</v>
      </c>
      <c r="J15" s="1781">
        <f t="shared" si="0"/>
        <v>1184349210</v>
      </c>
      <c r="K15" s="1781">
        <v>0</v>
      </c>
      <c r="L15" s="2404"/>
      <c r="M15" s="2075"/>
      <c r="N15" s="2015">
        <f t="shared" si="6"/>
        <v>0</v>
      </c>
      <c r="O15" s="1970"/>
      <c r="P15" s="1972"/>
      <c r="Q15" s="2021">
        <f t="shared" si="7"/>
        <v>0</v>
      </c>
      <c r="R15" s="1963"/>
      <c r="S15" s="1794"/>
      <c r="T15" s="1787"/>
      <c r="U15" s="1794"/>
      <c r="V15" s="1787">
        <f>+'GM Batch1'!AA35</f>
        <v>46052</v>
      </c>
      <c r="W15" s="1781">
        <f>+'GM Batch1'!AD35</f>
        <v>230824440.00000003</v>
      </c>
      <c r="X15" s="1787"/>
      <c r="Y15" s="1781">
        <f>+'GM Batch1'!I35-'GM Batch1'!AD35</f>
        <v>953524770</v>
      </c>
      <c r="AA15" s="1790" t="b">
        <f t="shared" si="1"/>
        <v>1</v>
      </c>
      <c r="AB15" s="1783"/>
    </row>
    <row r="16" spans="2:28">
      <c r="B16" s="2378"/>
      <c r="C16" s="1942" t="s">
        <v>156</v>
      </c>
      <c r="D16" s="1784">
        <f t="shared" si="2"/>
        <v>1077500</v>
      </c>
      <c r="E16" s="1784"/>
      <c r="F16" s="1792">
        <v>999.24</v>
      </c>
      <c r="G16" s="1786">
        <f t="shared" si="3"/>
        <v>805679.73469387752</v>
      </c>
      <c r="H16" s="1781">
        <f t="shared" si="4"/>
        <v>0</v>
      </c>
      <c r="I16" s="1781">
        <f t="shared" si="5"/>
        <v>1184349210</v>
      </c>
      <c r="J16" s="1781">
        <f t="shared" si="0"/>
        <v>1184349210</v>
      </c>
      <c r="K16" s="1781">
        <v>0</v>
      </c>
      <c r="L16" s="2404"/>
      <c r="M16" s="2075"/>
      <c r="N16" s="2015">
        <f t="shared" si="6"/>
        <v>0</v>
      </c>
      <c r="O16" s="1970"/>
      <c r="P16" s="1972"/>
      <c r="Q16" s="2021">
        <f t="shared" si="7"/>
        <v>0</v>
      </c>
      <c r="R16" s="1963"/>
      <c r="S16" s="1781"/>
      <c r="T16" s="1787"/>
      <c r="U16" s="1794"/>
      <c r="V16" s="1787">
        <f>+'GM Batch1'!AA41</f>
        <v>46052</v>
      </c>
      <c r="W16" s="1781">
        <f>+'GM Batch1'!AD41</f>
        <v>230824440.00000003</v>
      </c>
      <c r="X16" s="1787"/>
      <c r="Y16" s="1781">
        <f>+'GM Batch1'!I41-'GM Batch1'!AD41</f>
        <v>953524770</v>
      </c>
      <c r="AA16" s="1790" t="b">
        <f t="shared" si="1"/>
        <v>1</v>
      </c>
      <c r="AB16" s="1783"/>
    </row>
    <row r="17" spans="2:28">
      <c r="B17" s="2378"/>
      <c r="C17" s="1942" t="s">
        <v>157</v>
      </c>
      <c r="D17" s="1784">
        <f t="shared" si="2"/>
        <v>1077500</v>
      </c>
      <c r="E17" s="1784"/>
      <c r="F17" s="1792">
        <v>999.44</v>
      </c>
      <c r="G17" s="1786">
        <f t="shared" si="3"/>
        <v>805840.99319727893</v>
      </c>
      <c r="H17" s="1781">
        <f t="shared" si="4"/>
        <v>0</v>
      </c>
      <c r="I17" s="1781">
        <f t="shared" si="5"/>
        <v>1184586260</v>
      </c>
      <c r="J17" s="1781">
        <f t="shared" si="0"/>
        <v>1184586260</v>
      </c>
      <c r="K17" s="1781">
        <v>0</v>
      </c>
      <c r="L17" s="2404"/>
      <c r="M17" s="2075"/>
      <c r="N17" s="2015">
        <f t="shared" si="6"/>
        <v>0</v>
      </c>
      <c r="O17" s="1970"/>
      <c r="P17" s="1972"/>
      <c r="Q17" s="2021">
        <f t="shared" si="7"/>
        <v>0</v>
      </c>
      <c r="R17" s="1963"/>
      <c r="S17" s="1781"/>
      <c r="T17" s="1787"/>
      <c r="U17" s="1794"/>
      <c r="V17" s="1787">
        <f>+'GM Batch1'!AA47</f>
        <v>46052</v>
      </c>
      <c r="W17" s="1781">
        <f>+'GM Batch1'!AD47</f>
        <v>230870640.00000006</v>
      </c>
      <c r="X17" s="1787"/>
      <c r="Y17" s="1781">
        <f>+'GM Batch1'!I47-'GM Batch1'!AD47</f>
        <v>953715620</v>
      </c>
      <c r="AA17" s="1790" t="b">
        <f t="shared" si="1"/>
        <v>1</v>
      </c>
      <c r="AB17" s="1783"/>
    </row>
    <row r="18" spans="2:28">
      <c r="B18" s="2378"/>
      <c r="C18" s="1942" t="s">
        <v>158</v>
      </c>
      <c r="D18" s="1784">
        <f t="shared" si="2"/>
        <v>1077500</v>
      </c>
      <c r="E18" s="1784"/>
      <c r="F18" s="1792">
        <v>999.44</v>
      </c>
      <c r="G18" s="1786">
        <f t="shared" si="3"/>
        <v>805840.99319727893</v>
      </c>
      <c r="H18" s="1781">
        <f t="shared" si="4"/>
        <v>0</v>
      </c>
      <c r="I18" s="1781">
        <f t="shared" si="5"/>
        <v>1184586260</v>
      </c>
      <c r="J18" s="1781">
        <f t="shared" si="0"/>
        <v>1184586260</v>
      </c>
      <c r="K18" s="1781">
        <v>0</v>
      </c>
      <c r="L18" s="2404"/>
      <c r="M18" s="2075"/>
      <c r="N18" s="2015">
        <f t="shared" si="6"/>
        <v>0</v>
      </c>
      <c r="O18" s="1970"/>
      <c r="P18" s="1972"/>
      <c r="Q18" s="2021">
        <f t="shared" si="7"/>
        <v>0</v>
      </c>
      <c r="R18" s="1963"/>
      <c r="S18" s="1794"/>
      <c r="T18" s="1787"/>
      <c r="U18" s="1794"/>
      <c r="V18" s="1787">
        <f>+'GM Batch1'!AA53</f>
        <v>46052</v>
      </c>
      <c r="W18" s="1794">
        <f>+'GM Batch1'!AD53</f>
        <v>230870640.00000006</v>
      </c>
      <c r="X18" s="1787"/>
      <c r="Y18" s="1781">
        <f>+'GM Batch1'!I53-'GM Batch1'!AD53</f>
        <v>953715620</v>
      </c>
      <c r="AA18" s="1795" t="b">
        <f t="shared" si="1"/>
        <v>1</v>
      </c>
      <c r="AB18" s="1783"/>
    </row>
    <row r="19" spans="2:28">
      <c r="B19" s="2378"/>
      <c r="C19" s="1942" t="s">
        <v>159</v>
      </c>
      <c r="D19" s="1784">
        <f t="shared" si="2"/>
        <v>1077500</v>
      </c>
      <c r="E19" s="1784"/>
      <c r="F19" s="1792">
        <v>999.24</v>
      </c>
      <c r="G19" s="1786">
        <f t="shared" si="3"/>
        <v>805679.73469387752</v>
      </c>
      <c r="H19" s="1781">
        <f t="shared" si="4"/>
        <v>0</v>
      </c>
      <c r="I19" s="1781">
        <f t="shared" si="5"/>
        <v>1184349210</v>
      </c>
      <c r="J19" s="1781">
        <f t="shared" si="0"/>
        <v>0</v>
      </c>
      <c r="K19" s="1781"/>
      <c r="L19" s="2404"/>
      <c r="M19" s="2075"/>
      <c r="N19" s="2015">
        <f t="shared" si="6"/>
        <v>0</v>
      </c>
      <c r="O19" s="1970"/>
      <c r="P19" s="1972"/>
      <c r="Q19" s="2021">
        <f t="shared" si="7"/>
        <v>0</v>
      </c>
      <c r="R19" s="1963"/>
      <c r="S19" s="1794"/>
      <c r="T19" s="1787"/>
      <c r="U19" s="1781"/>
      <c r="V19" s="1787"/>
      <c r="W19" s="1781"/>
      <c r="X19" s="1787"/>
      <c r="Y19" s="1781"/>
      <c r="AA19" s="1795" t="b">
        <f t="shared" si="1"/>
        <v>0</v>
      </c>
      <c r="AB19" s="1783"/>
    </row>
    <row r="20" spans="2:28">
      <c r="B20" s="2378"/>
      <c r="C20" s="1943" t="s">
        <v>160</v>
      </c>
      <c r="D20" s="1784">
        <f t="shared" si="2"/>
        <v>1077500</v>
      </c>
      <c r="E20" s="1784"/>
      <c r="F20" s="1792">
        <v>399.04</v>
      </c>
      <c r="G20" s="1786">
        <f t="shared" si="3"/>
        <v>321742.96598639461</v>
      </c>
      <c r="H20" s="1781">
        <f t="shared" si="4"/>
        <v>0</v>
      </c>
      <c r="I20" s="1781">
        <f t="shared" si="5"/>
        <v>472962160.00000006</v>
      </c>
      <c r="J20" s="1781">
        <f t="shared" si="0"/>
        <v>0</v>
      </c>
      <c r="K20" s="1796"/>
      <c r="L20" s="2404"/>
      <c r="M20" s="2075"/>
      <c r="N20" s="2015">
        <f t="shared" si="6"/>
        <v>0</v>
      </c>
      <c r="O20" s="1973"/>
      <c r="P20" s="1974"/>
      <c r="Q20" s="2021">
        <f t="shared" si="7"/>
        <v>0</v>
      </c>
      <c r="R20" s="1964"/>
      <c r="S20" s="1798"/>
      <c r="T20" s="1797"/>
      <c r="U20" s="1796"/>
      <c r="V20" s="1797"/>
      <c r="W20" s="1796"/>
      <c r="X20" s="1797"/>
      <c r="Y20" s="1796"/>
      <c r="AA20" s="1795" t="b">
        <f t="shared" si="1"/>
        <v>0</v>
      </c>
      <c r="AB20" s="1783"/>
    </row>
    <row r="21" spans="2:28">
      <c r="B21" s="2378"/>
      <c r="C21" s="1943" t="s">
        <v>161</v>
      </c>
      <c r="D21" s="1784">
        <f t="shared" si="2"/>
        <v>1077500</v>
      </c>
      <c r="E21" s="1784"/>
      <c r="F21" s="1800">
        <v>499.96</v>
      </c>
      <c r="G21" s="1786">
        <f t="shared" si="3"/>
        <v>403114.00680272107</v>
      </c>
      <c r="H21" s="1781">
        <f t="shared" si="4"/>
        <v>0</v>
      </c>
      <c r="I21" s="1781">
        <f t="shared" si="5"/>
        <v>592577590</v>
      </c>
      <c r="J21" s="1781">
        <f t="shared" si="0"/>
        <v>0</v>
      </c>
      <c r="K21" s="1796"/>
      <c r="L21" s="2404"/>
      <c r="M21" s="2075"/>
      <c r="N21" s="2015">
        <f t="shared" si="6"/>
        <v>0</v>
      </c>
      <c r="O21" s="1973"/>
      <c r="P21" s="1975"/>
      <c r="Q21" s="2021">
        <f t="shared" si="7"/>
        <v>0</v>
      </c>
      <c r="R21" s="1964"/>
      <c r="S21" s="1798"/>
      <c r="T21" s="1797"/>
      <c r="U21" s="1796"/>
      <c r="V21" s="1797"/>
      <c r="W21" s="1796"/>
      <c r="X21" s="1797"/>
      <c r="Y21" s="1796"/>
      <c r="AA21" s="1795" t="b">
        <f t="shared" si="1"/>
        <v>0</v>
      </c>
      <c r="AB21" s="1783"/>
    </row>
    <row r="22" spans="2:28">
      <c r="B22" s="2378"/>
      <c r="C22" s="1943" t="s">
        <v>162</v>
      </c>
      <c r="D22" s="1784">
        <f t="shared" si="2"/>
        <v>1077500</v>
      </c>
      <c r="E22" s="1784"/>
      <c r="F22" s="1800">
        <v>499.96</v>
      </c>
      <c r="G22" s="1786">
        <f t="shared" si="3"/>
        <v>403114.00680272107</v>
      </c>
      <c r="H22" s="1781">
        <f t="shared" si="4"/>
        <v>0</v>
      </c>
      <c r="I22" s="1781">
        <f t="shared" si="5"/>
        <v>592577590</v>
      </c>
      <c r="J22" s="1781">
        <f t="shared" si="0"/>
        <v>0</v>
      </c>
      <c r="K22" s="1796"/>
      <c r="L22" s="2404"/>
      <c r="M22" s="2075"/>
      <c r="N22" s="2015">
        <f t="shared" si="6"/>
        <v>0</v>
      </c>
      <c r="O22" s="1973"/>
      <c r="P22" s="1975"/>
      <c r="Q22" s="2021">
        <f t="shared" si="7"/>
        <v>0</v>
      </c>
      <c r="R22" s="1964"/>
      <c r="S22" s="1798"/>
      <c r="T22" s="1797"/>
      <c r="U22" s="1796"/>
      <c r="V22" s="1797"/>
      <c r="W22" s="1796"/>
      <c r="X22" s="1797"/>
      <c r="Y22" s="1796"/>
      <c r="AA22" s="1795"/>
      <c r="AB22" s="1783"/>
    </row>
    <row r="23" spans="2:28">
      <c r="B23" s="2378"/>
      <c r="C23" s="1943" t="s">
        <v>163</v>
      </c>
      <c r="D23" s="1784">
        <f t="shared" si="2"/>
        <v>1077500</v>
      </c>
      <c r="E23" s="1784"/>
      <c r="F23" s="1800">
        <v>149.63999999999999</v>
      </c>
      <c r="G23" s="1786">
        <f t="shared" si="3"/>
        <v>120653.61224489796</v>
      </c>
      <c r="H23" s="1781">
        <f t="shared" si="4"/>
        <v>0</v>
      </c>
      <c r="I23" s="1781">
        <f t="shared" si="5"/>
        <v>177360810</v>
      </c>
      <c r="J23" s="1781">
        <f t="shared" si="0"/>
        <v>0</v>
      </c>
      <c r="K23" s="1796"/>
      <c r="L23" s="2404"/>
      <c r="M23" s="2075"/>
      <c r="N23" s="2015">
        <f t="shared" si="6"/>
        <v>0</v>
      </c>
      <c r="O23" s="1973"/>
      <c r="P23" s="1975"/>
      <c r="Q23" s="2021">
        <f t="shared" si="7"/>
        <v>0</v>
      </c>
      <c r="R23" s="1964"/>
      <c r="S23" s="1798"/>
      <c r="T23" s="1797"/>
      <c r="U23" s="1796"/>
      <c r="V23" s="1797"/>
      <c r="W23" s="1796"/>
      <c r="X23" s="1797"/>
      <c r="Y23" s="1796"/>
      <c r="AA23" s="1795"/>
      <c r="AB23" s="1783"/>
    </row>
    <row r="24" spans="2:28">
      <c r="B24" s="2378"/>
      <c r="C24" s="1943" t="s">
        <v>164</v>
      </c>
      <c r="D24" s="1784">
        <f t="shared" si="2"/>
        <v>1077500</v>
      </c>
      <c r="E24" s="1784"/>
      <c r="F24" s="1800">
        <v>299.27999999999997</v>
      </c>
      <c r="G24" s="1786">
        <f t="shared" si="3"/>
        <v>241307.22448979592</v>
      </c>
      <c r="H24" s="1781">
        <f t="shared" si="4"/>
        <v>0</v>
      </c>
      <c r="I24" s="1781">
        <f t="shared" si="5"/>
        <v>354721620</v>
      </c>
      <c r="J24" s="1781">
        <f t="shared" si="0"/>
        <v>0</v>
      </c>
      <c r="K24" s="1796"/>
      <c r="L24" s="2404"/>
      <c r="M24" s="2075"/>
      <c r="N24" s="2015">
        <f t="shared" si="6"/>
        <v>0</v>
      </c>
      <c r="O24" s="1973"/>
      <c r="P24" s="1975"/>
      <c r="Q24" s="2021">
        <f t="shared" si="7"/>
        <v>0</v>
      </c>
      <c r="R24" s="1964"/>
      <c r="S24" s="1798"/>
      <c r="T24" s="1797"/>
      <c r="U24" s="1796"/>
      <c r="V24" s="1797"/>
      <c r="W24" s="1796"/>
      <c r="X24" s="1797"/>
      <c r="Y24" s="1796"/>
      <c r="AA24" s="1795"/>
      <c r="AB24" s="1783"/>
    </row>
    <row r="25" spans="2:28">
      <c r="B25" s="2378"/>
      <c r="C25" s="1943" t="s">
        <v>165</v>
      </c>
      <c r="D25" s="1784">
        <f t="shared" si="2"/>
        <v>1077500</v>
      </c>
      <c r="E25" s="1784"/>
      <c r="F25" s="1800">
        <v>993.6</v>
      </c>
      <c r="G25" s="1786">
        <f t="shared" si="3"/>
        <v>801132.24489795917</v>
      </c>
      <c r="H25" s="1781">
        <f t="shared" si="4"/>
        <v>0</v>
      </c>
      <c r="I25" s="1781">
        <f t="shared" si="5"/>
        <v>1177664400</v>
      </c>
      <c r="J25" s="1781">
        <f t="shared" si="0"/>
        <v>0</v>
      </c>
      <c r="K25" s="1796"/>
      <c r="L25" s="2404"/>
      <c r="M25" s="2075"/>
      <c r="N25" s="2015">
        <f t="shared" si="6"/>
        <v>0</v>
      </c>
      <c r="O25" s="1973"/>
      <c r="P25" s="1975"/>
      <c r="Q25" s="2021">
        <f t="shared" si="7"/>
        <v>0</v>
      </c>
      <c r="R25" s="1964"/>
      <c r="S25" s="1798"/>
      <c r="T25" s="1797"/>
      <c r="U25" s="1796"/>
      <c r="V25" s="1797"/>
      <c r="W25" s="1796"/>
      <c r="X25" s="1797"/>
      <c r="Y25" s="1796"/>
      <c r="AA25" s="1795"/>
      <c r="AB25" s="1783"/>
    </row>
    <row r="26" spans="2:28">
      <c r="B26" s="2378"/>
      <c r="C26" s="1943" t="s">
        <v>166</v>
      </c>
      <c r="D26" s="1784">
        <f t="shared" si="2"/>
        <v>1077500</v>
      </c>
      <c r="E26" s="1784"/>
      <c r="F26" s="1800">
        <v>993.6</v>
      </c>
      <c r="G26" s="1786">
        <f t="shared" si="3"/>
        <v>801132.24489795917</v>
      </c>
      <c r="H26" s="1781">
        <f t="shared" si="4"/>
        <v>0</v>
      </c>
      <c r="I26" s="1781">
        <f t="shared" si="5"/>
        <v>1177664400</v>
      </c>
      <c r="J26" s="1781">
        <f t="shared" si="0"/>
        <v>0</v>
      </c>
      <c r="K26" s="1796"/>
      <c r="L26" s="2404"/>
      <c r="M26" s="2075"/>
      <c r="N26" s="2015">
        <f t="shared" si="6"/>
        <v>0</v>
      </c>
      <c r="O26" s="1973"/>
      <c r="P26" s="1975"/>
      <c r="Q26" s="2021">
        <f t="shared" si="7"/>
        <v>0</v>
      </c>
      <c r="R26" s="1964"/>
      <c r="S26" s="1798"/>
      <c r="T26" s="1797"/>
      <c r="U26" s="1796"/>
      <c r="V26" s="1797"/>
      <c r="W26" s="1796"/>
      <c r="X26" s="1797"/>
      <c r="Y26" s="1796"/>
      <c r="AA26" s="1795"/>
      <c r="AB26" s="1783"/>
    </row>
    <row r="27" spans="2:28">
      <c r="B27" s="2378"/>
      <c r="C27" s="1943" t="s">
        <v>167</v>
      </c>
      <c r="D27" s="1784">
        <f t="shared" si="2"/>
        <v>1077500</v>
      </c>
      <c r="E27" s="1784"/>
      <c r="F27" s="1800">
        <v>993.6</v>
      </c>
      <c r="G27" s="1786">
        <f t="shared" si="3"/>
        <v>801132.24489795917</v>
      </c>
      <c r="H27" s="1781">
        <f t="shared" si="4"/>
        <v>0</v>
      </c>
      <c r="I27" s="1781">
        <f t="shared" si="5"/>
        <v>1177664400</v>
      </c>
      <c r="J27" s="1781">
        <f t="shared" si="0"/>
        <v>0</v>
      </c>
      <c r="K27" s="1796"/>
      <c r="L27" s="2404"/>
      <c r="M27" s="2075"/>
      <c r="N27" s="2015">
        <f t="shared" si="6"/>
        <v>0</v>
      </c>
      <c r="O27" s="1973"/>
      <c r="P27" s="1975"/>
      <c r="Q27" s="2021">
        <f t="shared" si="7"/>
        <v>0</v>
      </c>
      <c r="R27" s="1964"/>
      <c r="S27" s="1798"/>
      <c r="T27" s="1797"/>
      <c r="U27" s="1796"/>
      <c r="V27" s="1797"/>
      <c r="W27" s="1796"/>
      <c r="X27" s="1797"/>
      <c r="Y27" s="1796"/>
      <c r="AA27" s="1795"/>
      <c r="AB27" s="1783"/>
    </row>
    <row r="28" spans="2:28">
      <c r="B28" s="2378"/>
      <c r="C28" s="1944" t="s">
        <v>168</v>
      </c>
      <c r="D28" s="1945">
        <f t="shared" si="2"/>
        <v>1077500</v>
      </c>
      <c r="E28" s="1945"/>
      <c r="F28" s="1946">
        <v>993.6</v>
      </c>
      <c r="G28" s="1947">
        <f t="shared" si="3"/>
        <v>801132.24489795917</v>
      </c>
      <c r="H28" s="1948">
        <f t="shared" si="4"/>
        <v>0</v>
      </c>
      <c r="I28" s="1948">
        <f t="shared" si="5"/>
        <v>1177664400</v>
      </c>
      <c r="J28" s="1948">
        <f t="shared" si="0"/>
        <v>0</v>
      </c>
      <c r="K28" s="1948"/>
      <c r="L28" s="2415"/>
      <c r="M28" s="2076"/>
      <c r="N28" s="2016">
        <f t="shared" si="6"/>
        <v>0</v>
      </c>
      <c r="O28" s="1976"/>
      <c r="P28" s="1977"/>
      <c r="Q28" s="2022">
        <f t="shared" si="7"/>
        <v>0</v>
      </c>
      <c r="R28" s="1965"/>
      <c r="S28" s="1950"/>
      <c r="T28" s="1949"/>
      <c r="U28" s="1948"/>
      <c r="V28" s="1949"/>
      <c r="W28" s="1948"/>
      <c r="X28" s="1949"/>
      <c r="Y28" s="1948"/>
      <c r="AA28" s="1795" t="b">
        <f>+I28=J28</f>
        <v>0</v>
      </c>
      <c r="AB28" s="1783"/>
    </row>
    <row r="29" spans="2:28" ht="16.5" customHeight="1">
      <c r="B29" s="2378"/>
      <c r="C29" s="2416" t="s">
        <v>2474</v>
      </c>
      <c r="D29" s="2417"/>
      <c r="E29" s="2418"/>
      <c r="F29" s="2421">
        <f>+SUM(F11:F28)</f>
        <v>14817.240000000002</v>
      </c>
      <c r="G29" s="2388">
        <f>SUM(G11:G28)</f>
        <v>11947029.734693879</v>
      </c>
      <c r="H29" s="1801">
        <f>H30/1470</f>
        <v>2438455.605442177</v>
      </c>
      <c r="I29" s="1801">
        <f t="shared" ref="I29:K29" si="8">I30/1470</f>
        <v>6446889.2040816322</v>
      </c>
      <c r="J29" s="1801">
        <f t="shared" si="8"/>
        <v>6446889.2040816322</v>
      </c>
      <c r="K29" s="1801">
        <f t="shared" si="8"/>
        <v>628571.42857142852</v>
      </c>
      <c r="L29" s="1999"/>
      <c r="M29" s="1999"/>
      <c r="N29" s="1959">
        <f>N30/1470</f>
        <v>1653063.4625850341</v>
      </c>
      <c r="O29" s="2000"/>
      <c r="P29" s="2081">
        <f t="shared" ref="P29" si="9">P30/1470</f>
        <v>1653063.4625850341</v>
      </c>
      <c r="Q29" s="2023">
        <f>Q30/1470</f>
        <v>785392.14285714284</v>
      </c>
      <c r="R29" s="2001"/>
      <c r="S29" s="1801">
        <f t="shared" ref="S29" si="10">S30/1470</f>
        <v>785392.14285714284</v>
      </c>
      <c r="T29" s="2002"/>
      <c r="U29" s="1801">
        <f t="shared" ref="U29" si="11">U30/1470</f>
        <v>156820.71428571449</v>
      </c>
      <c r="V29" s="2002"/>
      <c r="W29" s="1801">
        <f t="shared" ref="W29" si="12">W30/1470</f>
        <v>628156.57142857159</v>
      </c>
      <c r="X29" s="2002"/>
      <c r="Y29" s="1801">
        <f t="shared" ref="Y29" si="13">Y30/1470</f>
        <v>2594884.8843537415</v>
      </c>
      <c r="AA29" s="1940"/>
      <c r="AB29" s="1783"/>
    </row>
    <row r="30" spans="2:28" ht="16.5" customHeight="1">
      <c r="B30" s="2378"/>
      <c r="C30" s="2419"/>
      <c r="D30" s="2420"/>
      <c r="E30" s="2387"/>
      <c r="F30" s="2422"/>
      <c r="G30" s="2389"/>
      <c r="H30" s="1803">
        <f>+SUM(H11:H18)</f>
        <v>3584529740</v>
      </c>
      <c r="I30" s="1803">
        <f t="shared" ref="I30:K30" si="14">+SUM(I11:I18)</f>
        <v>9476927130</v>
      </c>
      <c r="J30" s="1803">
        <f t="shared" si="14"/>
        <v>9476927130</v>
      </c>
      <c r="K30" s="1803">
        <f t="shared" si="14"/>
        <v>924000000</v>
      </c>
      <c r="L30" s="1999"/>
      <c r="M30" s="1999"/>
      <c r="N30" s="1960">
        <f t="shared" ref="N30:Y30" si="15">+SUM(N11:N18)</f>
        <v>2430003290</v>
      </c>
      <c r="O30" s="2003">
        <f t="shared" si="15"/>
        <v>183800</v>
      </c>
      <c r="P30" s="1978">
        <f t="shared" si="15"/>
        <v>2430003290</v>
      </c>
      <c r="Q30" s="2024">
        <f t="shared" si="15"/>
        <v>1154526450</v>
      </c>
      <c r="R30" s="2004">
        <f t="shared" si="15"/>
        <v>183964</v>
      </c>
      <c r="S30" s="1803">
        <f t="shared" si="15"/>
        <v>1154526450</v>
      </c>
      <c r="T30" s="2005">
        <f t="shared" si="15"/>
        <v>184088</v>
      </c>
      <c r="U30" s="1803">
        <f t="shared" si="15"/>
        <v>230526450.0000003</v>
      </c>
      <c r="V30" s="2005">
        <f t="shared" si="15"/>
        <v>184208</v>
      </c>
      <c r="W30" s="1803">
        <f t="shared" si="15"/>
        <v>923390160.00000024</v>
      </c>
      <c r="X30" s="2005">
        <f t="shared" si="15"/>
        <v>0</v>
      </c>
      <c r="Y30" s="1803">
        <f t="shared" si="15"/>
        <v>3814480780</v>
      </c>
      <c r="AA30" s="1940"/>
      <c r="AB30" s="1783"/>
    </row>
    <row r="31" spans="2:28" ht="12.75" customHeight="1">
      <c r="B31" s="2378"/>
      <c r="C31" s="1770" t="s">
        <v>151</v>
      </c>
      <c r="D31" s="1939"/>
      <c r="E31" s="1939">
        <v>550000</v>
      </c>
      <c r="F31" s="1775">
        <v>999.58</v>
      </c>
      <c r="G31" s="1776">
        <f>E31*F31*1.1/1470</f>
        <v>411391.76870748302</v>
      </c>
      <c r="H31" s="1777">
        <f>+P31+S31</f>
        <v>16781600</v>
      </c>
      <c r="I31" s="1777">
        <f>+E31*F31</f>
        <v>549769000</v>
      </c>
      <c r="J31" s="1777">
        <f t="shared" ref="J31:J48" si="16">+K31+P31+S31+U31+Y31+W31</f>
        <v>549769000</v>
      </c>
      <c r="K31" s="1777">
        <f>+'GM Batch1'!K12</f>
        <v>368056700</v>
      </c>
      <c r="L31" s="2403"/>
      <c r="M31" s="2075"/>
      <c r="N31" s="2015">
        <f t="shared" ref="N31:N48" si="17">+P31</f>
        <v>16781600</v>
      </c>
      <c r="O31" s="1968">
        <f>+'GM Batch1'!AA12</f>
        <v>45950</v>
      </c>
      <c r="P31" s="1969">
        <f>+'GM Batch1'!AD12</f>
        <v>16781600</v>
      </c>
      <c r="Q31" s="2021">
        <f t="shared" ref="Q31:Q48" si="18">+S31</f>
        <v>0</v>
      </c>
      <c r="R31" s="1962"/>
      <c r="S31" s="1777"/>
      <c r="T31" s="1778">
        <f>+'GM Batch1'!BJ12</f>
        <v>46022</v>
      </c>
      <c r="U31" s="1777">
        <f>+'GM Batch1'!BM12</f>
        <v>164930700</v>
      </c>
      <c r="V31" s="1778"/>
      <c r="W31" s="1777"/>
      <c r="X31" s="1778"/>
      <c r="Y31" s="1777"/>
      <c r="AA31" s="1782" t="b">
        <f t="shared" ref="AA31:AA41" si="19">+I31=J31</f>
        <v>1</v>
      </c>
      <c r="AB31" s="1783"/>
    </row>
    <row r="32" spans="2:28">
      <c r="B32" s="2378"/>
      <c r="C32" s="1770" t="s">
        <v>152</v>
      </c>
      <c r="D32" s="1784"/>
      <c r="E32" s="1784">
        <v>550000</v>
      </c>
      <c r="F32" s="1785">
        <v>999.58</v>
      </c>
      <c r="G32" s="1786">
        <f>E32*F32*1.1/1470</f>
        <v>411391.76870748302</v>
      </c>
      <c r="H32" s="1781">
        <f t="shared" ref="H32:H48" si="20">+P32+S32</f>
        <v>16781600</v>
      </c>
      <c r="I32" s="1781">
        <f t="shared" ref="I32:I48" si="21">+E32*F32</f>
        <v>549769000</v>
      </c>
      <c r="J32" s="1781">
        <f t="shared" si="16"/>
        <v>549769000</v>
      </c>
      <c r="K32" s="1781">
        <f>+'GM Batch1'!K18</f>
        <v>368056700</v>
      </c>
      <c r="L32" s="2404"/>
      <c r="M32" s="2075"/>
      <c r="N32" s="2015">
        <f t="shared" si="17"/>
        <v>16781600</v>
      </c>
      <c r="O32" s="1970">
        <f>+'GM Batch1'!AA18</f>
        <v>45950</v>
      </c>
      <c r="P32" s="1979">
        <f>+'GM Batch1'!AD18</f>
        <v>16781600</v>
      </c>
      <c r="Q32" s="2021">
        <f t="shared" si="18"/>
        <v>0</v>
      </c>
      <c r="R32" s="1963"/>
      <c r="S32" s="1781"/>
      <c r="T32" s="1787">
        <f>+'GM Batch1'!BJ18</f>
        <v>46022</v>
      </c>
      <c r="U32" s="1781">
        <f>+'GM Batch1'!BM18</f>
        <v>164930700</v>
      </c>
      <c r="V32" s="1787"/>
      <c r="W32" s="1781"/>
      <c r="X32" s="1787"/>
      <c r="Y32" s="1781"/>
      <c r="AA32" s="1791" t="b">
        <f t="shared" si="19"/>
        <v>1</v>
      </c>
    </row>
    <row r="33" spans="2:28">
      <c r="B33" s="2378"/>
      <c r="C33" s="1770" t="s">
        <v>153</v>
      </c>
      <c r="D33" s="1784"/>
      <c r="E33" s="1784">
        <v>550000</v>
      </c>
      <c r="F33" s="1785">
        <v>999.6</v>
      </c>
      <c r="G33" s="1786">
        <f t="shared" ref="G33:G48" si="22">E33*F33*1.1/1470</f>
        <v>411400</v>
      </c>
      <c r="H33" s="1781">
        <f t="shared" si="20"/>
        <v>16783250</v>
      </c>
      <c r="I33" s="1781">
        <f t="shared" si="21"/>
        <v>549780000</v>
      </c>
      <c r="J33" s="1781">
        <f t="shared" si="16"/>
        <v>549780000</v>
      </c>
      <c r="K33" s="1781">
        <f>+'GM Batch1'!K24</f>
        <v>368062750</v>
      </c>
      <c r="L33" s="2404"/>
      <c r="M33" s="2075"/>
      <c r="N33" s="2015">
        <f t="shared" si="17"/>
        <v>16783250</v>
      </c>
      <c r="O33" s="1970">
        <f>+'GM Batch1'!AA24</f>
        <v>45950</v>
      </c>
      <c r="P33" s="1979">
        <f>+'GM Batch1'!AD24</f>
        <v>16783250</v>
      </c>
      <c r="Q33" s="2021">
        <f t="shared" si="18"/>
        <v>0</v>
      </c>
      <c r="R33" s="1963"/>
      <c r="S33" s="1781"/>
      <c r="T33" s="1787">
        <f>+'GM Batch1'!BJ24</f>
        <v>46022</v>
      </c>
      <c r="U33" s="1781">
        <f>+'GM Batch1'!BM24</f>
        <v>164934000</v>
      </c>
      <c r="V33" s="1787"/>
      <c r="W33" s="1781"/>
      <c r="X33" s="1787"/>
      <c r="Y33" s="1781"/>
      <c r="AA33" s="1790" t="b">
        <f t="shared" si="19"/>
        <v>1</v>
      </c>
    </row>
    <row r="34" spans="2:28">
      <c r="B34" s="2378"/>
      <c r="C34" s="1770" t="s">
        <v>154</v>
      </c>
      <c r="D34" s="1784"/>
      <c r="E34" s="1784">
        <v>550000</v>
      </c>
      <c r="F34" s="1792">
        <v>999.6</v>
      </c>
      <c r="G34" s="1786">
        <f t="shared" si="22"/>
        <v>411400</v>
      </c>
      <c r="H34" s="1781">
        <f t="shared" si="20"/>
        <v>16783250</v>
      </c>
      <c r="I34" s="1781">
        <f t="shared" si="21"/>
        <v>549780000</v>
      </c>
      <c r="J34" s="1781">
        <f t="shared" si="16"/>
        <v>549780000</v>
      </c>
      <c r="K34" s="1781">
        <f>+'GM Batch1'!K30</f>
        <v>368062750</v>
      </c>
      <c r="L34" s="2404"/>
      <c r="M34" s="2075"/>
      <c r="N34" s="2015">
        <f t="shared" si="17"/>
        <v>16783250</v>
      </c>
      <c r="O34" s="1970">
        <f>+'GM Batch1'!AA30</f>
        <v>45950</v>
      </c>
      <c r="P34" s="1979">
        <f>+'GM Batch1'!AD30</f>
        <v>16783250</v>
      </c>
      <c r="Q34" s="2021">
        <f t="shared" si="18"/>
        <v>0</v>
      </c>
      <c r="R34" s="1963"/>
      <c r="S34" s="1794"/>
      <c r="T34" s="1787">
        <f>+'GM Batch1'!BJ30</f>
        <v>46022</v>
      </c>
      <c r="U34" s="1781">
        <f>+'GM Batch1'!BM30</f>
        <v>164934000</v>
      </c>
      <c r="V34" s="1787"/>
      <c r="W34" s="1781"/>
      <c r="X34" s="1787"/>
      <c r="Y34" s="1781"/>
      <c r="AA34" s="1790" t="b">
        <f t="shared" si="19"/>
        <v>1</v>
      </c>
    </row>
    <row r="35" spans="2:28">
      <c r="B35" s="2378"/>
      <c r="C35" s="1770" t="s">
        <v>155</v>
      </c>
      <c r="D35" s="1784"/>
      <c r="E35" s="1784">
        <v>550000</v>
      </c>
      <c r="F35" s="1792">
        <v>999.24</v>
      </c>
      <c r="G35" s="1786">
        <f t="shared" si="22"/>
        <v>411251.8367346939</v>
      </c>
      <c r="H35" s="1781">
        <f t="shared" si="20"/>
        <v>0</v>
      </c>
      <c r="I35" s="1781">
        <f t="shared" si="21"/>
        <v>549582000</v>
      </c>
      <c r="J35" s="1781">
        <f t="shared" si="16"/>
        <v>549582000</v>
      </c>
      <c r="K35" s="1781">
        <f>+'GM Batch1'!K36</f>
        <v>341375100</v>
      </c>
      <c r="L35" s="2404"/>
      <c r="M35" s="2075"/>
      <c r="N35" s="2015">
        <f t="shared" si="17"/>
        <v>0</v>
      </c>
      <c r="O35" s="1970"/>
      <c r="P35" s="1972"/>
      <c r="Q35" s="2021">
        <f t="shared" si="18"/>
        <v>0</v>
      </c>
      <c r="R35" s="1963"/>
      <c r="S35" s="1794"/>
      <c r="T35" s="1787">
        <f>+'GM Batch1'!AA36</f>
        <v>46022</v>
      </c>
      <c r="U35" s="1794">
        <f>+'GM Batch1'!AD36</f>
        <v>43332300</v>
      </c>
      <c r="V35" s="1787"/>
      <c r="W35" s="1781"/>
      <c r="X35" s="1787"/>
      <c r="Y35" s="1781">
        <f>+'GM Batch1'!BM36</f>
        <v>164874600</v>
      </c>
      <c r="AA35" s="1790" t="b">
        <f t="shared" si="19"/>
        <v>1</v>
      </c>
      <c r="AB35" s="1783"/>
    </row>
    <row r="36" spans="2:28">
      <c r="B36" s="2378"/>
      <c r="C36" s="1770" t="s">
        <v>156</v>
      </c>
      <c r="D36" s="1784"/>
      <c r="E36" s="1784">
        <v>550000</v>
      </c>
      <c r="F36" s="1792">
        <v>999.24</v>
      </c>
      <c r="G36" s="1786">
        <f t="shared" si="22"/>
        <v>411251.8367346939</v>
      </c>
      <c r="H36" s="1781">
        <f t="shared" si="20"/>
        <v>0</v>
      </c>
      <c r="I36" s="1781">
        <f t="shared" si="21"/>
        <v>549582000</v>
      </c>
      <c r="J36" s="1781">
        <f t="shared" si="16"/>
        <v>549582000</v>
      </c>
      <c r="K36" s="1781">
        <f>+'GM Batch1'!K42</f>
        <v>341375100</v>
      </c>
      <c r="L36" s="2404"/>
      <c r="M36" s="2075"/>
      <c r="N36" s="2015">
        <f t="shared" si="17"/>
        <v>0</v>
      </c>
      <c r="O36" s="1970"/>
      <c r="P36" s="1972"/>
      <c r="Q36" s="2021">
        <f t="shared" si="18"/>
        <v>0</v>
      </c>
      <c r="R36" s="1963"/>
      <c r="S36" s="1781"/>
      <c r="T36" s="1787">
        <f>+'GM Batch1'!AA42</f>
        <v>46022</v>
      </c>
      <c r="U36" s="1794">
        <f>+'GM Batch1'!AD42</f>
        <v>43332300</v>
      </c>
      <c r="V36" s="1787"/>
      <c r="W36" s="1781"/>
      <c r="X36" s="1787"/>
      <c r="Y36" s="1781">
        <f>+'GM Batch1'!BM42</f>
        <v>164874600</v>
      </c>
      <c r="AA36" s="1790" t="b">
        <f t="shared" si="19"/>
        <v>1</v>
      </c>
      <c r="AB36" s="1783"/>
    </row>
    <row r="37" spans="2:28">
      <c r="B37" s="2378"/>
      <c r="C37" s="1770" t="s">
        <v>157</v>
      </c>
      <c r="D37" s="1784"/>
      <c r="E37" s="1784">
        <v>550000</v>
      </c>
      <c r="F37" s="1792">
        <v>999.44</v>
      </c>
      <c r="G37" s="1786">
        <f t="shared" si="22"/>
        <v>411334.14965986396</v>
      </c>
      <c r="H37" s="1781">
        <f t="shared" si="20"/>
        <v>0</v>
      </c>
      <c r="I37" s="1781">
        <f t="shared" si="21"/>
        <v>549692000</v>
      </c>
      <c r="J37" s="1781">
        <f t="shared" si="16"/>
        <v>549692000</v>
      </c>
      <c r="K37" s="1781">
        <f>+'GM Batch1'!K48</f>
        <v>341435600</v>
      </c>
      <c r="L37" s="2404"/>
      <c r="M37" s="2075"/>
      <c r="N37" s="2015">
        <f t="shared" si="17"/>
        <v>0</v>
      </c>
      <c r="O37" s="1970"/>
      <c r="P37" s="1972"/>
      <c r="Q37" s="2021">
        <f t="shared" si="18"/>
        <v>0</v>
      </c>
      <c r="R37" s="1963"/>
      <c r="S37" s="1781"/>
      <c r="T37" s="1787">
        <f>+'GM Batch1'!AA48</f>
        <v>46022</v>
      </c>
      <c r="U37" s="1794">
        <f>+'GM Batch1'!AD48</f>
        <v>43348800</v>
      </c>
      <c r="V37" s="1787"/>
      <c r="W37" s="1781"/>
      <c r="X37" s="1787"/>
      <c r="Y37" s="1781">
        <f>+'GM Batch1'!BM48</f>
        <v>164907600</v>
      </c>
      <c r="AA37" s="1790" t="b">
        <f t="shared" si="19"/>
        <v>1</v>
      </c>
      <c r="AB37" s="1783"/>
    </row>
    <row r="38" spans="2:28">
      <c r="B38" s="2378"/>
      <c r="C38" s="1770" t="s">
        <v>158</v>
      </c>
      <c r="D38" s="1784"/>
      <c r="E38" s="1784">
        <v>550000</v>
      </c>
      <c r="F38" s="1792">
        <v>999.44</v>
      </c>
      <c r="G38" s="1786">
        <f t="shared" si="22"/>
        <v>411334.14965986396</v>
      </c>
      <c r="H38" s="1781">
        <f t="shared" si="20"/>
        <v>0</v>
      </c>
      <c r="I38" s="1781">
        <f t="shared" si="21"/>
        <v>549692000</v>
      </c>
      <c r="J38" s="1781">
        <f t="shared" si="16"/>
        <v>549692000</v>
      </c>
      <c r="K38" s="1781">
        <f>+'GM Batch1'!K54</f>
        <v>341435600</v>
      </c>
      <c r="L38" s="2404"/>
      <c r="M38" s="2075"/>
      <c r="N38" s="2015">
        <f t="shared" si="17"/>
        <v>0</v>
      </c>
      <c r="O38" s="1970"/>
      <c r="P38" s="1972"/>
      <c r="Q38" s="2021">
        <f t="shared" si="18"/>
        <v>0</v>
      </c>
      <c r="R38" s="1963"/>
      <c r="S38" s="1794"/>
      <c r="T38" s="1787">
        <f>+'GM Batch1'!AA54</f>
        <v>46022</v>
      </c>
      <c r="U38" s="1794">
        <f>+'GM Batch1'!AD54</f>
        <v>43348800</v>
      </c>
      <c r="V38" s="1787"/>
      <c r="W38" s="1794"/>
      <c r="X38" s="1787"/>
      <c r="Y38" s="1781">
        <f>+'GM Batch1'!BM54</f>
        <v>164907600</v>
      </c>
      <c r="AA38" s="1795" t="b">
        <f t="shared" si="19"/>
        <v>1</v>
      </c>
      <c r="AB38" s="1783"/>
    </row>
    <row r="39" spans="2:28" hidden="1">
      <c r="B39" s="2378"/>
      <c r="C39" s="1770" t="s">
        <v>159</v>
      </c>
      <c r="D39" s="1784"/>
      <c r="E39" s="1784">
        <v>850000</v>
      </c>
      <c r="F39" s="1792">
        <v>999.24</v>
      </c>
      <c r="G39" s="1786">
        <f t="shared" si="22"/>
        <v>635571.02040816331</v>
      </c>
      <c r="H39" s="1781">
        <f t="shared" si="20"/>
        <v>0</v>
      </c>
      <c r="I39" s="1781">
        <f t="shared" si="21"/>
        <v>849354000</v>
      </c>
      <c r="J39" s="1781">
        <f t="shared" si="16"/>
        <v>0</v>
      </c>
      <c r="K39" s="1781"/>
      <c r="L39" s="2404"/>
      <c r="M39" s="2075"/>
      <c r="N39" s="2015">
        <f t="shared" si="17"/>
        <v>0</v>
      </c>
      <c r="O39" s="1970"/>
      <c r="P39" s="1972"/>
      <c r="Q39" s="2021">
        <f t="shared" si="18"/>
        <v>0</v>
      </c>
      <c r="R39" s="1963"/>
      <c r="S39" s="1794"/>
      <c r="T39" s="1787"/>
      <c r="U39" s="1781"/>
      <c r="V39" s="1787"/>
      <c r="W39" s="1781"/>
      <c r="X39" s="1787"/>
      <c r="Y39" s="1781"/>
      <c r="AA39" s="1795" t="b">
        <f t="shared" si="19"/>
        <v>0</v>
      </c>
      <c r="AB39" s="1783"/>
    </row>
    <row r="40" spans="2:28" hidden="1">
      <c r="B40" s="2378"/>
      <c r="C40" s="2010" t="s">
        <v>160</v>
      </c>
      <c r="D40" s="1784"/>
      <c r="E40" s="1784">
        <v>850000</v>
      </c>
      <c r="F40" s="1792">
        <v>399.04</v>
      </c>
      <c r="G40" s="1786">
        <f t="shared" si="22"/>
        <v>253811.15646258509</v>
      </c>
      <c r="H40" s="1781">
        <f t="shared" si="20"/>
        <v>0</v>
      </c>
      <c r="I40" s="1781">
        <f t="shared" si="21"/>
        <v>339184000</v>
      </c>
      <c r="J40" s="1781">
        <f t="shared" si="16"/>
        <v>0</v>
      </c>
      <c r="K40" s="1796"/>
      <c r="L40" s="2404"/>
      <c r="M40" s="2075"/>
      <c r="N40" s="2015">
        <f t="shared" si="17"/>
        <v>0</v>
      </c>
      <c r="O40" s="1973"/>
      <c r="P40" s="1974"/>
      <c r="Q40" s="2021">
        <f t="shared" si="18"/>
        <v>0</v>
      </c>
      <c r="R40" s="1964"/>
      <c r="S40" s="1798"/>
      <c r="T40" s="1797"/>
      <c r="U40" s="1796"/>
      <c r="V40" s="1797"/>
      <c r="W40" s="1796"/>
      <c r="X40" s="1797"/>
      <c r="Y40" s="1796"/>
      <c r="AA40" s="1795" t="b">
        <f t="shared" si="19"/>
        <v>0</v>
      </c>
      <c r="AB40" s="1783"/>
    </row>
    <row r="41" spans="2:28" hidden="1">
      <c r="B41" s="2378"/>
      <c r="C41" s="2010" t="s">
        <v>161</v>
      </c>
      <c r="D41" s="1784"/>
      <c r="E41" s="1784">
        <v>850000</v>
      </c>
      <c r="F41" s="1800">
        <v>499.96</v>
      </c>
      <c r="G41" s="1786">
        <f t="shared" si="22"/>
        <v>318001.76870748302</v>
      </c>
      <c r="H41" s="1781">
        <f t="shared" si="20"/>
        <v>0</v>
      </c>
      <c r="I41" s="1781">
        <f t="shared" si="21"/>
        <v>424966000</v>
      </c>
      <c r="J41" s="1781">
        <f t="shared" si="16"/>
        <v>0</v>
      </c>
      <c r="K41" s="1796"/>
      <c r="L41" s="2404"/>
      <c r="M41" s="2075"/>
      <c r="N41" s="2015">
        <f t="shared" si="17"/>
        <v>0</v>
      </c>
      <c r="O41" s="1973"/>
      <c r="P41" s="1975"/>
      <c r="Q41" s="2021">
        <f t="shared" si="18"/>
        <v>0</v>
      </c>
      <c r="R41" s="1964"/>
      <c r="S41" s="1798"/>
      <c r="T41" s="1797"/>
      <c r="U41" s="1796"/>
      <c r="V41" s="1797"/>
      <c r="W41" s="1796"/>
      <c r="X41" s="1797"/>
      <c r="Y41" s="1796"/>
      <c r="AA41" s="1795" t="b">
        <f t="shared" si="19"/>
        <v>0</v>
      </c>
      <c r="AB41" s="1783"/>
    </row>
    <row r="42" spans="2:28" hidden="1">
      <c r="B42" s="2378"/>
      <c r="C42" s="2010" t="s">
        <v>162</v>
      </c>
      <c r="D42" s="1784"/>
      <c r="E42" s="1784">
        <v>850000</v>
      </c>
      <c r="F42" s="1800">
        <v>499.96</v>
      </c>
      <c r="G42" s="1786">
        <f t="shared" si="22"/>
        <v>318001.76870748302</v>
      </c>
      <c r="H42" s="1781">
        <f t="shared" si="20"/>
        <v>0</v>
      </c>
      <c r="I42" s="1781">
        <f t="shared" si="21"/>
        <v>424966000</v>
      </c>
      <c r="J42" s="1781">
        <f t="shared" si="16"/>
        <v>0</v>
      </c>
      <c r="K42" s="1796"/>
      <c r="L42" s="2404"/>
      <c r="M42" s="2075"/>
      <c r="N42" s="2015">
        <f t="shared" si="17"/>
        <v>0</v>
      </c>
      <c r="O42" s="1973"/>
      <c r="P42" s="1975"/>
      <c r="Q42" s="2021">
        <f t="shared" si="18"/>
        <v>0</v>
      </c>
      <c r="R42" s="1964"/>
      <c r="S42" s="1798"/>
      <c r="T42" s="1797"/>
      <c r="U42" s="1796"/>
      <c r="V42" s="1797"/>
      <c r="W42" s="1796"/>
      <c r="X42" s="1797"/>
      <c r="Y42" s="1796"/>
      <c r="AA42" s="1795"/>
      <c r="AB42" s="1783"/>
    </row>
    <row r="43" spans="2:28" hidden="1">
      <c r="B43" s="2378"/>
      <c r="C43" s="2010" t="s">
        <v>163</v>
      </c>
      <c r="D43" s="1784"/>
      <c r="E43" s="1784">
        <v>850000</v>
      </c>
      <c r="F43" s="1800">
        <v>149.63999999999999</v>
      </c>
      <c r="G43" s="1786">
        <f t="shared" si="22"/>
        <v>95179.183673469393</v>
      </c>
      <c r="H43" s="1781">
        <f t="shared" si="20"/>
        <v>0</v>
      </c>
      <c r="I43" s="1781">
        <f t="shared" si="21"/>
        <v>127193999.99999999</v>
      </c>
      <c r="J43" s="1781">
        <f t="shared" si="16"/>
        <v>0</v>
      </c>
      <c r="K43" s="1796"/>
      <c r="L43" s="2404"/>
      <c r="M43" s="2075"/>
      <c r="N43" s="2015">
        <f t="shared" si="17"/>
        <v>0</v>
      </c>
      <c r="O43" s="1973"/>
      <c r="P43" s="1975"/>
      <c r="Q43" s="2021">
        <f t="shared" si="18"/>
        <v>0</v>
      </c>
      <c r="R43" s="1964"/>
      <c r="S43" s="1798"/>
      <c r="T43" s="1797"/>
      <c r="U43" s="1796"/>
      <c r="V43" s="1797"/>
      <c r="W43" s="1796"/>
      <c r="X43" s="1797"/>
      <c r="Y43" s="1796"/>
      <c r="AA43" s="1795"/>
      <c r="AB43" s="1783"/>
    </row>
    <row r="44" spans="2:28" hidden="1">
      <c r="B44" s="2378"/>
      <c r="C44" s="2010" t="s">
        <v>164</v>
      </c>
      <c r="D44" s="1784"/>
      <c r="E44" s="1784">
        <v>850000</v>
      </c>
      <c r="F44" s="1800">
        <v>299.27999999999997</v>
      </c>
      <c r="G44" s="1786">
        <f t="shared" si="22"/>
        <v>190358.36734693879</v>
      </c>
      <c r="H44" s="1781">
        <f t="shared" si="20"/>
        <v>0</v>
      </c>
      <c r="I44" s="1781">
        <f t="shared" si="21"/>
        <v>254387999.99999997</v>
      </c>
      <c r="J44" s="1781">
        <f t="shared" si="16"/>
        <v>0</v>
      </c>
      <c r="K44" s="1796"/>
      <c r="L44" s="2404"/>
      <c r="M44" s="2075"/>
      <c r="N44" s="2015">
        <f t="shared" si="17"/>
        <v>0</v>
      </c>
      <c r="O44" s="1973"/>
      <c r="P44" s="1975"/>
      <c r="Q44" s="2021">
        <f t="shared" si="18"/>
        <v>0</v>
      </c>
      <c r="R44" s="1964"/>
      <c r="S44" s="1798"/>
      <c r="T44" s="1797"/>
      <c r="U44" s="1796"/>
      <c r="V44" s="1797"/>
      <c r="W44" s="1796"/>
      <c r="X44" s="1797"/>
      <c r="Y44" s="1796"/>
      <c r="AA44" s="1795"/>
      <c r="AB44" s="1783"/>
    </row>
    <row r="45" spans="2:28" hidden="1">
      <c r="B45" s="2378"/>
      <c r="C45" s="2010" t="s">
        <v>165</v>
      </c>
      <c r="D45" s="1784"/>
      <c r="E45" s="1784">
        <v>650000</v>
      </c>
      <c r="F45" s="1800">
        <v>993.6</v>
      </c>
      <c r="G45" s="1786">
        <f t="shared" si="22"/>
        <v>483281.63265306124</v>
      </c>
      <c r="H45" s="1781">
        <f t="shared" si="20"/>
        <v>0</v>
      </c>
      <c r="I45" s="1781">
        <f t="shared" si="21"/>
        <v>645840000</v>
      </c>
      <c r="J45" s="1781">
        <f t="shared" si="16"/>
        <v>0</v>
      </c>
      <c r="K45" s="1796"/>
      <c r="L45" s="2404"/>
      <c r="M45" s="2075"/>
      <c r="N45" s="2015">
        <f t="shared" si="17"/>
        <v>0</v>
      </c>
      <c r="O45" s="1973"/>
      <c r="P45" s="1975"/>
      <c r="Q45" s="2021">
        <f t="shared" si="18"/>
        <v>0</v>
      </c>
      <c r="R45" s="1964"/>
      <c r="S45" s="1798"/>
      <c r="T45" s="1797"/>
      <c r="U45" s="1796"/>
      <c r="V45" s="1797"/>
      <c r="W45" s="1796"/>
      <c r="X45" s="1797"/>
      <c r="Y45" s="1796"/>
      <c r="AA45" s="1795"/>
      <c r="AB45" s="1783"/>
    </row>
    <row r="46" spans="2:28" hidden="1">
      <c r="B46" s="2378"/>
      <c r="C46" s="2010" t="s">
        <v>166</v>
      </c>
      <c r="D46" s="1784"/>
      <c r="E46" s="1784">
        <v>650000</v>
      </c>
      <c r="F46" s="1800">
        <v>993.6</v>
      </c>
      <c r="G46" s="1786">
        <f t="shared" si="22"/>
        <v>483281.63265306124</v>
      </c>
      <c r="H46" s="1781">
        <f t="shared" si="20"/>
        <v>0</v>
      </c>
      <c r="I46" s="1781">
        <f t="shared" si="21"/>
        <v>645840000</v>
      </c>
      <c r="J46" s="1781">
        <f t="shared" si="16"/>
        <v>0</v>
      </c>
      <c r="K46" s="1796"/>
      <c r="L46" s="2404"/>
      <c r="M46" s="2075"/>
      <c r="N46" s="2015">
        <f t="shared" si="17"/>
        <v>0</v>
      </c>
      <c r="O46" s="1973"/>
      <c r="P46" s="1975"/>
      <c r="Q46" s="2021">
        <f t="shared" si="18"/>
        <v>0</v>
      </c>
      <c r="R46" s="1964"/>
      <c r="S46" s="1798"/>
      <c r="T46" s="1797"/>
      <c r="U46" s="1796"/>
      <c r="V46" s="1797"/>
      <c r="W46" s="1796"/>
      <c r="X46" s="1797"/>
      <c r="Y46" s="1796"/>
      <c r="AA46" s="1795"/>
      <c r="AB46" s="1783"/>
    </row>
    <row r="47" spans="2:28" hidden="1">
      <c r="B47" s="2378"/>
      <c r="C47" s="2010" t="s">
        <v>167</v>
      </c>
      <c r="D47" s="1784"/>
      <c r="E47" s="1784">
        <v>650000</v>
      </c>
      <c r="F47" s="1800">
        <v>993.6</v>
      </c>
      <c r="G47" s="1786">
        <f t="shared" si="22"/>
        <v>483281.63265306124</v>
      </c>
      <c r="H47" s="1781">
        <f t="shared" si="20"/>
        <v>0</v>
      </c>
      <c r="I47" s="1781">
        <f t="shared" si="21"/>
        <v>645840000</v>
      </c>
      <c r="J47" s="1781">
        <f t="shared" si="16"/>
        <v>0</v>
      </c>
      <c r="K47" s="1796"/>
      <c r="L47" s="2404"/>
      <c r="M47" s="2075"/>
      <c r="N47" s="2015">
        <f t="shared" si="17"/>
        <v>0</v>
      </c>
      <c r="O47" s="1973"/>
      <c r="P47" s="1975"/>
      <c r="Q47" s="2021">
        <f t="shared" si="18"/>
        <v>0</v>
      </c>
      <c r="R47" s="1964"/>
      <c r="S47" s="1798"/>
      <c r="T47" s="1797"/>
      <c r="U47" s="1796"/>
      <c r="V47" s="1797"/>
      <c r="W47" s="1796"/>
      <c r="X47" s="1797"/>
      <c r="Y47" s="1796"/>
      <c r="AA47" s="1795"/>
      <c r="AB47" s="1783"/>
    </row>
    <row r="48" spans="2:28" hidden="1">
      <c r="B48" s="2378"/>
      <c r="C48" s="2010" t="s">
        <v>168</v>
      </c>
      <c r="D48" s="1784"/>
      <c r="E48" s="1784">
        <v>650000</v>
      </c>
      <c r="F48" s="1800">
        <v>993.6</v>
      </c>
      <c r="G48" s="1786">
        <f t="shared" si="22"/>
        <v>483281.63265306124</v>
      </c>
      <c r="H48" s="1781">
        <f t="shared" si="20"/>
        <v>0</v>
      </c>
      <c r="I48" s="1781">
        <f t="shared" si="21"/>
        <v>645840000</v>
      </c>
      <c r="J48" s="1781">
        <f t="shared" si="16"/>
        <v>0</v>
      </c>
      <c r="K48" s="1796"/>
      <c r="L48" s="2404"/>
      <c r="M48" s="2075"/>
      <c r="N48" s="2015">
        <f t="shared" si="17"/>
        <v>0</v>
      </c>
      <c r="O48" s="1973"/>
      <c r="P48" s="1975"/>
      <c r="Q48" s="2021">
        <f t="shared" si="18"/>
        <v>0</v>
      </c>
      <c r="R48" s="1964"/>
      <c r="S48" s="1798"/>
      <c r="T48" s="1797"/>
      <c r="U48" s="1796"/>
      <c r="V48" s="1797"/>
      <c r="W48" s="1796"/>
      <c r="X48" s="1797"/>
      <c r="Y48" s="1796"/>
      <c r="AA48" s="1795" t="b">
        <f>+I48=J48</f>
        <v>0</v>
      </c>
      <c r="AB48" s="1783"/>
    </row>
    <row r="49" spans="2:28">
      <c r="B49" s="2378"/>
      <c r="C49" s="2382" t="s">
        <v>2475</v>
      </c>
      <c r="D49" s="2383"/>
      <c r="E49" s="2383"/>
      <c r="F49" s="2386">
        <f>SUM(F31:F48)</f>
        <v>14817.240000000002</v>
      </c>
      <c r="G49" s="2388">
        <f>SUM(G31:G48)</f>
        <v>7034805.3061224502</v>
      </c>
      <c r="H49" s="1801">
        <f>H50/1470</f>
        <v>45666.462585034016</v>
      </c>
      <c r="I49" s="2006"/>
      <c r="J49" s="1801">
        <f>J50/1470</f>
        <v>2991595.9183673467</v>
      </c>
      <c r="K49" s="1801">
        <f>K50/1470</f>
        <v>1930517.2108843538</v>
      </c>
      <c r="L49" s="1959">
        <f>L50/1470</f>
        <v>378254.36394557822</v>
      </c>
      <c r="M49" s="1959"/>
      <c r="N49" s="2017">
        <f>N50/1470</f>
        <v>45666.462585034016</v>
      </c>
      <c r="O49" s="2007"/>
      <c r="P49" s="2081">
        <f>P50/1470</f>
        <v>45666.462585034016</v>
      </c>
      <c r="Q49" s="2025">
        <f>Q50/1470</f>
        <v>0</v>
      </c>
      <c r="R49" s="2008"/>
      <c r="S49" s="1801">
        <f>S50/1470</f>
        <v>0</v>
      </c>
      <c r="T49" s="2009"/>
      <c r="U49" s="1801">
        <f>U50/1470</f>
        <v>566728.97959183669</v>
      </c>
      <c r="V49" s="2009"/>
      <c r="W49" s="1801">
        <f>W50/1470</f>
        <v>0</v>
      </c>
      <c r="X49" s="2009"/>
      <c r="Y49" s="1801">
        <f>Y50/1470</f>
        <v>448683.26530612243</v>
      </c>
      <c r="AA49" s="1799"/>
    </row>
    <row r="50" spans="2:28">
      <c r="B50" s="2379"/>
      <c r="C50" s="2384"/>
      <c r="D50" s="2385"/>
      <c r="E50" s="2385"/>
      <c r="F50" s="2387"/>
      <c r="G50" s="2389"/>
      <c r="H50" s="1803">
        <f>+SUM(H31:H38)</f>
        <v>67129700</v>
      </c>
      <c r="I50" s="1803">
        <f t="shared" ref="I50:Y50" si="23">+SUM(I31:I38)</f>
        <v>4397646000</v>
      </c>
      <c r="J50" s="1803">
        <f t="shared" si="23"/>
        <v>4397646000</v>
      </c>
      <c r="K50" s="1803">
        <f t="shared" si="23"/>
        <v>2837860300</v>
      </c>
      <c r="L50" s="1960">
        <f>+[2]Bolt1ho!$M$8</f>
        <v>556033915</v>
      </c>
      <c r="M50" s="1960"/>
      <c r="N50" s="1960">
        <f t="shared" si="23"/>
        <v>67129700</v>
      </c>
      <c r="O50" s="2013">
        <f t="shared" si="23"/>
        <v>183800</v>
      </c>
      <c r="P50" s="1978">
        <f t="shared" si="23"/>
        <v>67129700</v>
      </c>
      <c r="Q50" s="2024">
        <f t="shared" si="23"/>
        <v>0</v>
      </c>
      <c r="R50" s="1980">
        <f t="shared" si="23"/>
        <v>0</v>
      </c>
      <c r="S50" s="1803">
        <f t="shared" si="23"/>
        <v>0</v>
      </c>
      <c r="T50" s="1981">
        <f t="shared" si="23"/>
        <v>368176</v>
      </c>
      <c r="U50" s="1803">
        <f t="shared" si="23"/>
        <v>833091600</v>
      </c>
      <c r="V50" s="1981">
        <f t="shared" si="23"/>
        <v>0</v>
      </c>
      <c r="W50" s="1803">
        <f t="shared" si="23"/>
        <v>0</v>
      </c>
      <c r="X50" s="1981">
        <f t="shared" si="23"/>
        <v>0</v>
      </c>
      <c r="Y50" s="1803">
        <f t="shared" si="23"/>
        <v>659564400</v>
      </c>
      <c r="Z50" s="1783"/>
      <c r="AA50" s="1805"/>
      <c r="AB50" s="1783"/>
    </row>
    <row r="51" spans="2:28" s="1809" customFormat="1" ht="16.5" customHeight="1">
      <c r="B51" s="2423" t="s">
        <v>138</v>
      </c>
      <c r="C51" s="2424"/>
      <c r="D51" s="2424"/>
      <c r="E51" s="2425"/>
      <c r="F51" s="2431">
        <f>+F49</f>
        <v>14817.240000000002</v>
      </c>
      <c r="G51" s="2429">
        <f>+G49+G29</f>
        <v>18981835.040816329</v>
      </c>
      <c r="H51" s="2397">
        <f>+H43+H49</f>
        <v>45666.462585034016</v>
      </c>
      <c r="I51" s="2011">
        <f>I52/1470</f>
        <v>3164648.9795918367</v>
      </c>
      <c r="J51" s="2011">
        <f t="shared" ref="J51:Y51" si="24">J52/1470</f>
        <v>9438485.1224489789</v>
      </c>
      <c r="K51" s="2011">
        <f t="shared" si="24"/>
        <v>2559088.6394557822</v>
      </c>
      <c r="L51" s="2012">
        <f t="shared" si="24"/>
        <v>378254.36394557822</v>
      </c>
      <c r="M51" s="2035">
        <f>M52/1470</f>
        <v>1320475.5612244897</v>
      </c>
      <c r="N51" s="2018">
        <f t="shared" si="24"/>
        <v>1698729.9251700679</v>
      </c>
      <c r="O51" s="2026"/>
      <c r="P51" s="2082">
        <f t="shared" si="24"/>
        <v>1698729.9251700679</v>
      </c>
      <c r="Q51" s="2033">
        <f t="shared" si="24"/>
        <v>785392.14285714284</v>
      </c>
      <c r="R51" s="2028">
        <f t="shared" si="24"/>
        <v>0</v>
      </c>
      <c r="S51" s="2027">
        <f t="shared" si="24"/>
        <v>785392.14285714284</v>
      </c>
      <c r="T51" s="2028">
        <f t="shared" si="24"/>
        <v>0</v>
      </c>
      <c r="U51" s="2027">
        <f t="shared" si="24"/>
        <v>723549.69387755124</v>
      </c>
      <c r="V51" s="2028">
        <f t="shared" si="24"/>
        <v>0</v>
      </c>
      <c r="W51" s="2027">
        <f t="shared" si="24"/>
        <v>628156.57142857159</v>
      </c>
      <c r="X51" s="2028">
        <f t="shared" si="24"/>
        <v>0</v>
      </c>
      <c r="Y51" s="2029">
        <f t="shared" si="24"/>
        <v>3043568.1496598641</v>
      </c>
    </row>
    <row r="52" spans="2:28" s="1809" customFormat="1" ht="16.5" customHeight="1" thickBot="1">
      <c r="B52" s="2426"/>
      <c r="C52" s="2427"/>
      <c r="D52" s="2427"/>
      <c r="E52" s="2428"/>
      <c r="F52" s="2432"/>
      <c r="G52" s="2430"/>
      <c r="H52" s="2398"/>
      <c r="I52" s="1868">
        <f>+I44+I50</f>
        <v>4652034000</v>
      </c>
      <c r="J52" s="1868">
        <f>+J50+J30</f>
        <v>13874573130</v>
      </c>
      <c r="K52" s="1868">
        <f>+K50+K30</f>
        <v>3761860300</v>
      </c>
      <c r="L52" s="1884">
        <f t="shared" ref="L52:N52" si="25">+L50+L30</f>
        <v>556033915</v>
      </c>
      <c r="M52" s="2036">
        <f>+N52-L52</f>
        <v>1941099075</v>
      </c>
      <c r="N52" s="2019">
        <f t="shared" si="25"/>
        <v>2497132990</v>
      </c>
      <c r="O52" s="2030"/>
      <c r="P52" s="2036">
        <f t="shared" ref="P52:Q52" si="26">+P50+P30</f>
        <v>2497132990</v>
      </c>
      <c r="Q52" s="2034">
        <f t="shared" si="26"/>
        <v>1154526450</v>
      </c>
      <c r="R52" s="2031">
        <f>+R44</f>
        <v>0</v>
      </c>
      <c r="S52" s="2031">
        <f t="shared" ref="S52" si="27">+S50+S30</f>
        <v>1154526450</v>
      </c>
      <c r="T52" s="2031">
        <f>+T44</f>
        <v>0</v>
      </c>
      <c r="U52" s="2031">
        <f t="shared" ref="U52" si="28">+U50+U30</f>
        <v>1063618050.0000002</v>
      </c>
      <c r="V52" s="2031">
        <f>+V44</f>
        <v>0</v>
      </c>
      <c r="W52" s="2031">
        <f t="shared" ref="W52" si="29">+W50+W30</f>
        <v>923390160.00000024</v>
      </c>
      <c r="X52" s="2031">
        <f>+X44</f>
        <v>0</v>
      </c>
      <c r="Y52" s="2032">
        <f t="shared" ref="Y52" si="30">+Y50+Y30</f>
        <v>4474045180</v>
      </c>
    </row>
    <row r="53" spans="2:28">
      <c r="F53" s="1770"/>
      <c r="G53" s="1770"/>
      <c r="L53" s="1783"/>
      <c r="M53" s="1783"/>
      <c r="O53" s="1770"/>
      <c r="R53" s="1770"/>
      <c r="T53" s="1770"/>
      <c r="X53" s="1770"/>
    </row>
    <row r="54" spans="2:28" ht="13.5">
      <c r="B54" s="1770" t="s">
        <v>2484</v>
      </c>
      <c r="J54" s="2115">
        <f>+J29-K29</f>
        <v>5818317.775510204</v>
      </c>
      <c r="K54" s="1770">
        <v>942471</v>
      </c>
    </row>
    <row r="55" spans="2:28" ht="27" hidden="1" customHeight="1">
      <c r="B55" s="2392" t="s">
        <v>132</v>
      </c>
      <c r="C55" s="2392" t="s">
        <v>133</v>
      </c>
      <c r="D55" s="2393" t="s">
        <v>134</v>
      </c>
      <c r="E55" s="2393" t="s">
        <v>134</v>
      </c>
      <c r="F55" s="2392" t="s">
        <v>135</v>
      </c>
      <c r="G55" s="2399" t="s">
        <v>136</v>
      </c>
      <c r="H55" s="2390" t="s">
        <v>137</v>
      </c>
      <c r="I55" s="2393" t="s">
        <v>2483</v>
      </c>
      <c r="J55" s="2393" t="s">
        <v>138</v>
      </c>
      <c r="K55" s="2393" t="s">
        <v>139</v>
      </c>
      <c r="L55" s="2399" t="s">
        <v>140</v>
      </c>
      <c r="M55" s="2072"/>
      <c r="N55" s="2390" t="s">
        <v>144</v>
      </c>
      <c r="O55" s="2392" t="s">
        <v>141</v>
      </c>
      <c r="P55" s="2392"/>
      <c r="Q55" s="2390" t="s">
        <v>144</v>
      </c>
      <c r="R55" s="2392" t="s">
        <v>142</v>
      </c>
      <c r="S55" s="2392"/>
      <c r="T55" s="2392" t="s">
        <v>143</v>
      </c>
      <c r="U55" s="2392"/>
      <c r="V55" s="2392" t="s">
        <v>145</v>
      </c>
      <c r="W55" s="2392"/>
      <c r="X55" s="2407" t="s">
        <v>146</v>
      </c>
      <c r="Y55" s="2408"/>
      <c r="AA55" s="2393" t="s">
        <v>147</v>
      </c>
    </row>
    <row r="56" spans="2:28" ht="27" hidden="1" customHeight="1">
      <c r="B56" s="2412"/>
      <c r="C56" s="2412"/>
      <c r="D56" s="2394"/>
      <c r="E56" s="2394"/>
      <c r="F56" s="2412"/>
      <c r="G56" s="2400"/>
      <c r="H56" s="2391"/>
      <c r="I56" s="2394"/>
      <c r="J56" s="2394"/>
      <c r="K56" s="2394"/>
      <c r="L56" s="2400"/>
      <c r="M56" s="2073"/>
      <c r="N56" s="2391"/>
      <c r="O56" s="1773" t="s">
        <v>148</v>
      </c>
      <c r="P56" s="1773" t="s">
        <v>149</v>
      </c>
      <c r="Q56" s="2391"/>
      <c r="R56" s="1773" t="s">
        <v>148</v>
      </c>
      <c r="S56" s="1773" t="s">
        <v>149</v>
      </c>
      <c r="T56" s="1773" t="s">
        <v>148</v>
      </c>
      <c r="U56" s="1773" t="s">
        <v>149</v>
      </c>
      <c r="V56" s="1773" t="s">
        <v>148</v>
      </c>
      <c r="W56" s="1773" t="s">
        <v>149</v>
      </c>
      <c r="X56" s="2409"/>
      <c r="Y56" s="2410"/>
      <c r="AA56" s="2394"/>
    </row>
    <row r="57" spans="2:28" hidden="1">
      <c r="B57" s="2377"/>
      <c r="C57" s="1770" t="s">
        <v>169</v>
      </c>
      <c r="D57" s="1774">
        <v>400000</v>
      </c>
      <c r="E57" s="1774">
        <v>400000</v>
      </c>
      <c r="F57" s="1775">
        <f>+'DG M&amp;A-SPA_POSN'!D11</f>
        <v>340.8</v>
      </c>
      <c r="G57" s="1776">
        <f>E57*F57*1.1/1470</f>
        <v>102008.16326530612</v>
      </c>
      <c r="H57" s="1777">
        <f>+P57+S57</f>
        <v>0</v>
      </c>
      <c r="I57" s="1777">
        <f>+F57*550000000/1000</f>
        <v>187440000</v>
      </c>
      <c r="J57" s="1777">
        <f>+K57+P57+S57+U57+Y57+W57</f>
        <v>0</v>
      </c>
      <c r="K57" s="1777"/>
      <c r="L57" s="2380"/>
      <c r="M57" s="2071"/>
      <c r="N57" s="1781">
        <f>S57+U57</f>
        <v>0</v>
      </c>
      <c r="O57" s="1778"/>
      <c r="P57" s="1779"/>
      <c r="Q57" s="1781">
        <f>V57+X57</f>
        <v>0</v>
      </c>
      <c r="R57" s="1778"/>
      <c r="S57" s="1777"/>
      <c r="T57" s="1778"/>
      <c r="U57" s="1780"/>
      <c r="V57" s="1778"/>
      <c r="W57" s="1777"/>
      <c r="X57" s="1778"/>
      <c r="Y57" s="1777"/>
      <c r="AA57" s="1782" t="b">
        <f>+I57=J57</f>
        <v>0</v>
      </c>
      <c r="AB57" s="1783"/>
    </row>
    <row r="58" spans="2:28" hidden="1">
      <c r="B58" s="2378"/>
      <c r="C58" s="1770" t="s">
        <v>170</v>
      </c>
      <c r="D58" s="1784">
        <v>400000</v>
      </c>
      <c r="E58" s="1784">
        <v>400000</v>
      </c>
      <c r="F58" s="1785">
        <f>+'DG M&amp;A-SPA_POSN'!D17</f>
        <v>144.84</v>
      </c>
      <c r="G58" s="1786">
        <f>E58*F58*1.1/1470</f>
        <v>43353.469387755104</v>
      </c>
      <c r="H58" s="1781">
        <f t="shared" ref="H58:H60" si="31">+P58+S58</f>
        <v>0</v>
      </c>
      <c r="I58" s="1781">
        <f t="shared" ref="I58:I60" si="32">+F58*550000000/1000</f>
        <v>79662000</v>
      </c>
      <c r="J58" s="1781">
        <f>+K58+P58+S58+U58+Y58+W58</f>
        <v>0</v>
      </c>
      <c r="K58" s="1781"/>
      <c r="L58" s="2381"/>
      <c r="M58" s="2071"/>
      <c r="N58" s="1781">
        <f>S58+U58</f>
        <v>0</v>
      </c>
      <c r="O58" s="1787"/>
      <c r="P58" s="1788"/>
      <c r="Q58" s="1781">
        <f>V58+X58</f>
        <v>0</v>
      </c>
      <c r="R58" s="1787"/>
      <c r="S58" s="1781"/>
      <c r="T58" s="1787"/>
      <c r="U58" s="1789"/>
      <c r="V58" s="1787"/>
      <c r="W58" s="1781"/>
      <c r="X58" s="1787"/>
      <c r="Y58" s="1781"/>
      <c r="AA58" s="1791" t="b">
        <f>+I58=J58</f>
        <v>0</v>
      </c>
    </row>
    <row r="59" spans="2:28" hidden="1">
      <c r="B59" s="2378"/>
      <c r="C59" s="1770" t="s">
        <v>171</v>
      </c>
      <c r="D59" s="1784">
        <v>400000</v>
      </c>
      <c r="E59" s="1784">
        <v>400000</v>
      </c>
      <c r="F59" s="1785">
        <f>+'DG M&amp;A-SPA_POSN'!D23</f>
        <v>807.98</v>
      </c>
      <c r="G59" s="1786">
        <f t="shared" ref="G59:G60" si="33">E59*F59*1.1/1470</f>
        <v>241844.3537414966</v>
      </c>
      <c r="H59" s="1781">
        <f t="shared" si="31"/>
        <v>0</v>
      </c>
      <c r="I59" s="1781">
        <f t="shared" si="32"/>
        <v>444389000</v>
      </c>
      <c r="J59" s="1781">
        <f>+K59+P59+S59+U59+Y59+W59</f>
        <v>0</v>
      </c>
      <c r="K59" s="1781"/>
      <c r="L59" s="2381"/>
      <c r="M59" s="2071"/>
      <c r="N59" s="1781">
        <f>S59+U59</f>
        <v>0</v>
      </c>
      <c r="O59" s="1787"/>
      <c r="P59" s="1788"/>
      <c r="Q59" s="1781">
        <f>V59+X59</f>
        <v>0</v>
      </c>
      <c r="R59" s="1787"/>
      <c r="S59" s="1781"/>
      <c r="T59" s="1787"/>
      <c r="U59" s="1789"/>
      <c r="V59" s="1787"/>
      <c r="W59" s="1781"/>
      <c r="X59" s="1787"/>
      <c r="Y59" s="1781"/>
      <c r="AA59" s="1790" t="b">
        <f>+I59=J59</f>
        <v>0</v>
      </c>
    </row>
    <row r="60" spans="2:28" hidden="1">
      <c r="B60" s="2378"/>
      <c r="C60" s="1770" t="s">
        <v>172</v>
      </c>
      <c r="D60" s="1784">
        <v>400000</v>
      </c>
      <c r="E60" s="1784">
        <v>400000</v>
      </c>
      <c r="F60" s="1792">
        <f>+'DG M&amp;A-SPA_POSN'!D29</f>
        <v>249.92</v>
      </c>
      <c r="G60" s="1786">
        <f t="shared" si="33"/>
        <v>74805.98639455784</v>
      </c>
      <c r="H60" s="1781">
        <f t="shared" si="31"/>
        <v>0</v>
      </c>
      <c r="I60" s="1781">
        <f t="shared" si="32"/>
        <v>137456000</v>
      </c>
      <c r="J60" s="1781">
        <f>+K60+P60+S60+U60+Y60+W60</f>
        <v>0</v>
      </c>
      <c r="K60" s="1781"/>
      <c r="L60" s="2381"/>
      <c r="M60" s="2071"/>
      <c r="N60" s="1781">
        <f>S60+U60</f>
        <v>0</v>
      </c>
      <c r="O60" s="1787"/>
      <c r="P60" s="1793"/>
      <c r="Q60" s="1781">
        <f>V60+X60</f>
        <v>0</v>
      </c>
      <c r="R60" s="1787"/>
      <c r="S60" s="1794"/>
      <c r="T60" s="1787"/>
      <c r="U60" s="1789"/>
      <c r="V60" s="1787"/>
      <c r="W60" s="1781"/>
      <c r="X60" s="1787"/>
      <c r="Y60" s="1781"/>
      <c r="AA60" s="1790" t="b">
        <f>+I60=J60</f>
        <v>0</v>
      </c>
    </row>
    <row r="61" spans="2:28" hidden="1">
      <c r="B61" s="2378"/>
      <c r="C61" s="2382" t="s">
        <v>138</v>
      </c>
      <c r="D61" s="2383"/>
      <c r="E61" s="2383"/>
      <c r="F61" s="2386">
        <f>SUM(F57:F60)</f>
        <v>1543.54</v>
      </c>
      <c r="G61" s="2388">
        <f>SUM(G57:G60)</f>
        <v>462011.97278911574</v>
      </c>
      <c r="H61" s="1801">
        <f>H62/1470</f>
        <v>0</v>
      </c>
      <c r="I61" s="1796"/>
      <c r="J61" s="1796"/>
      <c r="K61" s="1801">
        <f>K62/1470</f>
        <v>0</v>
      </c>
      <c r="L61" s="1801">
        <f>L62/1470</f>
        <v>0</v>
      </c>
      <c r="M61" s="1801"/>
      <c r="N61" s="1802">
        <f>N62/1470</f>
        <v>0</v>
      </c>
      <c r="O61" s="1797"/>
      <c r="P61" s="1801">
        <f>P62/1470</f>
        <v>0</v>
      </c>
      <c r="Q61" s="1802">
        <f>Q62/1470</f>
        <v>0</v>
      </c>
      <c r="R61" s="1797"/>
      <c r="S61" s="1801">
        <f>S62/1470</f>
        <v>0</v>
      </c>
      <c r="T61" s="1797"/>
      <c r="U61" s="1801">
        <f>U62/1470</f>
        <v>0</v>
      </c>
      <c r="V61" s="1797"/>
      <c r="W61" s="1801">
        <f>W62/1470</f>
        <v>0</v>
      </c>
      <c r="X61" s="1797"/>
      <c r="Y61" s="1801">
        <f>Y62/1470</f>
        <v>0</v>
      </c>
      <c r="AA61" s="1799"/>
    </row>
    <row r="62" spans="2:28" hidden="1">
      <c r="B62" s="2379"/>
      <c r="C62" s="2384"/>
      <c r="D62" s="2385"/>
      <c r="E62" s="2385"/>
      <c r="F62" s="2387"/>
      <c r="G62" s="2389"/>
      <c r="H62" s="1803">
        <f>+SUM(H57:H60)</f>
        <v>0</v>
      </c>
      <c r="I62" s="1803">
        <f>+SUM(I57:I60)</f>
        <v>848947000</v>
      </c>
      <c r="J62" s="1803">
        <f>+SUM(J57:J60)</f>
        <v>0</v>
      </c>
      <c r="K62" s="1803">
        <f>+SUM(K57:K60)</f>
        <v>0</v>
      </c>
      <c r="L62" s="1803"/>
      <c r="M62" s="1803"/>
      <c r="N62" s="1803">
        <f>+SUM(N57:N60)</f>
        <v>0</v>
      </c>
      <c r="O62" s="1804"/>
      <c r="P62" s="1803">
        <f>+SUM(P57:P60)</f>
        <v>0</v>
      </c>
      <c r="Q62" s="1803">
        <f>+SUM(Q57:Q60)</f>
        <v>0</v>
      </c>
      <c r="R62" s="1804"/>
      <c r="S62" s="1803">
        <f>+SUM(S57:S60)</f>
        <v>0</v>
      </c>
      <c r="T62" s="1804"/>
      <c r="U62" s="1803">
        <f>+SUM(U57:U60)</f>
        <v>0</v>
      </c>
      <c r="V62" s="1804"/>
      <c r="W62" s="1803">
        <f>+SUM(W57:W60)</f>
        <v>0</v>
      </c>
      <c r="X62" s="1804"/>
      <c r="Y62" s="1803">
        <f>+SUM(Y57:Y60)</f>
        <v>0</v>
      </c>
      <c r="AA62" s="1805" t="b">
        <f t="shared" ref="AA62" si="34">+I62=J62</f>
        <v>0</v>
      </c>
      <c r="AB62" s="1783"/>
    </row>
    <row r="63" spans="2:28">
      <c r="B63" s="1770" t="s">
        <v>2481</v>
      </c>
      <c r="K63" s="1770">
        <v>1630.78</v>
      </c>
    </row>
    <row r="64" spans="2:28" ht="13.5">
      <c r="C64" s="1956" t="s">
        <v>2485</v>
      </c>
      <c r="D64" s="1957">
        <v>27500000</v>
      </c>
      <c r="K64" s="2116">
        <f>+K54*K63</f>
        <v>1536962857.3799999</v>
      </c>
    </row>
  </sheetData>
  <mergeCells count="57">
    <mergeCell ref="C49:E50"/>
    <mergeCell ref="F49:F50"/>
    <mergeCell ref="G49:G50"/>
    <mergeCell ref="B55:B56"/>
    <mergeCell ref="C55:C56"/>
    <mergeCell ref="E55:E56"/>
    <mergeCell ref="F55:F56"/>
    <mergeCell ref="D55:D56"/>
    <mergeCell ref="G55:G56"/>
    <mergeCell ref="B51:E52"/>
    <mergeCell ref="G51:G52"/>
    <mergeCell ref="F51:F52"/>
    <mergeCell ref="X9:Y10"/>
    <mergeCell ref="C29:E30"/>
    <mergeCell ref="F29:F30"/>
    <mergeCell ref="G29:G30"/>
    <mergeCell ref="D9:D10"/>
    <mergeCell ref="AA9:AA10"/>
    <mergeCell ref="J55:J56"/>
    <mergeCell ref="R9:S9"/>
    <mergeCell ref="B9:B10"/>
    <mergeCell ref="C9:C10"/>
    <mergeCell ref="E9:E10"/>
    <mergeCell ref="F9:F10"/>
    <mergeCell ref="G9:G10"/>
    <mergeCell ref="H9:H10"/>
    <mergeCell ref="I9:I10"/>
    <mergeCell ref="J9:J10"/>
    <mergeCell ref="K9:K10"/>
    <mergeCell ref="L9:L10"/>
    <mergeCell ref="O9:P9"/>
    <mergeCell ref="L11:L28"/>
    <mergeCell ref="B11:B50"/>
    <mergeCell ref="X55:Y56"/>
    <mergeCell ref="AA55:AA56"/>
    <mergeCell ref="O55:P55"/>
    <mergeCell ref="R55:S55"/>
    <mergeCell ref="T55:U55"/>
    <mergeCell ref="N55:N56"/>
    <mergeCell ref="V55:W55"/>
    <mergeCell ref="H55:H56"/>
    <mergeCell ref="I55:I56"/>
    <mergeCell ref="Q9:Q10"/>
    <mergeCell ref="Q55:Q56"/>
    <mergeCell ref="H51:H52"/>
    <mergeCell ref="L55:L56"/>
    <mergeCell ref="T9:U9"/>
    <mergeCell ref="N9:N10"/>
    <mergeCell ref="V9:W9"/>
    <mergeCell ref="L31:L48"/>
    <mergeCell ref="K55:K56"/>
    <mergeCell ref="M9:M10"/>
    <mergeCell ref="B57:B62"/>
    <mergeCell ref="L57:L60"/>
    <mergeCell ref="C61:E62"/>
    <mergeCell ref="F61:F62"/>
    <mergeCell ref="G61:G62"/>
  </mergeCells>
  <phoneticPr fontId="19"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79D97-F4C2-4A74-BE85-C28EDED84C3F}">
  <sheetPr>
    <tabColor rgb="FFFF0000"/>
  </sheetPr>
  <dimension ref="B2:Z86"/>
  <sheetViews>
    <sheetView showGridLines="0" zoomScaleNormal="100" workbookViewId="0">
      <pane xSplit="7" ySplit="10" topLeftCell="H11" activePane="bottomRight" state="frozen"/>
      <selection activeCell="K17" sqref="K17:K22"/>
      <selection pane="topRight" activeCell="K17" sqref="K17:K22"/>
      <selection pane="bottomLeft" activeCell="K17" sqref="K17:K22"/>
      <selection pane="bottomRight" activeCell="K17" sqref="K17:K22"/>
    </sheetView>
  </sheetViews>
  <sheetFormatPr defaultColWidth="8" defaultRowHeight="12.75"/>
  <cols>
    <col min="1" max="1" width="1.5" style="1809" customWidth="1"/>
    <col min="2" max="2" width="14.625" style="1809" customWidth="1"/>
    <col min="3" max="6" width="13.625" style="1809" customWidth="1"/>
    <col min="7" max="7" width="13" style="1810" bestFit="1" customWidth="1"/>
    <col min="8" max="8" width="13" style="1810" customWidth="1"/>
    <col min="9" max="9" width="15.375" style="1809" customWidth="1"/>
    <col min="10" max="12" width="12.75" style="1809" customWidth="1"/>
    <col min="13" max="13" width="19.25" style="1809" customWidth="1"/>
    <col min="14" max="14" width="7.875" style="1810" customWidth="1"/>
    <col min="15" max="15" width="14.875" style="1809" customWidth="1"/>
    <col min="16" max="16" width="18.75" style="1809" customWidth="1"/>
    <col min="17" max="17" width="7.875" style="1810" customWidth="1"/>
    <col min="18" max="18" width="14.875" style="1809" customWidth="1"/>
    <col min="19" max="19" width="7.875" style="1810" customWidth="1"/>
    <col min="20" max="20" width="14.875" style="1809" customWidth="1"/>
    <col min="21" max="21" width="6.875" style="1810" customWidth="1"/>
    <col min="22" max="22" width="14.875" style="1809" customWidth="1"/>
    <col min="23" max="23" width="1.5" style="1809" customWidth="1"/>
    <col min="24" max="24" width="11" style="1809" bestFit="1" customWidth="1"/>
    <col min="25" max="25" width="11.625" style="1809" customWidth="1"/>
    <col min="26" max="26" width="9.375" style="1809" bestFit="1" customWidth="1"/>
    <col min="27" max="16384" width="8" style="1809"/>
  </cols>
  <sheetData>
    <row r="2" spans="2:25">
      <c r="B2" s="1860" t="s">
        <v>181</v>
      </c>
      <c r="C2" s="1860"/>
      <c r="D2" s="1860" t="s">
        <v>2460</v>
      </c>
      <c r="E2" s="1860"/>
      <c r="F2" s="1860"/>
    </row>
    <row r="3" spans="2:25">
      <c r="B3" s="1860" t="s">
        <v>182</v>
      </c>
      <c r="C3" s="1860"/>
      <c r="D3" s="1860" t="s">
        <v>2456</v>
      </c>
      <c r="E3" s="1860"/>
      <c r="F3" s="1860"/>
    </row>
    <row r="4" spans="2:25">
      <c r="B4" s="1860" t="s">
        <v>184</v>
      </c>
      <c r="C4" s="1860"/>
      <c r="D4" s="1860" t="s">
        <v>2457</v>
      </c>
      <c r="E4" s="1860"/>
      <c r="F4" s="1860"/>
    </row>
    <row r="5" spans="2:25">
      <c r="B5" s="1860" t="s">
        <v>186</v>
      </c>
      <c r="C5" s="1860"/>
      <c r="D5" s="1860" t="s">
        <v>2458</v>
      </c>
      <c r="E5" s="1860"/>
      <c r="F5" s="1860"/>
    </row>
    <row r="6" spans="2:25">
      <c r="B6" s="1860" t="s">
        <v>188</v>
      </c>
      <c r="C6" s="1860"/>
      <c r="D6" s="1860" t="s">
        <v>2459</v>
      </c>
      <c r="E6" s="1860"/>
      <c r="F6" s="1860"/>
    </row>
    <row r="7" spans="2:25">
      <c r="B7" s="1860" t="s">
        <v>190</v>
      </c>
      <c r="C7" s="1860"/>
      <c r="D7" s="1860" t="s">
        <v>2461</v>
      </c>
      <c r="E7" s="1860"/>
      <c r="F7" s="1860"/>
    </row>
    <row r="8" spans="2:25" ht="13.5" thickBot="1">
      <c r="O8" s="1906"/>
      <c r="R8" s="1906"/>
      <c r="V8" s="1811" t="s">
        <v>192</v>
      </c>
    </row>
    <row r="9" spans="2:25" ht="27" customHeight="1">
      <c r="B9" s="2462" t="s">
        <v>132</v>
      </c>
      <c r="C9" s="2475" t="s">
        <v>193</v>
      </c>
      <c r="D9" s="2475" t="s">
        <v>133</v>
      </c>
      <c r="E9" s="2467" t="s">
        <v>194</v>
      </c>
      <c r="F9" s="2467" t="s">
        <v>134</v>
      </c>
      <c r="G9" s="2462" t="s">
        <v>135</v>
      </c>
      <c r="H9" s="2469" t="s">
        <v>136</v>
      </c>
      <c r="I9" s="2467" t="s">
        <v>138</v>
      </c>
      <c r="J9" s="2469" t="s">
        <v>2482</v>
      </c>
      <c r="K9" s="2469" t="s">
        <v>2473</v>
      </c>
      <c r="L9" s="2405" t="s">
        <v>2520</v>
      </c>
      <c r="M9" s="2471" t="s">
        <v>2521</v>
      </c>
      <c r="N9" s="2473" t="s">
        <v>145</v>
      </c>
      <c r="O9" s="2474"/>
      <c r="P9" s="2460" t="s">
        <v>2523</v>
      </c>
      <c r="Q9" s="2475" t="s">
        <v>198</v>
      </c>
      <c r="R9" s="2462"/>
      <c r="S9" s="2462" t="s">
        <v>2463</v>
      </c>
      <c r="T9" s="2462"/>
      <c r="U9" s="2463" t="s">
        <v>2477</v>
      </c>
      <c r="V9" s="2464"/>
      <c r="X9" s="2467" t="s">
        <v>147</v>
      </c>
    </row>
    <row r="10" spans="2:25" ht="27" customHeight="1">
      <c r="B10" s="2476"/>
      <c r="C10" s="2477"/>
      <c r="D10" s="2477"/>
      <c r="E10" s="2468"/>
      <c r="F10" s="2468"/>
      <c r="G10" s="2476"/>
      <c r="H10" s="2470"/>
      <c r="I10" s="2468"/>
      <c r="J10" s="2470"/>
      <c r="K10" s="2470"/>
      <c r="L10" s="2406"/>
      <c r="M10" s="2472"/>
      <c r="N10" s="1891" t="s">
        <v>148</v>
      </c>
      <c r="O10" s="1892" t="s">
        <v>149</v>
      </c>
      <c r="P10" s="2461"/>
      <c r="Q10" s="1858" t="s">
        <v>148</v>
      </c>
      <c r="R10" s="1812" t="s">
        <v>149</v>
      </c>
      <c r="S10" s="1812" t="s">
        <v>148</v>
      </c>
      <c r="T10" s="1812" t="s">
        <v>149</v>
      </c>
      <c r="U10" s="2465"/>
      <c r="V10" s="2466"/>
      <c r="X10" s="2468"/>
    </row>
    <row r="11" spans="2:25" ht="16.5" customHeight="1">
      <c r="B11" s="2435" t="s">
        <v>2460</v>
      </c>
      <c r="C11" s="2435" t="s">
        <v>2459</v>
      </c>
      <c r="D11" s="1859" t="s">
        <v>2462</v>
      </c>
      <c r="E11" s="1813">
        <v>1100000</v>
      </c>
      <c r="F11" s="1813"/>
      <c r="G11" s="1814">
        <f>+'DG M&amp;A-SPA_POSN'!D11</f>
        <v>340.8</v>
      </c>
      <c r="H11" s="1815">
        <f>+E11*G11*1.1/1470</f>
        <v>280522.44897959189</v>
      </c>
      <c r="I11" s="1816">
        <f>+J11+M11+P11</f>
        <v>206184000</v>
      </c>
      <c r="J11" s="1816"/>
      <c r="K11" s="2438"/>
      <c r="L11" s="2077"/>
      <c r="M11" s="1881">
        <f>+O11</f>
        <v>206184000</v>
      </c>
      <c r="N11" s="1893">
        <f>+'DG M&amp;A-SPA_POSN'!AA11</f>
        <v>45960</v>
      </c>
      <c r="O11" s="1894">
        <f>+'DG M&amp;A-SPA_POSN'!AD11</f>
        <v>206184000</v>
      </c>
      <c r="P11" s="1818">
        <f>+R11</f>
        <v>0</v>
      </c>
      <c r="Q11" s="1885"/>
      <c r="R11" s="1816"/>
      <c r="S11" s="1817"/>
      <c r="T11" s="1819"/>
      <c r="U11" s="1817"/>
      <c r="V11" s="1816">
        <f>+'DG M&amp;A-SPA_POSN'!BM11</f>
        <v>206184000</v>
      </c>
      <c r="X11" s="1821" t="b">
        <f>+J11+M11+P11+V11=G11*E11*1.1</f>
        <v>1</v>
      </c>
      <c r="Y11" s="1822"/>
    </row>
    <row r="12" spans="2:25" ht="16.5" customHeight="1">
      <c r="B12" s="2436"/>
      <c r="C12" s="2436"/>
      <c r="D12" s="1859" t="s">
        <v>170</v>
      </c>
      <c r="E12" s="1823">
        <v>1100000</v>
      </c>
      <c r="F12" s="1823"/>
      <c r="G12" s="1824">
        <f>+'DG M&amp;A-SPA_POSN'!D17</f>
        <v>144.84</v>
      </c>
      <c r="H12" s="1825">
        <f t="shared" ref="H12:H14" si="0">+E12*G12*1.1/1470</f>
        <v>119222.04081632652</v>
      </c>
      <c r="I12" s="1818">
        <f>+J12+M12+P12</f>
        <v>87628200</v>
      </c>
      <c r="J12" s="1818"/>
      <c r="K12" s="2439"/>
      <c r="L12" s="2078"/>
      <c r="M12" s="1881">
        <f t="shared" ref="M12:M14" si="1">+O12</f>
        <v>87628200</v>
      </c>
      <c r="N12" s="1895">
        <f>+'DG M&amp;A-SPA_POSN'!AA17</f>
        <v>45960</v>
      </c>
      <c r="O12" s="1896">
        <f>+'DG M&amp;A-SPA_POSN'!AD17</f>
        <v>87628200</v>
      </c>
      <c r="P12" s="1818">
        <f t="shared" ref="P12:P14" si="2">+R12</f>
        <v>0</v>
      </c>
      <c r="Q12" s="1886"/>
      <c r="R12" s="1818"/>
      <c r="S12" s="1826"/>
      <c r="T12" s="1827"/>
      <c r="U12" s="1828"/>
      <c r="V12" s="1818">
        <f>+'DG M&amp;A-SPA_POSN'!BM17</f>
        <v>87628200</v>
      </c>
      <c r="X12" s="1871" t="b">
        <f t="shared" ref="X12:X14" si="3">+J12+M12+P12+V12=G12*E12*1.1</f>
        <v>1</v>
      </c>
      <c r="Y12" s="1822"/>
    </row>
    <row r="13" spans="2:25" ht="16.5" customHeight="1">
      <c r="B13" s="2436"/>
      <c r="C13" s="2436"/>
      <c r="D13" s="1859" t="s">
        <v>171</v>
      </c>
      <c r="E13" s="1823">
        <v>1100000</v>
      </c>
      <c r="F13" s="1823"/>
      <c r="G13" s="1824">
        <f>+'DG M&amp;A-SPA_POSN'!D23</f>
        <v>807.98</v>
      </c>
      <c r="H13" s="1825">
        <f t="shared" si="0"/>
        <v>665071.97278911574</v>
      </c>
      <c r="I13" s="1818">
        <f>+J13+M13+P13</f>
        <v>488827900</v>
      </c>
      <c r="J13" s="1818"/>
      <c r="K13" s="2439"/>
      <c r="L13" s="2078"/>
      <c r="M13" s="1881">
        <f t="shared" si="1"/>
        <v>488827900</v>
      </c>
      <c r="N13" s="1895">
        <f>+'DG M&amp;A-SPA_POSN'!AA23</f>
        <v>45960</v>
      </c>
      <c r="O13" s="1896">
        <f>+'DG M&amp;A-SPA_POSN'!AD23</f>
        <v>488827900</v>
      </c>
      <c r="P13" s="1818">
        <f t="shared" si="2"/>
        <v>0</v>
      </c>
      <c r="Q13" s="1886"/>
      <c r="R13" s="1818"/>
      <c r="S13" s="1826"/>
      <c r="T13" s="1827"/>
      <c r="U13" s="1828"/>
      <c r="V13" s="1818">
        <f>+'DG M&amp;A-SPA_POSN'!BM23</f>
        <v>488827900</v>
      </c>
      <c r="X13" s="1871" t="b">
        <f t="shared" si="3"/>
        <v>1</v>
      </c>
      <c r="Y13" s="1822"/>
    </row>
    <row r="14" spans="2:25" ht="16.5" customHeight="1">
      <c r="B14" s="2436"/>
      <c r="C14" s="2436"/>
      <c r="D14" s="1859" t="s">
        <v>172</v>
      </c>
      <c r="E14" s="1823">
        <v>1100000</v>
      </c>
      <c r="F14" s="1823"/>
      <c r="G14" s="1829">
        <f>+'DG M&amp;A-SPA_POSN'!D29</f>
        <v>249.92</v>
      </c>
      <c r="H14" s="1825">
        <f t="shared" si="0"/>
        <v>205716.46258503402</v>
      </c>
      <c r="I14" s="1818">
        <f>+J14+M14+P14</f>
        <v>151201600</v>
      </c>
      <c r="J14" s="1818"/>
      <c r="K14" s="2439"/>
      <c r="L14" s="2078"/>
      <c r="M14" s="1881">
        <f t="shared" si="1"/>
        <v>151201600</v>
      </c>
      <c r="N14" s="1895">
        <f>+'DG M&amp;A-SPA_POSN'!AA29</f>
        <v>45960</v>
      </c>
      <c r="O14" s="1897">
        <f>+'DG M&amp;A-SPA_POSN'!AD29</f>
        <v>151201600</v>
      </c>
      <c r="P14" s="1818">
        <f t="shared" si="2"/>
        <v>0</v>
      </c>
      <c r="Q14" s="1886"/>
      <c r="R14" s="1818"/>
      <c r="S14" s="1826"/>
      <c r="T14" s="1827"/>
      <c r="U14" s="1828"/>
      <c r="V14" s="1818">
        <f>+'DG M&amp;A-SPA_POSN'!BM29</f>
        <v>151201600</v>
      </c>
      <c r="X14" s="1871" t="b">
        <f t="shared" si="3"/>
        <v>1</v>
      </c>
      <c r="Y14" s="1822"/>
    </row>
    <row r="15" spans="2:25" ht="16.5" customHeight="1">
      <c r="B15" s="2436"/>
      <c r="C15" s="2436"/>
      <c r="D15" s="2440" t="s">
        <v>138</v>
      </c>
      <c r="E15" s="2440"/>
      <c r="F15" s="1954"/>
      <c r="G15" s="2442">
        <f>SUM(G11:G14)</f>
        <v>1543.54</v>
      </c>
      <c r="H15" s="2444">
        <f>SUM(H11:H14)</f>
        <v>1270532.9251700682</v>
      </c>
      <c r="I15" s="1837">
        <f>I16/1470</f>
        <v>635266.46258503397</v>
      </c>
      <c r="J15" s="1837">
        <f>J16/1470</f>
        <v>0</v>
      </c>
      <c r="K15" s="2439"/>
      <c r="L15" s="2078"/>
      <c r="M15" s="1882">
        <f>M16/1470</f>
        <v>635266.46258503397</v>
      </c>
      <c r="N15" s="1898"/>
      <c r="O15" s="1899">
        <f>O16/1470</f>
        <v>635266.46258503397</v>
      </c>
      <c r="P15" s="1838">
        <f>P16/1470</f>
        <v>0</v>
      </c>
      <c r="Q15" s="1887"/>
      <c r="R15" s="1838">
        <f>R16/1470</f>
        <v>0</v>
      </c>
      <c r="S15" s="1833"/>
      <c r="T15" s="1838">
        <f>T16/1470</f>
        <v>0</v>
      </c>
      <c r="U15" s="1835"/>
      <c r="V15" s="1838">
        <f>V16/1470</f>
        <v>635266.46258503397</v>
      </c>
      <c r="X15" s="1831"/>
      <c r="Y15" s="1822"/>
    </row>
    <row r="16" spans="2:25" ht="16.5" customHeight="1">
      <c r="B16" s="2436"/>
      <c r="C16" s="2437"/>
      <c r="D16" s="2441"/>
      <c r="E16" s="2441"/>
      <c r="F16" s="1955"/>
      <c r="G16" s="2443"/>
      <c r="H16" s="2445"/>
      <c r="I16" s="1839">
        <f>+SUM(I11:I14)</f>
        <v>933841700</v>
      </c>
      <c r="J16" s="1839">
        <f>+SUM(J11:J14)</f>
        <v>0</v>
      </c>
      <c r="K16" s="2439"/>
      <c r="L16" s="2078"/>
      <c r="M16" s="1883">
        <f>+SUM(M11:M14)</f>
        <v>933841700</v>
      </c>
      <c r="N16" s="1900"/>
      <c r="O16" s="1901">
        <f>+SUM(O11:O14)</f>
        <v>933841700</v>
      </c>
      <c r="P16" s="1839">
        <f>+SUM(P11:P14)</f>
        <v>0</v>
      </c>
      <c r="Q16" s="1888"/>
      <c r="R16" s="1839">
        <f>+SUM(R11:R14)</f>
        <v>0</v>
      </c>
      <c r="S16" s="1840"/>
      <c r="T16" s="1839">
        <f>+SUM(T11:T14)</f>
        <v>0</v>
      </c>
      <c r="U16" s="1841"/>
      <c r="V16" s="1839">
        <f>+SUM(V11:V14)</f>
        <v>933841700</v>
      </c>
      <c r="X16" s="1841"/>
      <c r="Y16" s="1822"/>
    </row>
    <row r="17" spans="2:26" ht="16.5" customHeight="1">
      <c r="B17" s="2436"/>
      <c r="C17" s="2435" t="s">
        <v>2459</v>
      </c>
      <c r="D17" s="1859" t="s">
        <v>2462</v>
      </c>
      <c r="E17" s="1813"/>
      <c r="F17" s="1813">
        <v>400000</v>
      </c>
      <c r="G17" s="1814">
        <f>+'DG M&amp;A-SPA_POSN'!D11</f>
        <v>340.8</v>
      </c>
      <c r="H17" s="1815">
        <f>+F17*G17/1470</f>
        <v>92734.693877551021</v>
      </c>
      <c r="I17" s="1816">
        <f>+J17+M17+P17</f>
        <v>122688000</v>
      </c>
      <c r="J17" s="1816">
        <f>+'DG M&amp;A-SPA_POSN'!Q12</f>
        <v>101606400</v>
      </c>
      <c r="K17" s="2438"/>
      <c r="L17" s="2078"/>
      <c r="M17" s="1881">
        <f t="shared" ref="M17:M20" si="4">+O17</f>
        <v>21081600</v>
      </c>
      <c r="N17" s="1893">
        <f>+'DG M&amp;A-SPA_POSN'!AA17</f>
        <v>45960</v>
      </c>
      <c r="O17" s="1894">
        <f>+'DG M&amp;A-SPA_POSN'!W12+'DG M&amp;A-SPA_POSN'!R12</f>
        <v>21081600</v>
      </c>
      <c r="P17" s="1818">
        <f t="shared" ref="P17:P20" si="5">+R17</f>
        <v>0</v>
      </c>
      <c r="Q17" s="1885"/>
      <c r="R17" s="1816"/>
      <c r="S17" s="1817"/>
      <c r="T17" s="1819"/>
      <c r="U17" s="1817"/>
      <c r="V17" s="1816">
        <f>+'DG M&amp;A-SPA_POSN'!BM12</f>
        <v>13632000</v>
      </c>
      <c r="X17" s="1821" t="b">
        <f>+J17+M17+P17+V17=G17*F17</f>
        <v>1</v>
      </c>
      <c r="Y17" s="1822"/>
    </row>
    <row r="18" spans="2:26" ht="16.5" customHeight="1">
      <c r="B18" s="2436"/>
      <c r="C18" s="2436"/>
      <c r="D18" s="1859" t="s">
        <v>170</v>
      </c>
      <c r="E18" s="1823"/>
      <c r="F18" s="1823">
        <v>400000</v>
      </c>
      <c r="G18" s="1824">
        <f>+'DG M&amp;A-SPA_POSN'!D17</f>
        <v>144.84</v>
      </c>
      <c r="H18" s="1825">
        <f>+F18*G18/1470</f>
        <v>39412.244897959186</v>
      </c>
      <c r="I18" s="1818">
        <f>+J18+M18+P18</f>
        <v>52142400</v>
      </c>
      <c r="J18" s="1818">
        <f>+'DG M&amp;A-SPA_POSN'!Q18</f>
        <v>39513600</v>
      </c>
      <c r="K18" s="2439"/>
      <c r="L18" s="2078"/>
      <c r="M18" s="1881">
        <f t="shared" si="4"/>
        <v>12628800</v>
      </c>
      <c r="N18" s="1895">
        <f>+'DG M&amp;A-SPA_POSN'!AA23</f>
        <v>45960</v>
      </c>
      <c r="O18" s="1896">
        <f>+'DG M&amp;A-SPA_POSN'!W18+'DG M&amp;A-SPA_POSN'!R18</f>
        <v>12628800</v>
      </c>
      <c r="P18" s="1818">
        <f t="shared" si="5"/>
        <v>0</v>
      </c>
      <c r="Q18" s="1886"/>
      <c r="R18" s="1818"/>
      <c r="S18" s="1826"/>
      <c r="T18" s="1827"/>
      <c r="U18" s="1828"/>
      <c r="V18" s="1818">
        <f>+'DG M&amp;A-SPA_POSN'!BM18</f>
        <v>5793600</v>
      </c>
      <c r="X18" s="1871" t="b">
        <f t="shared" ref="X18:X20" si="6">+J18+M18+P18+V18=G18*F18</f>
        <v>1</v>
      </c>
      <c r="Y18" s="1822"/>
    </row>
    <row r="19" spans="2:26" ht="16.5" customHeight="1">
      <c r="B19" s="2436"/>
      <c r="C19" s="2436"/>
      <c r="D19" s="1859" t="s">
        <v>171</v>
      </c>
      <c r="E19" s="1823"/>
      <c r="F19" s="1823">
        <v>400000</v>
      </c>
      <c r="G19" s="1824">
        <f>+'DG M&amp;A-SPA_POSN'!D23</f>
        <v>807.98</v>
      </c>
      <c r="H19" s="1825">
        <f t="shared" ref="H19:H20" si="7">+F19*G19/1470</f>
        <v>219858.50340136053</v>
      </c>
      <c r="I19" s="1818">
        <f>+J19+M19+P19</f>
        <v>290872800</v>
      </c>
      <c r="J19" s="1818">
        <f>+'DG M&amp;A-SPA_POSN'!Q24</f>
        <v>221382000</v>
      </c>
      <c r="K19" s="2439"/>
      <c r="L19" s="2078"/>
      <c r="M19" s="1881">
        <f t="shared" si="4"/>
        <v>69490800</v>
      </c>
      <c r="N19" s="1895">
        <f>+'DG M&amp;A-SPA_POSN'!AA29</f>
        <v>45960</v>
      </c>
      <c r="O19" s="1896">
        <f>+'DG M&amp;A-SPA_POSN'!W24+'DG M&amp;A-SPA_POSN'!R24</f>
        <v>69490800</v>
      </c>
      <c r="P19" s="1818">
        <f t="shared" si="5"/>
        <v>0</v>
      </c>
      <c r="Q19" s="1886"/>
      <c r="R19" s="1818"/>
      <c r="S19" s="1826"/>
      <c r="T19" s="1827"/>
      <c r="U19" s="1828"/>
      <c r="V19" s="1818">
        <f>+'DG M&amp;A-SPA_POSN'!BM24</f>
        <v>32319200</v>
      </c>
      <c r="X19" s="1871" t="b">
        <f t="shared" si="6"/>
        <v>1</v>
      </c>
      <c r="Y19" s="1822"/>
    </row>
    <row r="20" spans="2:26" ht="16.5" customHeight="1">
      <c r="B20" s="2436"/>
      <c r="C20" s="2436"/>
      <c r="D20" s="1859" t="s">
        <v>172</v>
      </c>
      <c r="E20" s="1823"/>
      <c r="F20" s="1823">
        <v>400000</v>
      </c>
      <c r="G20" s="1829">
        <f>+'DG M&amp;A-SPA_POSN'!D29</f>
        <v>249.92</v>
      </c>
      <c r="H20" s="1825">
        <f t="shared" si="7"/>
        <v>68005.442176870754</v>
      </c>
      <c r="I20" s="1818">
        <f>+J20+M20+P20</f>
        <v>89971200</v>
      </c>
      <c r="J20" s="1818">
        <f>+'DG M&amp;A-SPA_POSN'!Q30</f>
        <v>69678000</v>
      </c>
      <c r="K20" s="2439"/>
      <c r="L20" s="2078"/>
      <c r="M20" s="1881">
        <f t="shared" si="4"/>
        <v>20293200</v>
      </c>
      <c r="N20" s="1895">
        <f>+'DG M&amp;A-SPA_POSN'!AA35</f>
        <v>45950</v>
      </c>
      <c r="O20" s="1897">
        <f>+'DG M&amp;A-SPA_POSN'!W30+'DG M&amp;A-SPA_POSN'!R30</f>
        <v>20293200</v>
      </c>
      <c r="P20" s="1818">
        <f t="shared" si="5"/>
        <v>0</v>
      </c>
      <c r="Q20" s="1886"/>
      <c r="R20" s="1818"/>
      <c r="S20" s="1826"/>
      <c r="T20" s="1827"/>
      <c r="U20" s="1828"/>
      <c r="V20" s="1818">
        <f>+'DG M&amp;A-SPA_POSN'!BM30</f>
        <v>9996800</v>
      </c>
      <c r="X20" s="1871" t="b">
        <f t="shared" si="6"/>
        <v>1</v>
      </c>
      <c r="Y20" s="1822"/>
    </row>
    <row r="21" spans="2:26" ht="16.5" customHeight="1">
      <c r="B21" s="2436"/>
      <c r="C21" s="2436"/>
      <c r="D21" s="2440" t="s">
        <v>138</v>
      </c>
      <c r="E21" s="2440"/>
      <c r="F21" s="1954"/>
      <c r="G21" s="2442">
        <f>SUM(G17:G20)</f>
        <v>1543.54</v>
      </c>
      <c r="H21" s="2444">
        <f>SUM(H17:H20)</f>
        <v>420010.88435374154</v>
      </c>
      <c r="I21" s="1837">
        <f>I22/1470</f>
        <v>378009.79591836734</v>
      </c>
      <c r="J21" s="1837">
        <f>J22/1470</f>
        <v>294000</v>
      </c>
      <c r="K21" s="2439"/>
      <c r="L21" s="2078"/>
      <c r="M21" s="1882">
        <f>M22/1470</f>
        <v>84009.795918367352</v>
      </c>
      <c r="N21" s="1898"/>
      <c r="O21" s="1899">
        <f>O22/1470</f>
        <v>84009.795918367352</v>
      </c>
      <c r="P21" s="1838">
        <f>P22/1470</f>
        <v>0</v>
      </c>
      <c r="Q21" s="1887"/>
      <c r="R21" s="1838">
        <f>R22/1470</f>
        <v>0</v>
      </c>
      <c r="S21" s="1833"/>
      <c r="T21" s="1838">
        <f>T22/1470</f>
        <v>0</v>
      </c>
      <c r="U21" s="1835"/>
      <c r="V21" s="1838">
        <f>V22/1470</f>
        <v>42001.088435374149</v>
      </c>
      <c r="X21" s="1983"/>
      <c r="Y21" s="1822"/>
    </row>
    <row r="22" spans="2:26" ht="16.5" customHeight="1">
      <c r="B22" s="2437"/>
      <c r="C22" s="2437"/>
      <c r="D22" s="2441"/>
      <c r="E22" s="2441"/>
      <c r="F22" s="1955"/>
      <c r="G22" s="2443"/>
      <c r="H22" s="2445"/>
      <c r="I22" s="1839">
        <f>+SUM(I17:I20)</f>
        <v>555674400</v>
      </c>
      <c r="J22" s="1839">
        <f>+SUM(J17:J20)</f>
        <v>432180000</v>
      </c>
      <c r="K22" s="2439"/>
      <c r="L22" s="2079"/>
      <c r="M22" s="1883">
        <f>+SUM(M17:M20)</f>
        <v>123494400</v>
      </c>
      <c r="N22" s="1900"/>
      <c r="O22" s="1901">
        <f>+SUM(O17:O20)</f>
        <v>123494400</v>
      </c>
      <c r="P22" s="1839">
        <f>+SUM(P17:P20)</f>
        <v>0</v>
      </c>
      <c r="Q22" s="1888"/>
      <c r="R22" s="1839">
        <f>+SUM(R17:R20)</f>
        <v>0</v>
      </c>
      <c r="S22" s="1840"/>
      <c r="T22" s="1839">
        <f>+SUM(T17:T20)</f>
        <v>0</v>
      </c>
      <c r="U22" s="1841"/>
      <c r="V22" s="1839">
        <f>+SUM(V17:V20)</f>
        <v>61741600</v>
      </c>
      <c r="X22" s="1853"/>
      <c r="Y22" s="1822"/>
    </row>
    <row r="23" spans="2:26" ht="16.5" customHeight="1">
      <c r="B23" s="2455" t="s">
        <v>138</v>
      </c>
      <c r="C23" s="2456"/>
      <c r="D23" s="2456"/>
      <c r="E23" s="2457"/>
      <c r="F23" s="1952"/>
      <c r="G23" s="2458">
        <f>+G15</f>
        <v>1543.54</v>
      </c>
      <c r="H23" s="2459">
        <f>+H15+H21</f>
        <v>1690543.8095238097</v>
      </c>
      <c r="I23" s="1925">
        <f>I24/1470</f>
        <v>1013276.2585034013</v>
      </c>
      <c r="J23" s="1925">
        <f t="shared" ref="J23:V23" si="8">J24/1470</f>
        <v>294000</v>
      </c>
      <c r="K23" s="1925">
        <f t="shared" si="8"/>
        <v>3489.8435374149658</v>
      </c>
      <c r="L23" s="1930">
        <f t="shared" si="8"/>
        <v>841509.91360544215</v>
      </c>
      <c r="M23" s="1926">
        <f t="shared" si="8"/>
        <v>719276.2585034013</v>
      </c>
      <c r="N23" s="1927"/>
      <c r="O23" s="1928">
        <f t="shared" si="8"/>
        <v>719276.2585034013</v>
      </c>
      <c r="P23" s="1930">
        <f>P24/1470</f>
        <v>0</v>
      </c>
      <c r="Q23" s="1929"/>
      <c r="R23" s="1930">
        <f t="shared" si="8"/>
        <v>0</v>
      </c>
      <c r="S23" s="1925"/>
      <c r="T23" s="1930">
        <f t="shared" si="8"/>
        <v>0</v>
      </c>
      <c r="U23" s="1925"/>
      <c r="V23" s="1930">
        <f t="shared" si="8"/>
        <v>677267.55102040817</v>
      </c>
      <c r="X23" s="1870"/>
      <c r="Y23" s="1822"/>
    </row>
    <row r="24" spans="2:26" ht="16.5" customHeight="1" thickBot="1">
      <c r="B24" s="2426"/>
      <c r="C24" s="2427"/>
      <c r="D24" s="2427"/>
      <c r="E24" s="2428"/>
      <c r="F24" s="1953"/>
      <c r="G24" s="2430"/>
      <c r="H24" s="2398"/>
      <c r="I24" s="1868">
        <f>+I16+I22</f>
        <v>1489516100</v>
      </c>
      <c r="J24" s="1868">
        <f>+J16+J22</f>
        <v>432180000</v>
      </c>
      <c r="K24" s="1868">
        <v>5130070</v>
      </c>
      <c r="L24" s="2080">
        <f>+D33+M22-K24</f>
        <v>1237019573</v>
      </c>
      <c r="M24" s="1884">
        <f>+M16+M22</f>
        <v>1057336100</v>
      </c>
      <c r="N24" s="1904"/>
      <c r="O24" s="1905">
        <f>+O16+O22</f>
        <v>1057336100</v>
      </c>
      <c r="P24" s="1868">
        <f>+P16</f>
        <v>0</v>
      </c>
      <c r="Q24" s="1890"/>
      <c r="R24" s="1868">
        <f>+R16</f>
        <v>0</v>
      </c>
      <c r="S24" s="1868"/>
      <c r="T24" s="1868">
        <f>+T16</f>
        <v>0</v>
      </c>
      <c r="U24" s="1868"/>
      <c r="V24" s="1868">
        <f>+V16+V22</f>
        <v>995583300</v>
      </c>
      <c r="X24" s="1870"/>
      <c r="Y24" s="1822"/>
    </row>
    <row r="25" spans="2:26" ht="16.5" customHeight="1">
      <c r="G25" s="1809"/>
      <c r="H25" s="1809"/>
      <c r="K25" s="1822"/>
      <c r="L25" s="1822"/>
      <c r="N25" s="1809"/>
      <c r="Q25" s="1809"/>
      <c r="U25" s="1809"/>
    </row>
    <row r="26" spans="2:26" ht="16.5" customHeight="1">
      <c r="B26" s="1931" t="s">
        <v>2499</v>
      </c>
      <c r="G26" s="1809"/>
      <c r="H26" s="1809"/>
      <c r="I26" s="1822"/>
      <c r="J26" s="1822"/>
      <c r="K26" s="1911"/>
      <c r="L26" s="1911"/>
      <c r="N26" s="1809"/>
      <c r="P26" s="2162">
        <f>+G19</f>
        <v>807.98</v>
      </c>
      <c r="Q26" s="1809"/>
      <c r="R26" s="1810"/>
      <c r="S26" s="1809"/>
      <c r="U26" s="1809"/>
    </row>
    <row r="27" spans="2:26" ht="32.25" customHeight="1">
      <c r="B27" s="1935" t="s">
        <v>2468</v>
      </c>
      <c r="C27" s="1935" t="s">
        <v>2464</v>
      </c>
      <c r="D27" s="2453">
        <v>45931</v>
      </c>
      <c r="E27" s="2454"/>
      <c r="F27" s="2453">
        <v>46022</v>
      </c>
      <c r="G27" s="2454"/>
      <c r="H27" s="2447" t="s">
        <v>2467</v>
      </c>
      <c r="I27" s="2448"/>
      <c r="K27" s="1822">
        <v>818246865</v>
      </c>
      <c r="L27" s="1822"/>
      <c r="M27" s="1822"/>
      <c r="N27" s="1912"/>
      <c r="P27" s="1822"/>
      <c r="Q27" s="1809"/>
      <c r="R27" s="1822"/>
      <c r="S27" s="1809"/>
      <c r="T27" s="1810"/>
      <c r="U27" s="1822"/>
      <c r="W27" s="1822"/>
      <c r="X27" s="1822"/>
      <c r="Y27" s="1822"/>
      <c r="Z27" s="1822"/>
    </row>
    <row r="28" spans="2:26" ht="32.25" customHeight="1">
      <c r="B28" s="2152" t="s">
        <v>2465</v>
      </c>
      <c r="C28" s="2151">
        <f>+H15*1470</f>
        <v>1867683400.0000002</v>
      </c>
      <c r="D28" s="2151">
        <f>+C28*50%</f>
        <v>933841700.00000012</v>
      </c>
      <c r="E28" s="2149">
        <f>+D28/1470</f>
        <v>635266.46258503408</v>
      </c>
      <c r="F28" s="1932">
        <f>+C28*50%</f>
        <v>933841700.00000012</v>
      </c>
      <c r="G28" s="1936">
        <f>+F28/1470</f>
        <v>635266.46258503408</v>
      </c>
      <c r="H28" s="2449"/>
      <c r="I28" s="2450"/>
      <c r="J28" s="1859">
        <f>+G11/$G$15</f>
        <v>0.22079116835326587</v>
      </c>
      <c r="K28" s="1822">
        <f>+J28*$K$27</f>
        <v>180661681.32474703</v>
      </c>
      <c r="L28" s="2153" t="s">
        <v>2543</v>
      </c>
      <c r="M28" s="1856"/>
      <c r="N28" s="1912"/>
      <c r="P28" s="1822"/>
      <c r="Q28" s="1809"/>
      <c r="S28" s="1809"/>
      <c r="T28" s="1810"/>
      <c r="U28" s="1809"/>
      <c r="W28" s="1822"/>
      <c r="X28" s="1822"/>
      <c r="Y28" s="1822"/>
      <c r="Z28" s="1822"/>
    </row>
    <row r="29" spans="2:26" ht="32.25" customHeight="1">
      <c r="B29" s="2040" t="s">
        <v>2500</v>
      </c>
      <c r="C29" s="1932">
        <v>-46492230</v>
      </c>
      <c r="D29" s="1933">
        <f>+C29*100%</f>
        <v>-46492230</v>
      </c>
      <c r="E29" s="1936">
        <f t="shared" ref="E29:G32" si="9">+D29/1470</f>
        <v>-31627.367346938776</v>
      </c>
      <c r="F29" s="1933"/>
      <c r="G29" s="1936">
        <f t="shared" si="9"/>
        <v>0</v>
      </c>
      <c r="H29" s="2451" t="s">
        <v>2501</v>
      </c>
      <c r="I29" s="2451"/>
      <c r="J29" s="1859">
        <f t="shared" ref="J29:J31" si="10">+G12/$G$15</f>
        <v>9.3836246550138003E-2</v>
      </c>
      <c r="K29" s="1822">
        <f t="shared" ref="K29:K31" si="11">+J29*$K$27</f>
        <v>76781214.563017488</v>
      </c>
      <c r="L29" s="2153" t="s">
        <v>2544</v>
      </c>
      <c r="M29" s="1856"/>
      <c r="N29" s="1809"/>
      <c r="P29" s="1857"/>
      <c r="Q29" s="1809"/>
      <c r="S29" s="1809"/>
      <c r="T29" s="1810"/>
      <c r="U29" s="1809"/>
    </row>
    <row r="30" spans="2:26" ht="32.25" customHeight="1">
      <c r="B30" s="2150" t="s">
        <v>2503</v>
      </c>
      <c r="C30" s="2151">
        <v>44000000</v>
      </c>
      <c r="D30" s="2151">
        <f>+C30</f>
        <v>44000000</v>
      </c>
      <c r="E30" s="2149">
        <f t="shared" si="9"/>
        <v>29931.972789115647</v>
      </c>
      <c r="F30" s="1932"/>
      <c r="G30" s="1936">
        <f t="shared" si="9"/>
        <v>0</v>
      </c>
      <c r="H30" s="2452" t="s">
        <v>2502</v>
      </c>
      <c r="I30" s="2452"/>
      <c r="J30" s="1859">
        <f t="shared" si="10"/>
        <v>0.52345906163753453</v>
      </c>
      <c r="K30" s="1822">
        <f t="shared" si="11"/>
        <v>428318736.1407544</v>
      </c>
      <c r="L30" s="2153" t="s">
        <v>2545</v>
      </c>
      <c r="M30" s="2153" t="s">
        <v>2545</v>
      </c>
      <c r="N30" s="1809"/>
      <c r="Q30" s="1809"/>
      <c r="S30" s="1809"/>
      <c r="T30" s="1810"/>
      <c r="U30" s="1809"/>
    </row>
    <row r="31" spans="2:26" ht="32.25" customHeight="1">
      <c r="B31" s="2040" t="s">
        <v>2505</v>
      </c>
      <c r="C31" s="1932">
        <v>182895773</v>
      </c>
      <c r="D31" s="1932">
        <f>+C31</f>
        <v>182895773</v>
      </c>
      <c r="E31" s="1936">
        <f t="shared" si="9"/>
        <v>124418.89319727891</v>
      </c>
      <c r="F31" s="1932"/>
      <c r="G31" s="1936">
        <f t="shared" si="9"/>
        <v>0</v>
      </c>
      <c r="H31" s="2446" t="s">
        <v>2504</v>
      </c>
      <c r="I31" s="2446"/>
      <c r="J31" s="1859">
        <f t="shared" si="10"/>
        <v>0.16191352345906163</v>
      </c>
      <c r="K31" s="1822">
        <f t="shared" si="11"/>
        <v>132485232.97148113</v>
      </c>
      <c r="L31" s="2153" t="s">
        <v>2546</v>
      </c>
      <c r="M31" s="1809" t="s">
        <v>2548</v>
      </c>
      <c r="N31" s="1809"/>
      <c r="Q31" s="1809"/>
      <c r="S31" s="1809"/>
      <c r="T31" s="1810"/>
      <c r="U31" s="1809"/>
    </row>
    <row r="32" spans="2:26" ht="32.25" customHeight="1">
      <c r="B32" s="2150" t="s">
        <v>2487</v>
      </c>
      <c r="C32" s="2151">
        <v>4410000</v>
      </c>
      <c r="D32" s="2151">
        <f>+C32</f>
        <v>4410000</v>
      </c>
      <c r="E32" s="2149">
        <f>+D32/1470</f>
        <v>3000</v>
      </c>
      <c r="F32" s="1932"/>
      <c r="G32" s="1936">
        <f t="shared" si="9"/>
        <v>0</v>
      </c>
      <c r="H32" s="2433"/>
      <c r="I32" s="2434"/>
      <c r="K32" s="1822"/>
      <c r="L32" s="1822" t="s">
        <v>2547</v>
      </c>
      <c r="M32" s="1911" t="s">
        <v>2549</v>
      </c>
      <c r="N32" s="1809"/>
      <c r="Q32" s="1809"/>
      <c r="S32" s="1809"/>
      <c r="T32" s="1810"/>
      <c r="U32" s="1809"/>
    </row>
    <row r="33" spans="2:26" ht="32.25" customHeight="1">
      <c r="B33" s="2046" t="s">
        <v>130</v>
      </c>
      <c r="C33" s="1932">
        <f>+SUM(C28:C32)</f>
        <v>2052496943.0000002</v>
      </c>
      <c r="D33" s="1934">
        <f>+SUM(D28:D32)</f>
        <v>1118655243</v>
      </c>
      <c r="E33" s="1984">
        <f>+SUM(E28:E32)</f>
        <v>760989.96122448985</v>
      </c>
      <c r="F33" s="1934">
        <f>+SUM(F28:F32)</f>
        <v>933841700.00000012</v>
      </c>
      <c r="G33" s="1984">
        <f>+SUM(G28:G32)</f>
        <v>635266.46258503408</v>
      </c>
      <c r="H33" s="2433"/>
      <c r="I33" s="2434"/>
      <c r="K33" s="1822"/>
      <c r="L33" s="1822"/>
      <c r="N33" s="1809"/>
      <c r="O33" s="1810"/>
      <c r="S33" s="1809"/>
      <c r="T33" s="1810"/>
      <c r="U33" s="1809"/>
      <c r="V33" s="1810"/>
    </row>
    <row r="34" spans="2:26" ht="16.5" customHeight="1">
      <c r="C34" s="1912"/>
      <c r="D34" s="1985" t="s">
        <v>130</v>
      </c>
      <c r="E34" s="1984">
        <f>+E33+G33</f>
        <v>1396256.4238095239</v>
      </c>
      <c r="F34" s="2037">
        <f>1300464.9+124418.89+3000</f>
        <v>1427883.7899999998</v>
      </c>
      <c r="G34" s="2038">
        <f>1300464.9+124418.89</f>
        <v>1424883.7899999998</v>
      </c>
      <c r="H34" s="1809"/>
      <c r="I34" s="1987"/>
      <c r="M34" s="1810"/>
      <c r="N34" s="1809"/>
      <c r="O34" s="1810"/>
      <c r="Q34" s="1809"/>
      <c r="R34" s="1810"/>
      <c r="S34" s="1809"/>
      <c r="T34" s="1810"/>
      <c r="U34" s="1809"/>
    </row>
    <row r="35" spans="2:26" ht="16.5" customHeight="1">
      <c r="B35" s="2045"/>
      <c r="C35" s="2137"/>
      <c r="D35" s="2138"/>
      <c r="E35" s="2136"/>
      <c r="F35" s="2136"/>
      <c r="G35" s="2136"/>
      <c r="H35" s="2041"/>
      <c r="I35" s="2042" t="e">
        <f>+F35/H35</f>
        <v>#DIV/0!</v>
      </c>
      <c r="J35" s="2039"/>
      <c r="K35" s="2039"/>
      <c r="L35" s="2039"/>
      <c r="M35" s="1810"/>
      <c r="N35" s="1809"/>
      <c r="O35" s="1810"/>
      <c r="Q35" s="1809"/>
      <c r="R35" s="1810"/>
      <c r="S35" s="1809"/>
      <c r="T35" s="1810"/>
      <c r="U35" s="1809"/>
    </row>
    <row r="36" spans="2:26" ht="16.5">
      <c r="B36" s="2156" t="s">
        <v>2550</v>
      </c>
      <c r="C36" s="2155"/>
      <c r="D36" s="2155"/>
      <c r="E36" s="1986">
        <f>+E37/F37</f>
        <v>0.73113248652654472</v>
      </c>
      <c r="F36" s="2159">
        <f>+E37+220000000</f>
        <v>818246865</v>
      </c>
      <c r="G36" s="2135"/>
      <c r="H36" s="2044"/>
      <c r="I36" s="2043"/>
      <c r="J36" s="2039"/>
      <c r="K36" s="2039"/>
      <c r="L36" s="2039"/>
      <c r="M36" s="1810"/>
      <c r="N36" s="1809"/>
      <c r="O36" s="1810"/>
      <c r="Q36" s="1809"/>
      <c r="R36" s="1810"/>
      <c r="S36" s="1809"/>
      <c r="T36" s="1810"/>
      <c r="U36" s="1809"/>
    </row>
    <row r="37" spans="2:26" ht="16.5" customHeight="1">
      <c r="B37" s="2154">
        <v>45975</v>
      </c>
      <c r="C37" s="2157" t="s">
        <v>2551</v>
      </c>
      <c r="E37" s="1912">
        <v>598246865</v>
      </c>
      <c r="F37" s="2137">
        <v>818246865</v>
      </c>
      <c r="G37" s="2137"/>
      <c r="H37" s="2137"/>
      <c r="I37" s="2158"/>
      <c r="M37" s="1810"/>
      <c r="N37" s="1809"/>
      <c r="O37" s="1810"/>
      <c r="Q37" s="1809"/>
      <c r="R37" s="1810"/>
      <c r="S37" s="1809"/>
      <c r="T37" s="1810"/>
      <c r="U37" s="1809"/>
    </row>
    <row r="38" spans="2:26" ht="16.5" hidden="1" customHeight="1">
      <c r="B38" s="1931" t="s">
        <v>2488</v>
      </c>
      <c r="C38" s="2137"/>
      <c r="E38" s="2138"/>
      <c r="F38" s="2137"/>
      <c r="G38" s="2139"/>
      <c r="H38" s="2140"/>
      <c r="M38" s="1810"/>
      <c r="N38" s="1809"/>
      <c r="O38" s="1810"/>
      <c r="Q38" s="1809"/>
      <c r="R38" s="1810"/>
      <c r="S38" s="1809"/>
      <c r="T38" s="1810"/>
      <c r="U38" s="1809"/>
    </row>
    <row r="39" spans="2:26" ht="16.5" hidden="1" customHeight="1">
      <c r="B39" s="1988" t="s">
        <v>2489</v>
      </c>
      <c r="C39" s="2141"/>
      <c r="E39" s="2141"/>
      <c r="F39" s="2137"/>
      <c r="G39" s="2139"/>
      <c r="H39" s="2140"/>
      <c r="I39" s="1912"/>
      <c r="M39" s="1810"/>
      <c r="N39" s="1809"/>
      <c r="O39" s="1810"/>
      <c r="Q39" s="1809"/>
      <c r="R39" s="1810"/>
      <c r="S39" s="1809"/>
      <c r="T39" s="1810"/>
      <c r="U39" s="1809"/>
    </row>
    <row r="40" spans="2:26" ht="16.5" hidden="1" customHeight="1">
      <c r="B40" s="1990" t="s">
        <v>2490</v>
      </c>
      <c r="C40" s="2142"/>
      <c r="E40" s="2143"/>
      <c r="F40" s="2137"/>
      <c r="G40" s="2139"/>
      <c r="H40" s="2140"/>
      <c r="I40" s="1912"/>
      <c r="M40" s="1810"/>
      <c r="N40" s="1809"/>
      <c r="O40" s="1810"/>
      <c r="Q40" s="1809"/>
      <c r="R40" s="1810"/>
      <c r="S40" s="1809"/>
      <c r="T40" s="1810"/>
      <c r="U40" s="1809"/>
    </row>
    <row r="41" spans="2:26" s="1810" customFormat="1" ht="16.5" hidden="1" customHeight="1">
      <c r="B41" s="1990" t="s">
        <v>2491</v>
      </c>
      <c r="C41" s="2144"/>
      <c r="E41" s="2143"/>
      <c r="F41" s="2137"/>
      <c r="G41" s="2140"/>
      <c r="H41" s="2140"/>
      <c r="I41" s="1912"/>
      <c r="J41" s="1809"/>
      <c r="K41" s="1809"/>
      <c r="L41" s="1809"/>
      <c r="N41" s="1809"/>
      <c r="P41" s="1809"/>
      <c r="Q41" s="1809"/>
      <c r="S41" s="1809"/>
      <c r="U41" s="1809"/>
      <c r="V41" s="1809"/>
      <c r="W41" s="1809"/>
      <c r="X41" s="1809"/>
      <c r="Y41" s="1809"/>
      <c r="Z41" s="1809"/>
    </row>
    <row r="42" spans="2:26" s="1810" customFormat="1" ht="16.5" hidden="1" customHeight="1">
      <c r="B42" s="1990" t="s">
        <v>2492</v>
      </c>
      <c r="C42" s="2144"/>
      <c r="E42" s="2143"/>
      <c r="F42" s="2137"/>
      <c r="G42" s="2140"/>
      <c r="H42" s="2140"/>
      <c r="I42" s="1809"/>
      <c r="J42" s="1809"/>
      <c r="K42" s="1809"/>
      <c r="L42" s="1809"/>
      <c r="N42" s="1809"/>
      <c r="P42" s="1809"/>
      <c r="Q42" s="1809"/>
      <c r="S42" s="1809"/>
      <c r="U42" s="1809"/>
      <c r="V42" s="1809"/>
      <c r="W42" s="1809"/>
      <c r="X42" s="1809"/>
      <c r="Y42" s="1809"/>
      <c r="Z42" s="1809"/>
    </row>
    <row r="43" spans="2:26" s="1810" customFormat="1" ht="16.5" hidden="1" customHeight="1">
      <c r="B43" s="1990" t="s">
        <v>2447</v>
      </c>
      <c r="C43" s="2144"/>
      <c r="E43" s="2143"/>
      <c r="F43" s="2137"/>
      <c r="G43" s="2140"/>
      <c r="H43" s="2140"/>
      <c r="I43" s="1809"/>
      <c r="J43" s="1809"/>
      <c r="K43" s="1809"/>
      <c r="L43" s="1809"/>
      <c r="N43" s="1809"/>
      <c r="P43" s="1809"/>
      <c r="Q43" s="1809"/>
      <c r="S43" s="1809"/>
      <c r="U43" s="1809"/>
      <c r="V43" s="1809"/>
      <c r="W43" s="1809"/>
      <c r="X43" s="1809"/>
      <c r="Y43" s="1809"/>
      <c r="Z43" s="1809"/>
    </row>
    <row r="44" spans="2:26" s="1810" customFormat="1" ht="16.5" hidden="1" customHeight="1">
      <c r="B44" s="1990" t="s">
        <v>2493</v>
      </c>
      <c r="C44" s="2145"/>
      <c r="E44" s="2146"/>
      <c r="F44" s="2137"/>
      <c r="G44" s="2140"/>
      <c r="H44" s="2140"/>
      <c r="I44" s="1809"/>
      <c r="J44" s="1809"/>
      <c r="K44" s="1809"/>
      <c r="L44" s="1809"/>
      <c r="N44" s="1809"/>
      <c r="P44" s="1809"/>
      <c r="Q44" s="1809"/>
      <c r="S44" s="1809"/>
      <c r="U44" s="1809"/>
      <c r="V44" s="1809"/>
      <c r="W44" s="1809"/>
      <c r="X44" s="1809"/>
      <c r="Y44" s="1809"/>
      <c r="Z44" s="1809"/>
    </row>
    <row r="45" spans="2:26" s="1810" customFormat="1" ht="16.5" hidden="1" customHeight="1">
      <c r="C45" s="2139"/>
      <c r="E45" s="2147"/>
      <c r="F45" s="2139"/>
      <c r="G45" s="2140"/>
      <c r="H45" s="2140"/>
      <c r="I45" s="1809"/>
      <c r="J45" s="1809"/>
      <c r="K45" s="1809"/>
      <c r="L45" s="1809"/>
      <c r="N45" s="1809"/>
      <c r="P45" s="1809"/>
      <c r="Q45" s="1809"/>
      <c r="S45" s="1809"/>
      <c r="U45" s="1809"/>
      <c r="V45" s="1809"/>
      <c r="W45" s="1809"/>
      <c r="X45" s="1809"/>
      <c r="Y45" s="1809"/>
      <c r="Z45" s="1809"/>
    </row>
    <row r="46" spans="2:26" s="1810" customFormat="1" ht="16.5" hidden="1" customHeight="1">
      <c r="B46" s="1989" t="s">
        <v>2494</v>
      </c>
      <c r="C46" s="2141"/>
      <c r="E46" s="2141"/>
      <c r="F46" s="2139"/>
      <c r="G46" s="2140"/>
      <c r="H46" s="2140"/>
      <c r="I46" s="1809"/>
      <c r="J46" s="1809"/>
      <c r="K46" s="1809"/>
      <c r="L46" s="1809"/>
      <c r="N46" s="1809"/>
      <c r="P46" s="1809"/>
      <c r="Q46" s="1809"/>
      <c r="S46" s="1809"/>
      <c r="U46" s="1809"/>
      <c r="V46" s="1809"/>
      <c r="W46" s="1809"/>
      <c r="X46" s="1809"/>
      <c r="Y46" s="1809"/>
      <c r="Z46" s="1809"/>
    </row>
    <row r="47" spans="2:26" ht="13.5" hidden="1">
      <c r="B47" s="1990" t="s">
        <v>2492</v>
      </c>
      <c r="C47" s="2142"/>
      <c r="E47" s="2143"/>
      <c r="F47" s="2139"/>
      <c r="G47" s="2140"/>
      <c r="H47" s="2140"/>
      <c r="M47" s="1810"/>
      <c r="N47" s="1809"/>
      <c r="O47" s="1810"/>
      <c r="Q47" s="1809"/>
      <c r="R47" s="1810"/>
      <c r="S47" s="1809"/>
      <c r="T47" s="1810"/>
      <c r="U47" s="1809"/>
    </row>
    <row r="48" spans="2:26" ht="13.5" hidden="1">
      <c r="B48" s="1990" t="s">
        <v>2466</v>
      </c>
      <c r="C48" s="2142"/>
      <c r="E48" s="2143"/>
      <c r="F48" s="2139"/>
      <c r="G48" s="2140"/>
      <c r="H48" s="2140"/>
      <c r="M48" s="1810"/>
      <c r="N48" s="1809"/>
      <c r="O48" s="1810"/>
      <c r="Q48" s="1809"/>
      <c r="R48" s="1810"/>
      <c r="S48" s="1809"/>
      <c r="T48" s="1810"/>
      <c r="U48" s="1809"/>
    </row>
    <row r="49" spans="2:21" ht="13.5" hidden="1">
      <c r="B49" s="1990" t="s">
        <v>2447</v>
      </c>
      <c r="C49" s="2145"/>
      <c r="E49" s="2143"/>
      <c r="F49" s="2139"/>
      <c r="G49" s="2140"/>
      <c r="H49" s="2140"/>
      <c r="M49" s="1810"/>
      <c r="N49" s="1809"/>
      <c r="O49" s="1810"/>
      <c r="Q49" s="1809"/>
      <c r="R49" s="1810"/>
      <c r="S49" s="1809"/>
      <c r="T49" s="1810"/>
      <c r="U49" s="1809"/>
    </row>
    <row r="50" spans="2:21" hidden="1">
      <c r="C50" s="2139"/>
      <c r="E50" s="2139"/>
      <c r="F50" s="2139"/>
      <c r="G50" s="2140"/>
      <c r="H50" s="2140"/>
      <c r="M50" s="1810"/>
      <c r="N50" s="1809"/>
      <c r="O50" s="1810"/>
      <c r="Q50" s="1809"/>
      <c r="R50" s="1810"/>
      <c r="S50" s="1809"/>
      <c r="T50" s="1810"/>
      <c r="U50" s="1809"/>
    </row>
    <row r="51" spans="2:21" ht="13.5" hidden="1">
      <c r="B51" s="1989" t="s">
        <v>2495</v>
      </c>
      <c r="C51" s="2141"/>
      <c r="E51" s="2141"/>
      <c r="F51" s="2139"/>
      <c r="G51" s="2140"/>
      <c r="H51" s="2140"/>
      <c r="M51" s="1810"/>
      <c r="N51" s="1809"/>
      <c r="O51" s="1810"/>
      <c r="Q51" s="1809"/>
      <c r="R51" s="1810"/>
      <c r="S51" s="1809"/>
      <c r="T51" s="1810"/>
      <c r="U51" s="1809"/>
    </row>
    <row r="52" spans="2:21" ht="13.5" hidden="1">
      <c r="B52" s="1990" t="s">
        <v>2486</v>
      </c>
      <c r="C52" s="2142"/>
      <c r="E52" s="2143"/>
      <c r="F52" s="2139"/>
      <c r="G52" s="2140"/>
      <c r="H52" s="2140"/>
      <c r="M52" s="1810"/>
      <c r="N52" s="1809"/>
      <c r="O52" s="1810"/>
      <c r="Q52" s="1809"/>
      <c r="R52" s="1810"/>
      <c r="S52" s="1809"/>
      <c r="T52" s="1810"/>
      <c r="U52" s="1809"/>
    </row>
    <row r="53" spans="2:21" ht="13.5" hidden="1">
      <c r="B53" s="1990" t="s">
        <v>2496</v>
      </c>
      <c r="C53" s="2142"/>
      <c r="E53" s="2143"/>
      <c r="F53" s="2139"/>
      <c r="G53" s="2140"/>
      <c r="H53" s="2140"/>
      <c r="M53" s="1810"/>
      <c r="N53" s="1809"/>
      <c r="O53" s="1810"/>
      <c r="Q53" s="1809"/>
      <c r="R53" s="1810"/>
      <c r="S53" s="1809"/>
      <c r="T53" s="1810"/>
      <c r="U53" s="1809"/>
    </row>
    <row r="54" spans="2:21" ht="13.5" hidden="1">
      <c r="B54" s="1990" t="s">
        <v>2447</v>
      </c>
      <c r="C54" s="2145"/>
      <c r="E54" s="2143"/>
      <c r="F54" s="2139"/>
      <c r="G54" s="2140"/>
      <c r="H54" s="2140"/>
      <c r="M54" s="1810"/>
      <c r="N54" s="1809"/>
      <c r="O54" s="1810"/>
      <c r="Q54" s="1809"/>
      <c r="R54" s="1810"/>
      <c r="S54" s="1809"/>
      <c r="T54" s="1810"/>
      <c r="U54" s="1809"/>
    </row>
    <row r="55" spans="2:21" hidden="1">
      <c r="C55" s="2139"/>
      <c r="E55" s="2139"/>
      <c r="F55" s="2139"/>
      <c r="G55" s="2140"/>
      <c r="H55" s="2140"/>
      <c r="M55" s="1810"/>
      <c r="N55" s="1809"/>
      <c r="O55" s="1810"/>
      <c r="Q55" s="1809"/>
      <c r="R55" s="1810"/>
      <c r="S55" s="1809"/>
      <c r="T55" s="1810"/>
      <c r="U55" s="1809"/>
    </row>
    <row r="56" spans="2:21" ht="13.5" hidden="1">
      <c r="C56" s="2148"/>
      <c r="E56" s="2139"/>
      <c r="F56" s="2139"/>
      <c r="G56" s="2140"/>
      <c r="H56" s="2140"/>
      <c r="M56" s="1810"/>
      <c r="N56" s="1809"/>
      <c r="O56" s="1810"/>
      <c r="Q56" s="1809"/>
      <c r="R56" s="1810"/>
      <c r="S56" s="1809"/>
      <c r="T56" s="1810"/>
      <c r="U56" s="1809"/>
    </row>
    <row r="57" spans="2:21" hidden="1">
      <c r="C57" s="2139"/>
      <c r="E57" s="2139"/>
      <c r="F57" s="2139"/>
      <c r="G57" s="2140"/>
      <c r="H57" s="2140"/>
      <c r="M57" s="1810"/>
      <c r="N57" s="1809"/>
      <c r="O57" s="1810"/>
      <c r="Q57" s="1809"/>
      <c r="R57" s="1810"/>
      <c r="S57" s="1809"/>
      <c r="T57" s="1810"/>
      <c r="U57" s="1809"/>
    </row>
    <row r="58" spans="2:21" hidden="1">
      <c r="C58" s="2147"/>
      <c r="E58" s="2139"/>
      <c r="F58" s="2139"/>
      <c r="G58" s="2140"/>
      <c r="H58" s="2140"/>
      <c r="M58" s="1810"/>
      <c r="N58" s="1809"/>
      <c r="O58" s="1810"/>
      <c r="Q58" s="1809"/>
      <c r="R58" s="1810"/>
      <c r="S58" s="1809"/>
      <c r="T58" s="1810"/>
      <c r="U58" s="1809"/>
    </row>
    <row r="59" spans="2:21" hidden="1">
      <c r="C59" s="2147"/>
      <c r="E59" s="2139"/>
      <c r="F59" s="2139"/>
      <c r="G59" s="2140"/>
      <c r="H59" s="2140"/>
      <c r="M59" s="1810"/>
      <c r="N59" s="1809"/>
      <c r="O59" s="1810"/>
      <c r="Q59" s="1809"/>
      <c r="R59" s="1810"/>
      <c r="S59" s="1809"/>
      <c r="T59" s="1810"/>
      <c r="U59" s="1809"/>
    </row>
    <row r="60" spans="2:21" hidden="1">
      <c r="C60" s="2139"/>
      <c r="E60" s="2139"/>
      <c r="F60" s="2139"/>
      <c r="G60" s="2140"/>
      <c r="H60" s="2140"/>
      <c r="M60" s="1810"/>
      <c r="N60" s="1809"/>
      <c r="O60" s="1810"/>
      <c r="Q60" s="1809"/>
      <c r="R60" s="1810"/>
      <c r="S60" s="1809"/>
      <c r="T60" s="1810"/>
      <c r="U60" s="1809"/>
    </row>
    <row r="61" spans="2:21" ht="13.5">
      <c r="C61" s="2139" t="s">
        <v>2553</v>
      </c>
      <c r="E61" s="2137">
        <v>8382528</v>
      </c>
      <c r="F61" s="2139"/>
      <c r="G61" s="2140"/>
      <c r="H61" s="2140"/>
      <c r="M61" s="1810"/>
      <c r="N61" s="1809"/>
      <c r="O61" s="1810"/>
      <c r="Q61" s="1809"/>
      <c r="R61" s="1810"/>
      <c r="S61" s="1809"/>
      <c r="T61" s="1810"/>
      <c r="U61" s="1809"/>
    </row>
    <row r="62" spans="2:21" ht="13.5">
      <c r="C62" s="2148" t="s">
        <v>2552</v>
      </c>
      <c r="D62" s="2139" t="s">
        <v>2554</v>
      </c>
      <c r="E62" s="2137">
        <f>+E66</f>
        <v>40344480</v>
      </c>
      <c r="F62" s="2140"/>
      <c r="G62" s="2140"/>
      <c r="H62" s="1809"/>
      <c r="M62" s="1810"/>
      <c r="N62" s="1809"/>
      <c r="O62" s="1810"/>
      <c r="Q62" s="1809"/>
      <c r="R62" s="1810"/>
      <c r="S62" s="1809"/>
      <c r="T62" s="1810"/>
      <c r="U62" s="1809"/>
    </row>
    <row r="63" spans="2:21">
      <c r="C63" s="2139" t="str">
        <f>+C62</f>
        <v>잔여 선납임차료</v>
      </c>
      <c r="D63" s="2139" t="s">
        <v>2555</v>
      </c>
      <c r="E63" s="2137">
        <f>+E68</f>
        <v>96502725</v>
      </c>
      <c r="F63" s="2140"/>
      <c r="G63" s="2140"/>
      <c r="H63" s="1809"/>
      <c r="M63" s="1810"/>
      <c r="N63" s="1809"/>
      <c r="O63" s="1810"/>
      <c r="Q63" s="1809"/>
      <c r="R63" s="1810"/>
      <c r="S63" s="1809"/>
      <c r="T63" s="1810"/>
      <c r="U63" s="1809"/>
    </row>
    <row r="64" spans="2:21">
      <c r="C64" s="2139"/>
      <c r="D64" s="2139"/>
      <c r="E64" s="2139"/>
      <c r="F64" s="2140"/>
      <c r="G64" s="2140"/>
      <c r="H64" s="1809"/>
      <c r="M64" s="1810"/>
      <c r="N64" s="1809"/>
      <c r="O64" s="1810"/>
      <c r="Q64" s="1809"/>
      <c r="R64" s="1810"/>
      <c r="S64" s="1809"/>
      <c r="T64" s="1810"/>
      <c r="U64" s="1809"/>
    </row>
    <row r="65" spans="3:21">
      <c r="C65" s="2139"/>
      <c r="D65" s="2136"/>
      <c r="E65" s="2137"/>
      <c r="F65" s="2140"/>
      <c r="G65" s="2140"/>
      <c r="H65" s="1809"/>
      <c r="M65" s="1810"/>
      <c r="N65" s="1809"/>
      <c r="O65" s="1810"/>
      <c r="Q65" s="1809"/>
      <c r="R65" s="1810"/>
      <c r="S65" s="1809"/>
      <c r="T65" s="1810"/>
      <c r="U65" s="1809"/>
    </row>
    <row r="66" spans="3:21">
      <c r="C66" s="2139"/>
      <c r="D66" s="2139" t="s">
        <v>2554</v>
      </c>
      <c r="E66" s="2137">
        <v>40344480</v>
      </c>
      <c r="F66" s="2140"/>
      <c r="G66" s="2140"/>
      <c r="H66" s="1809"/>
      <c r="M66" s="1810"/>
      <c r="N66" s="1809"/>
      <c r="O66" s="1810"/>
      <c r="Q66" s="1809"/>
      <c r="R66" s="1810"/>
      <c r="S66" s="1809"/>
      <c r="T66" s="1810"/>
      <c r="U66" s="1809"/>
    </row>
    <row r="67" spans="3:21">
      <c r="C67" s="2139"/>
      <c r="D67" s="2139" t="s">
        <v>2556</v>
      </c>
      <c r="E67" s="2137">
        <v>552420</v>
      </c>
      <c r="F67" s="2140"/>
      <c r="G67" s="2140"/>
      <c r="H67" s="1809"/>
      <c r="M67" s="1810"/>
      <c r="N67" s="1809"/>
      <c r="O67" s="1810"/>
      <c r="Q67" s="1809"/>
      <c r="R67" s="1810"/>
      <c r="S67" s="1809"/>
      <c r="T67" s="1810"/>
      <c r="U67" s="1809"/>
    </row>
    <row r="68" spans="3:21">
      <c r="C68" s="2139"/>
      <c r="D68" s="2139" t="s">
        <v>2555</v>
      </c>
      <c r="E68" s="2137">
        <v>96502725</v>
      </c>
      <c r="F68" s="2140"/>
      <c r="G68" s="2140"/>
      <c r="H68" s="1809"/>
      <c r="M68" s="1810"/>
      <c r="N68" s="1809"/>
      <c r="O68" s="1810"/>
      <c r="Q68" s="1809"/>
      <c r="R68" s="1810"/>
      <c r="S68" s="1809"/>
      <c r="T68" s="1810"/>
      <c r="U68" s="1809"/>
    </row>
    <row r="69" spans="3:21">
      <c r="C69" s="2139"/>
      <c r="D69" s="2139" t="s">
        <v>2557</v>
      </c>
      <c r="E69" s="2137">
        <v>37113120</v>
      </c>
      <c r="F69" s="2140"/>
      <c r="G69" s="2140"/>
      <c r="H69" s="1809"/>
      <c r="M69" s="1810"/>
      <c r="N69" s="1809"/>
      <c r="O69" s="1810"/>
      <c r="Q69" s="1809"/>
      <c r="R69" s="1810"/>
      <c r="S69" s="1809"/>
      <c r="T69" s="1810"/>
      <c r="U69" s="1809"/>
    </row>
    <row r="70" spans="3:21">
      <c r="C70" s="2139"/>
      <c r="D70" s="2139"/>
      <c r="E70" s="2137">
        <f>SUM(E66:E69)</f>
        <v>174512745</v>
      </c>
      <c r="F70" s="2140"/>
      <c r="G70" s="2140"/>
      <c r="H70" s="1809"/>
      <c r="M70" s="1810"/>
      <c r="N70" s="1809"/>
      <c r="O70" s="1810"/>
      <c r="Q70" s="1809"/>
      <c r="R70" s="1810"/>
      <c r="S70" s="1809"/>
      <c r="T70" s="1810"/>
      <c r="U70" s="1809"/>
    </row>
    <row r="71" spans="3:21">
      <c r="C71" s="2139"/>
      <c r="D71" s="2139"/>
      <c r="E71" s="2147">
        <f>+E70+E61</f>
        <v>182895273</v>
      </c>
      <c r="F71" s="2158">
        <f>+E71-C31</f>
        <v>-500</v>
      </c>
      <c r="G71" s="2140"/>
      <c r="H71" s="1809"/>
      <c r="M71" s="1810"/>
      <c r="N71" s="1809"/>
      <c r="O71" s="1810"/>
      <c r="Q71" s="1809"/>
      <c r="R71" s="1810"/>
      <c r="S71" s="1809"/>
      <c r="T71" s="1810"/>
      <c r="U71" s="1809"/>
    </row>
    <row r="72" spans="3:21">
      <c r="F72" s="1810"/>
      <c r="H72" s="1809"/>
      <c r="M72" s="1810"/>
      <c r="N72" s="1809"/>
      <c r="O72" s="1810"/>
      <c r="Q72" s="1809"/>
      <c r="R72" s="1810"/>
      <c r="S72" s="1809"/>
      <c r="T72" s="1810"/>
      <c r="U72" s="1809"/>
    </row>
    <row r="73" spans="3:21">
      <c r="F73" s="1810"/>
      <c r="H73" s="1809"/>
      <c r="M73" s="1810"/>
      <c r="N73" s="1809"/>
      <c r="O73" s="1810"/>
      <c r="Q73" s="1809"/>
      <c r="R73" s="1810"/>
      <c r="S73" s="1809"/>
      <c r="T73" s="1810"/>
      <c r="U73" s="1809"/>
    </row>
    <row r="74" spans="3:21">
      <c r="E74" s="1822">
        <f>+E62-30080160</f>
        <v>10264320</v>
      </c>
      <c r="F74" s="1810"/>
      <c r="H74" s="1809"/>
      <c r="M74" s="1810"/>
      <c r="N74" s="1809"/>
      <c r="O74" s="1810"/>
      <c r="Q74" s="1809"/>
      <c r="R74" s="1810"/>
      <c r="S74" s="1809"/>
      <c r="T74" s="1810"/>
      <c r="U74" s="1809"/>
    </row>
    <row r="75" spans="3:21">
      <c r="E75" s="1809">
        <f>+E74*2</f>
        <v>20528640</v>
      </c>
      <c r="F75" s="1810"/>
      <c r="H75" s="1809"/>
      <c r="M75" s="1810"/>
      <c r="N75" s="1809"/>
      <c r="O75" s="1810"/>
      <c r="Q75" s="1809"/>
      <c r="R75" s="1810"/>
      <c r="S75" s="1809"/>
      <c r="T75" s="1810"/>
      <c r="U75" s="1809"/>
    </row>
    <row r="76" spans="3:21">
      <c r="E76" s="1809">
        <v>10264320</v>
      </c>
      <c r="F76" s="1810"/>
      <c r="H76" s="1809"/>
      <c r="M76" s="1810"/>
      <c r="N76" s="1809"/>
      <c r="O76" s="1810"/>
      <c r="Q76" s="1809"/>
      <c r="R76" s="1810"/>
      <c r="S76" s="1809"/>
      <c r="T76" s="1810"/>
      <c r="U76" s="1809"/>
    </row>
    <row r="77" spans="3:21">
      <c r="E77" s="1809">
        <v>20956320</v>
      </c>
      <c r="F77" s="1810"/>
      <c r="H77" s="1809"/>
      <c r="M77" s="1810"/>
      <c r="N77" s="1809"/>
      <c r="O77" s="1810"/>
      <c r="Q77" s="1809"/>
      <c r="R77" s="1810"/>
      <c r="S77" s="1809"/>
      <c r="T77" s="1810"/>
      <c r="U77" s="1809"/>
    </row>
    <row r="78" spans="3:21">
      <c r="E78" s="1809">
        <v>23482305</v>
      </c>
      <c r="F78" s="1810"/>
      <c r="H78" s="1809"/>
      <c r="M78" s="1810"/>
      <c r="N78" s="1809"/>
      <c r="O78" s="1810"/>
      <c r="Q78" s="1809"/>
      <c r="R78" s="1810"/>
      <c r="S78" s="1809"/>
      <c r="T78" s="1810"/>
      <c r="U78" s="1809"/>
    </row>
    <row r="79" spans="3:21">
      <c r="E79" s="1912">
        <f>SUM(E76:E78)</f>
        <v>54702945</v>
      </c>
      <c r="F79" s="1810"/>
      <c r="H79" s="1809"/>
      <c r="M79" s="1810"/>
      <c r="N79" s="1809"/>
      <c r="O79" s="1810"/>
      <c r="Q79" s="1809"/>
      <c r="R79" s="1810"/>
      <c r="S79" s="1809"/>
      <c r="T79" s="1810"/>
      <c r="U79" s="1809"/>
    </row>
    <row r="80" spans="3:21">
      <c r="F80" s="1810"/>
      <c r="H80" s="1809"/>
      <c r="M80" s="1810"/>
      <c r="N80" s="1809"/>
      <c r="O80" s="1810"/>
      <c r="Q80" s="1809"/>
      <c r="R80" s="1810"/>
      <c r="S80" s="1809"/>
      <c r="T80" s="1810"/>
      <c r="U80" s="1809"/>
    </row>
    <row r="81" spans="6:21">
      <c r="F81" s="1810"/>
      <c r="H81" s="1809"/>
      <c r="M81" s="1810"/>
      <c r="N81" s="1809"/>
      <c r="O81" s="1810"/>
      <c r="Q81" s="1809"/>
      <c r="R81" s="1810"/>
      <c r="S81" s="1809"/>
      <c r="T81" s="1810"/>
      <c r="U81" s="1809"/>
    </row>
    <row r="82" spans="6:21">
      <c r="F82" s="1810"/>
      <c r="H82" s="1809"/>
      <c r="M82" s="1810"/>
      <c r="N82" s="1809"/>
      <c r="O82" s="1810"/>
      <c r="Q82" s="1809"/>
      <c r="R82" s="1810"/>
      <c r="S82" s="1809"/>
      <c r="T82" s="1810"/>
      <c r="U82" s="1809"/>
    </row>
    <row r="83" spans="6:21">
      <c r="F83" s="1810"/>
      <c r="H83" s="1809"/>
      <c r="M83" s="1810"/>
      <c r="N83" s="1809"/>
      <c r="O83" s="1810"/>
      <c r="Q83" s="1809"/>
      <c r="R83" s="1810"/>
      <c r="S83" s="1809"/>
      <c r="T83" s="1810"/>
      <c r="U83" s="1809"/>
    </row>
    <row r="84" spans="6:21">
      <c r="F84" s="1810"/>
      <c r="H84" s="1809"/>
      <c r="M84" s="1810"/>
      <c r="N84" s="1809"/>
      <c r="O84" s="1810"/>
      <c r="Q84" s="1809"/>
      <c r="R84" s="1810"/>
      <c r="S84" s="1809"/>
      <c r="T84" s="1810"/>
      <c r="U84" s="1809"/>
    </row>
    <row r="85" spans="6:21">
      <c r="F85" s="1810"/>
      <c r="H85" s="1809"/>
      <c r="M85" s="1810"/>
      <c r="N85" s="1809"/>
      <c r="O85" s="1810"/>
      <c r="Q85" s="1809"/>
      <c r="R85" s="1810"/>
      <c r="S85" s="1809"/>
      <c r="T85" s="1810"/>
      <c r="U85" s="1809"/>
    </row>
    <row r="86" spans="6:21">
      <c r="F86" s="1810"/>
      <c r="H86" s="1809"/>
      <c r="M86" s="1810"/>
      <c r="N86" s="1809"/>
      <c r="O86" s="1810"/>
      <c r="Q86" s="1809"/>
      <c r="R86" s="1810"/>
      <c r="S86" s="1809"/>
      <c r="T86" s="1810"/>
      <c r="U86" s="1809"/>
    </row>
  </sheetData>
  <mergeCells count="41">
    <mergeCell ref="B9:B10"/>
    <mergeCell ref="C9:C10"/>
    <mergeCell ref="D9:D10"/>
    <mergeCell ref="E9:E10"/>
    <mergeCell ref="G9:G10"/>
    <mergeCell ref="F9:F10"/>
    <mergeCell ref="P9:P10"/>
    <mergeCell ref="S9:T9"/>
    <mergeCell ref="U9:V10"/>
    <mergeCell ref="X9:X10"/>
    <mergeCell ref="C11:C16"/>
    <mergeCell ref="K11:K16"/>
    <mergeCell ref="D15:E16"/>
    <mergeCell ref="G15:G16"/>
    <mergeCell ref="H15:H16"/>
    <mergeCell ref="I9:I10"/>
    <mergeCell ref="J9:J10"/>
    <mergeCell ref="K9:K10"/>
    <mergeCell ref="M9:M10"/>
    <mergeCell ref="N9:O9"/>
    <mergeCell ref="Q9:R9"/>
    <mergeCell ref="H9:H10"/>
    <mergeCell ref="B11:B22"/>
    <mergeCell ref="H27:I27"/>
    <mergeCell ref="H28:I28"/>
    <mergeCell ref="H29:I29"/>
    <mergeCell ref="H30:I30"/>
    <mergeCell ref="D27:E27"/>
    <mergeCell ref="B23:E24"/>
    <mergeCell ref="G23:G24"/>
    <mergeCell ref="H23:H24"/>
    <mergeCell ref="F27:G27"/>
    <mergeCell ref="L9:L10"/>
    <mergeCell ref="H32:I32"/>
    <mergeCell ref="H33:I33"/>
    <mergeCell ref="C17:C22"/>
    <mergeCell ref="K17:K22"/>
    <mergeCell ref="D21:E22"/>
    <mergeCell ref="G21:G22"/>
    <mergeCell ref="H21:H22"/>
    <mergeCell ref="H31:I31"/>
  </mergeCells>
  <phoneticPr fontId="19"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3FDA-1AB4-4487-A2BA-360CE760E01B}">
  <sheetPr>
    <tabColor theme="6" tint="0.79998168889431442"/>
  </sheetPr>
  <dimension ref="B2:W62"/>
  <sheetViews>
    <sheetView showGridLines="0" zoomScale="85" zoomScaleNormal="85" workbookViewId="0">
      <pane xSplit="6" ySplit="10" topLeftCell="G11" activePane="bottomRight" state="frozen"/>
      <selection activeCell="K17" sqref="K17:K22"/>
      <selection pane="topRight" activeCell="K17" sqref="K17:K22"/>
      <selection pane="bottomLeft" activeCell="K17" sqref="K17:K22"/>
      <selection pane="bottomRight" activeCell="K17" sqref="K17:K22"/>
    </sheetView>
  </sheetViews>
  <sheetFormatPr defaultColWidth="8" defaultRowHeight="12.75"/>
  <cols>
    <col min="1" max="1" width="1.5" style="1809" customWidth="1"/>
    <col min="2" max="3" width="11" style="1809" customWidth="1"/>
    <col min="4" max="4" width="22.5" style="1809" customWidth="1"/>
    <col min="5" max="5" width="12.25" style="1809" customWidth="1"/>
    <col min="6" max="6" width="13" style="1810" bestFit="1" customWidth="1"/>
    <col min="7" max="7" width="13" style="1810" customWidth="1"/>
    <col min="8" max="10" width="12.75" style="1809" customWidth="1"/>
    <col min="11" max="11" width="19.25" style="1809" customWidth="1"/>
    <col min="12" max="12" width="7.875" style="1810" customWidth="1"/>
    <col min="13" max="13" width="14.875" style="1809" customWidth="1"/>
    <col min="14" max="14" width="7.875" style="1810" customWidth="1"/>
    <col min="15" max="15" width="14.875" style="1809" customWidth="1"/>
    <col min="16" max="16" width="18.75" style="1809" customWidth="1"/>
    <col min="17" max="17" width="7.875" style="1810" customWidth="1"/>
    <col min="18" max="18" width="14.875" style="1809" customWidth="1"/>
    <col min="19" max="19" width="5.75" style="1810" customWidth="1"/>
    <col min="20" max="20" width="14.875" style="1809" customWidth="1"/>
    <col min="21" max="21" width="1.5" style="1809" customWidth="1"/>
    <col min="22" max="22" width="10.25" style="1809" bestFit="1" customWidth="1"/>
    <col min="23" max="23" width="11.625" style="1809" customWidth="1"/>
    <col min="24" max="24" width="9.375" style="1809" bestFit="1" customWidth="1"/>
    <col min="25" max="16384" width="8" style="1809"/>
  </cols>
  <sheetData>
    <row r="2" spans="2:23">
      <c r="B2" s="1860" t="s">
        <v>181</v>
      </c>
      <c r="C2" s="1860"/>
      <c r="D2" s="1860" t="s">
        <v>150</v>
      </c>
      <c r="E2" s="1860"/>
    </row>
    <row r="3" spans="2:23">
      <c r="B3" s="1860" t="s">
        <v>182</v>
      </c>
      <c r="C3" s="1860"/>
      <c r="D3" s="1860" t="s">
        <v>183</v>
      </c>
      <c r="E3" s="1860"/>
    </row>
    <row r="4" spans="2:23">
      <c r="B4" s="1860" t="s">
        <v>184</v>
      </c>
      <c r="C4" s="1860"/>
      <c r="D4" s="1860" t="s">
        <v>185</v>
      </c>
      <c r="E4" s="1860"/>
    </row>
    <row r="5" spans="2:23">
      <c r="B5" s="1860" t="s">
        <v>186</v>
      </c>
      <c r="C5" s="1860"/>
      <c r="D5" s="1860" t="s">
        <v>187</v>
      </c>
      <c r="E5" s="1860"/>
    </row>
    <row r="6" spans="2:23">
      <c r="B6" s="1860" t="s">
        <v>188</v>
      </c>
      <c r="C6" s="1860"/>
      <c r="D6" s="1860" t="s">
        <v>189</v>
      </c>
      <c r="E6" s="1860"/>
    </row>
    <row r="7" spans="2:23">
      <c r="B7" s="1860" t="s">
        <v>190</v>
      </c>
      <c r="C7" s="1860"/>
      <c r="D7" s="1860" t="s">
        <v>191</v>
      </c>
      <c r="E7" s="1860"/>
    </row>
    <row r="8" spans="2:23">
      <c r="T8" s="1811" t="s">
        <v>192</v>
      </c>
    </row>
    <row r="9" spans="2:23" ht="27" customHeight="1">
      <c r="B9" s="2462" t="s">
        <v>132</v>
      </c>
      <c r="C9" s="2475" t="s">
        <v>193</v>
      </c>
      <c r="D9" s="2475" t="s">
        <v>133</v>
      </c>
      <c r="E9" s="2467" t="s">
        <v>194</v>
      </c>
      <c r="F9" s="2462" t="s">
        <v>135</v>
      </c>
      <c r="G9" s="2469" t="s">
        <v>136</v>
      </c>
      <c r="H9" s="2467" t="s">
        <v>138</v>
      </c>
      <c r="I9" s="2469" t="s">
        <v>195</v>
      </c>
      <c r="J9" s="2469" t="s">
        <v>196</v>
      </c>
      <c r="K9" s="2460" t="s">
        <v>144</v>
      </c>
      <c r="L9" s="2462" t="s">
        <v>143</v>
      </c>
      <c r="M9" s="2462"/>
      <c r="N9" s="2462" t="s">
        <v>145</v>
      </c>
      <c r="O9" s="2462"/>
      <c r="P9" s="2460" t="s">
        <v>197</v>
      </c>
      <c r="Q9" s="2462" t="s">
        <v>198</v>
      </c>
      <c r="R9" s="2462"/>
      <c r="S9" s="2463" t="s">
        <v>199</v>
      </c>
      <c r="T9" s="2464"/>
      <c r="V9" s="2467" t="s">
        <v>147</v>
      </c>
    </row>
    <row r="10" spans="2:23" ht="27" customHeight="1">
      <c r="B10" s="2476"/>
      <c r="C10" s="2477"/>
      <c r="D10" s="2477"/>
      <c r="E10" s="2468"/>
      <c r="F10" s="2476"/>
      <c r="G10" s="2470"/>
      <c r="H10" s="2468"/>
      <c r="I10" s="2470"/>
      <c r="J10" s="2470"/>
      <c r="K10" s="2461"/>
      <c r="L10" s="1812" t="s">
        <v>148</v>
      </c>
      <c r="M10" s="1812" t="s">
        <v>149</v>
      </c>
      <c r="N10" s="1812" t="s">
        <v>148</v>
      </c>
      <c r="O10" s="1812" t="s">
        <v>149</v>
      </c>
      <c r="P10" s="2461"/>
      <c r="Q10" s="1812" t="s">
        <v>148</v>
      </c>
      <c r="R10" s="1812" t="s">
        <v>149</v>
      </c>
      <c r="S10" s="2465"/>
      <c r="T10" s="2466"/>
      <c r="V10" s="2468"/>
    </row>
    <row r="11" spans="2:23" ht="16.5" customHeight="1">
      <c r="B11" s="2435" t="s">
        <v>150</v>
      </c>
      <c r="C11" s="2435" t="s">
        <v>200</v>
      </c>
      <c r="D11" s="1859" t="str">
        <f>+'GM Batch1'!C11</f>
        <v>YJ NANSAN 1</v>
      </c>
      <c r="E11" s="1813">
        <v>1050000</v>
      </c>
      <c r="F11" s="1814">
        <f>+'GM Batch1'!D11</f>
        <v>999.58</v>
      </c>
      <c r="G11" s="1815">
        <f>E11*F11*1.1/1470</f>
        <v>785384.28571428568</v>
      </c>
      <c r="H11" s="1816">
        <f>+I11+K11+P11</f>
        <v>0</v>
      </c>
      <c r="I11" s="1816"/>
      <c r="J11" s="2438"/>
      <c r="K11" s="1818">
        <f>+M11+O11</f>
        <v>0</v>
      </c>
      <c r="L11" s="1817"/>
      <c r="M11" s="1816"/>
      <c r="N11" s="1817"/>
      <c r="O11" s="1819"/>
      <c r="P11" s="1818">
        <f>+R11+T11</f>
        <v>0</v>
      </c>
      <c r="Q11" s="1817"/>
      <c r="R11" s="1819"/>
      <c r="S11" s="1820"/>
      <c r="T11" s="1816"/>
      <c r="V11" s="1821"/>
      <c r="W11" s="1822"/>
    </row>
    <row r="12" spans="2:23" ht="16.5" customHeight="1">
      <c r="B12" s="2436"/>
      <c r="C12" s="2436"/>
      <c r="D12" s="1859" t="str">
        <f>+'GM Batch1'!C17</f>
        <v>YJ NANSAN 2</v>
      </c>
      <c r="E12" s="1823">
        <v>1050000</v>
      </c>
      <c r="F12" s="1824">
        <f>+'GM Batch1'!D17</f>
        <v>999.58</v>
      </c>
      <c r="G12" s="1825">
        <f>E12*F12*1.1/1470</f>
        <v>785384.28571428568</v>
      </c>
      <c r="H12" s="1818">
        <f t="shared" ref="H12:H18" si="0">+I12+K12+P12</f>
        <v>0</v>
      </c>
      <c r="I12" s="1818"/>
      <c r="J12" s="2439"/>
      <c r="K12" s="1818">
        <f t="shared" ref="K12:K18" si="1">+M12+O12</f>
        <v>0</v>
      </c>
      <c r="L12" s="1826"/>
      <c r="M12" s="1818"/>
      <c r="N12" s="1826"/>
      <c r="O12" s="1827"/>
      <c r="P12" s="1818">
        <f t="shared" ref="P12:P18" si="2">+R12+T12</f>
        <v>0</v>
      </c>
      <c r="Q12" s="1826"/>
      <c r="R12" s="1827"/>
      <c r="S12" s="1828"/>
      <c r="T12" s="1818"/>
      <c r="V12" s="1821" t="b">
        <f t="shared" ref="V12:V18" si="3">+I12+K12+P12=E12*F12*1.1</f>
        <v>0</v>
      </c>
      <c r="W12" s="1822" t="b">
        <f t="shared" ref="W12:W18" si="4">+E12*F12*1.1=I12+M12+O12+R12+T12</f>
        <v>0</v>
      </c>
    </row>
    <row r="13" spans="2:23" ht="16.5" customHeight="1">
      <c r="B13" s="2436"/>
      <c r="C13" s="2436"/>
      <c r="D13" s="1859" t="str">
        <f>+'GM Batch1'!C23</f>
        <v>YJ GASI 1</v>
      </c>
      <c r="E13" s="1823">
        <v>1050000</v>
      </c>
      <c r="F13" s="1824">
        <f>+'GM Batch1'!D23</f>
        <v>999.6</v>
      </c>
      <c r="G13" s="1825">
        <f t="shared" ref="G13:G18" si="5">E13*F13*1.1/1470</f>
        <v>785400</v>
      </c>
      <c r="H13" s="1818">
        <f t="shared" si="0"/>
        <v>0</v>
      </c>
      <c r="I13" s="1818"/>
      <c r="J13" s="2439"/>
      <c r="K13" s="1818">
        <f t="shared" si="1"/>
        <v>0</v>
      </c>
      <c r="L13" s="1826"/>
      <c r="M13" s="1818"/>
      <c r="N13" s="1826"/>
      <c r="O13" s="1827"/>
      <c r="P13" s="1818">
        <f t="shared" si="2"/>
        <v>0</v>
      </c>
      <c r="Q13" s="1826"/>
      <c r="R13" s="1827"/>
      <c r="S13" s="1828"/>
      <c r="T13" s="1818"/>
      <c r="V13" s="1828" t="b">
        <f t="shared" si="3"/>
        <v>0</v>
      </c>
      <c r="W13" s="1822" t="b">
        <f t="shared" si="4"/>
        <v>0</v>
      </c>
    </row>
    <row r="14" spans="2:23" ht="16.5" customHeight="1">
      <c r="B14" s="2436"/>
      <c r="C14" s="2436"/>
      <c r="D14" s="1859" t="str">
        <f>+'GM Batch1'!C29</f>
        <v>YJ GASI 2</v>
      </c>
      <c r="E14" s="1823">
        <v>1050000</v>
      </c>
      <c r="F14" s="1829">
        <f>+'GM Batch1'!D29</f>
        <v>999.6</v>
      </c>
      <c r="G14" s="1825">
        <f t="shared" si="5"/>
        <v>785400</v>
      </c>
      <c r="H14" s="1818">
        <f t="shared" si="0"/>
        <v>0</v>
      </c>
      <c r="I14" s="1818"/>
      <c r="J14" s="2439"/>
      <c r="K14" s="1818">
        <f t="shared" si="1"/>
        <v>0</v>
      </c>
      <c r="L14" s="1826"/>
      <c r="M14" s="1830"/>
      <c r="N14" s="1826"/>
      <c r="O14" s="1827"/>
      <c r="P14" s="1818">
        <f t="shared" si="2"/>
        <v>0</v>
      </c>
      <c r="Q14" s="1826"/>
      <c r="R14" s="1827"/>
      <c r="S14" s="1828"/>
      <c r="T14" s="1818"/>
      <c r="V14" s="1828" t="b">
        <f t="shared" si="3"/>
        <v>0</v>
      </c>
      <c r="W14" s="1822" t="b">
        <f t="shared" si="4"/>
        <v>0</v>
      </c>
    </row>
    <row r="15" spans="2:23" ht="16.5" customHeight="1">
      <c r="B15" s="2436"/>
      <c r="C15" s="2436"/>
      <c r="D15" s="1859" t="str">
        <f>+'GM Batch1'!C35</f>
        <v>Dream 1</v>
      </c>
      <c r="E15" s="1823">
        <v>1050000</v>
      </c>
      <c r="F15" s="1829">
        <f>+'GM Batch1'!D35</f>
        <v>999.24</v>
      </c>
      <c r="G15" s="1825">
        <f t="shared" si="5"/>
        <v>785117.14285714284</v>
      </c>
      <c r="H15" s="1818">
        <f t="shared" si="0"/>
        <v>0</v>
      </c>
      <c r="I15" s="1818"/>
      <c r="J15" s="2439"/>
      <c r="K15" s="1818">
        <f t="shared" si="1"/>
        <v>0</v>
      </c>
      <c r="L15" s="1826"/>
      <c r="M15" s="1830"/>
      <c r="N15" s="1826"/>
      <c r="O15" s="1830"/>
      <c r="P15" s="1818">
        <f t="shared" si="2"/>
        <v>0</v>
      </c>
      <c r="Q15" s="1826"/>
      <c r="R15" s="1827"/>
      <c r="S15" s="1828"/>
      <c r="T15" s="1818"/>
      <c r="V15" s="1828" t="b">
        <f t="shared" si="3"/>
        <v>0</v>
      </c>
      <c r="W15" s="1822" t="b">
        <f t="shared" si="4"/>
        <v>0</v>
      </c>
    </row>
    <row r="16" spans="2:23" ht="16.5" customHeight="1">
      <c r="B16" s="2436"/>
      <c r="C16" s="2436"/>
      <c r="D16" s="1859" t="str">
        <f>+'GM Batch1'!C41</f>
        <v>Dream 2</v>
      </c>
      <c r="E16" s="1823">
        <v>1050000</v>
      </c>
      <c r="F16" s="1829">
        <f>+'GM Batch1'!D41</f>
        <v>999.24</v>
      </c>
      <c r="G16" s="1825">
        <f t="shared" si="5"/>
        <v>785117.14285714284</v>
      </c>
      <c r="H16" s="1818">
        <f t="shared" si="0"/>
        <v>0</v>
      </c>
      <c r="I16" s="1818"/>
      <c r="J16" s="2439"/>
      <c r="K16" s="1818">
        <f t="shared" si="1"/>
        <v>0</v>
      </c>
      <c r="L16" s="1826"/>
      <c r="M16" s="1818"/>
      <c r="N16" s="1826"/>
      <c r="O16" s="1830"/>
      <c r="P16" s="1818">
        <f t="shared" si="2"/>
        <v>0</v>
      </c>
      <c r="Q16" s="1826"/>
      <c r="R16" s="1827"/>
      <c r="S16" s="1828"/>
      <c r="T16" s="1818"/>
      <c r="V16" s="1828" t="b">
        <f t="shared" si="3"/>
        <v>0</v>
      </c>
      <c r="W16" s="1822" t="b">
        <f t="shared" si="4"/>
        <v>0</v>
      </c>
    </row>
    <row r="17" spans="2:23" ht="16.5" customHeight="1">
      <c r="B17" s="2436"/>
      <c r="C17" s="2436"/>
      <c r="D17" s="1859" t="str">
        <f>+'GM Batch1'!C47</f>
        <v>JEIL TECH 1</v>
      </c>
      <c r="E17" s="1823">
        <v>1050000</v>
      </c>
      <c r="F17" s="1829">
        <f>+'GM Batch1'!D47</f>
        <v>999.44</v>
      </c>
      <c r="G17" s="1825">
        <f t="shared" si="5"/>
        <v>785274.28571428568</v>
      </c>
      <c r="H17" s="1818">
        <f t="shared" si="0"/>
        <v>0</v>
      </c>
      <c r="I17" s="1818"/>
      <c r="J17" s="2439"/>
      <c r="K17" s="1818">
        <f t="shared" si="1"/>
        <v>0</v>
      </c>
      <c r="L17" s="1826"/>
      <c r="M17" s="1818"/>
      <c r="N17" s="1826"/>
      <c r="O17" s="1830"/>
      <c r="P17" s="1818">
        <f t="shared" si="2"/>
        <v>0</v>
      </c>
      <c r="Q17" s="1826"/>
      <c r="R17" s="1827"/>
      <c r="S17" s="1828"/>
      <c r="T17" s="1818"/>
      <c r="V17" s="1828" t="b">
        <f t="shared" si="3"/>
        <v>0</v>
      </c>
      <c r="W17" s="1822" t="b">
        <f t="shared" si="4"/>
        <v>0</v>
      </c>
    </row>
    <row r="18" spans="2:23" ht="16.5" customHeight="1">
      <c r="B18" s="2436"/>
      <c r="C18" s="2436"/>
      <c r="D18" s="1859" t="str">
        <f>+'GM Batch1'!C53</f>
        <v>JEIL TECH 2</v>
      </c>
      <c r="E18" s="1823">
        <v>1050000</v>
      </c>
      <c r="F18" s="1829">
        <f>+'GM Batch1'!D53</f>
        <v>999.44</v>
      </c>
      <c r="G18" s="1825">
        <f t="shared" si="5"/>
        <v>785274.28571428568</v>
      </c>
      <c r="H18" s="1818">
        <f t="shared" si="0"/>
        <v>0</v>
      </c>
      <c r="I18" s="1818"/>
      <c r="J18" s="2439"/>
      <c r="K18" s="1818">
        <f t="shared" si="1"/>
        <v>0</v>
      </c>
      <c r="L18" s="1826"/>
      <c r="M18" s="1830"/>
      <c r="N18" s="1826"/>
      <c r="O18" s="1830"/>
      <c r="P18" s="1818">
        <f t="shared" si="2"/>
        <v>0</v>
      </c>
      <c r="Q18" s="1826"/>
      <c r="R18" s="1830"/>
      <c r="S18" s="1831"/>
      <c r="T18" s="1818"/>
      <c r="V18" s="1831" t="b">
        <f t="shared" si="3"/>
        <v>0</v>
      </c>
      <c r="W18" s="1822" t="b">
        <f t="shared" si="4"/>
        <v>0</v>
      </c>
    </row>
    <row r="19" spans="2:23" ht="16.5" customHeight="1">
      <c r="B19" s="2436"/>
      <c r="C19" s="2436"/>
      <c r="D19" s="2440" t="s">
        <v>138</v>
      </c>
      <c r="E19" s="2440"/>
      <c r="F19" s="2442">
        <f>SUM(F11:F18)</f>
        <v>7995.7200000000012</v>
      </c>
      <c r="G19" s="2444">
        <f>SUM(G11:G18)</f>
        <v>6282351.4285714282</v>
      </c>
      <c r="H19" s="1832"/>
      <c r="I19" s="1837">
        <f>I20/1470</f>
        <v>0</v>
      </c>
      <c r="J19" s="2439"/>
      <c r="K19" s="1837">
        <f>K20/1470</f>
        <v>0</v>
      </c>
      <c r="L19" s="1833"/>
      <c r="M19" s="1838">
        <f>M20/1470</f>
        <v>0</v>
      </c>
      <c r="N19" s="1833"/>
      <c r="O19" s="1837">
        <f>O20/1470</f>
        <v>0</v>
      </c>
      <c r="P19" s="1838">
        <f>P20/1470</f>
        <v>0</v>
      </c>
      <c r="Q19" s="1833"/>
      <c r="R19" s="1837">
        <f>R20/1470</f>
        <v>0</v>
      </c>
      <c r="S19" s="1835"/>
      <c r="T19" s="1837">
        <f>T20/1470</f>
        <v>0</v>
      </c>
      <c r="V19" s="1835"/>
      <c r="W19" s="1822"/>
    </row>
    <row r="20" spans="2:23" ht="16.5" customHeight="1">
      <c r="B20" s="2436"/>
      <c r="C20" s="2437"/>
      <c r="D20" s="2441"/>
      <c r="E20" s="2441"/>
      <c r="F20" s="2443"/>
      <c r="G20" s="2445"/>
      <c r="H20" s="1839">
        <f>+SUM(H11:H18)</f>
        <v>0</v>
      </c>
      <c r="I20" s="1839">
        <f>+SUM(I11:I18)</f>
        <v>0</v>
      </c>
      <c r="J20" s="2439"/>
      <c r="K20" s="1839">
        <f>+SUM(K11:K18)</f>
        <v>0</v>
      </c>
      <c r="L20" s="1840"/>
      <c r="M20" s="1839">
        <f>+SUM(M11:M18)</f>
        <v>0</v>
      </c>
      <c r="N20" s="1840"/>
      <c r="O20" s="1839">
        <f>+SUM(O11:O18)</f>
        <v>0</v>
      </c>
      <c r="P20" s="1839">
        <f>+SUM(P11:P18)</f>
        <v>0</v>
      </c>
      <c r="Q20" s="1840"/>
      <c r="R20" s="1839">
        <f>+SUM(R11:R18)</f>
        <v>0</v>
      </c>
      <c r="S20" s="1841"/>
      <c r="T20" s="1839">
        <f>+SUM(T11:T18)</f>
        <v>0</v>
      </c>
      <c r="V20" s="1841"/>
      <c r="W20" s="1822"/>
    </row>
    <row r="21" spans="2:23" ht="16.5" customHeight="1">
      <c r="B21" s="2436"/>
      <c r="C21" s="2435" t="s">
        <v>201</v>
      </c>
      <c r="D21" s="1859" t="str">
        <f>+'GM Batch2-APA'!C11</f>
        <v>Jangchon 1 (APA)</v>
      </c>
      <c r="E21" s="1823">
        <v>1050000</v>
      </c>
      <c r="F21" s="1814">
        <f>+'GM Batch2-APA'!D11</f>
        <v>551.04</v>
      </c>
      <c r="G21" s="1815">
        <f>E21*F21*1.1/1470</f>
        <v>432960</v>
      </c>
      <c r="H21" s="1818">
        <f t="shared" ref="H21:H26" si="6">+I21+K21+P21</f>
        <v>0</v>
      </c>
      <c r="I21" s="1843"/>
      <c r="J21" s="2439"/>
      <c r="K21" s="1818">
        <f t="shared" ref="K21:K26" si="7">+M21+O21</f>
        <v>0</v>
      </c>
      <c r="L21" s="1844"/>
      <c r="M21" s="1843"/>
      <c r="N21" s="1844"/>
      <c r="O21" s="1845"/>
      <c r="P21" s="1818">
        <f t="shared" ref="P21:P26" si="8">+R21+T21</f>
        <v>0</v>
      </c>
      <c r="Q21" s="1844"/>
      <c r="R21" s="1846"/>
      <c r="S21" s="1847"/>
      <c r="T21" s="1843"/>
      <c r="V21" s="1831" t="b">
        <f t="shared" ref="V21:V26" si="9">+I21+K21+P21=E21*F21*1.1</f>
        <v>0</v>
      </c>
      <c r="W21" s="1822" t="b">
        <f t="shared" ref="W21:W26" si="10">+E21*F21*1.1=I21+M21+O21+R21+T21</f>
        <v>0</v>
      </c>
    </row>
    <row r="22" spans="2:23" ht="16.5" customHeight="1">
      <c r="B22" s="2436"/>
      <c r="C22" s="2436"/>
      <c r="D22" s="1859" t="str">
        <f>+'GM Batch2-APA'!C17</f>
        <v>Soltop Masan 1 (APA)</v>
      </c>
      <c r="E22" s="1823">
        <v>1050000</v>
      </c>
      <c r="F22" s="1829">
        <f>+'GM Batch2-APA'!D17</f>
        <v>399.04</v>
      </c>
      <c r="G22" s="1825">
        <f>E22*F22*1.1/1470</f>
        <v>313531.42857142864</v>
      </c>
      <c r="H22" s="1818">
        <f t="shared" si="6"/>
        <v>0</v>
      </c>
      <c r="I22" s="1818"/>
      <c r="J22" s="2439"/>
      <c r="K22" s="1818">
        <f t="shared" si="7"/>
        <v>0</v>
      </c>
      <c r="L22" s="1826"/>
      <c r="M22" s="1830"/>
      <c r="N22" s="1826"/>
      <c r="O22" s="1827"/>
      <c r="P22" s="1818">
        <f t="shared" si="8"/>
        <v>0</v>
      </c>
      <c r="Q22" s="1826"/>
      <c r="R22" s="1827"/>
      <c r="S22" s="1828"/>
      <c r="T22" s="1818"/>
      <c r="V22" s="1831" t="b">
        <f t="shared" si="9"/>
        <v>0</v>
      </c>
      <c r="W22" s="1822" t="b">
        <f t="shared" si="10"/>
        <v>0</v>
      </c>
    </row>
    <row r="23" spans="2:23" ht="16.5" customHeight="1">
      <c r="B23" s="2436"/>
      <c r="C23" s="2436"/>
      <c r="D23" s="1859" t="str">
        <f>+'GM Batch2-APA'!C23</f>
        <v>Hanil Mugok 15 (APA)</v>
      </c>
      <c r="E23" s="1823">
        <v>1050000</v>
      </c>
      <c r="F23" s="1829">
        <f>+'GM Batch2-APA'!D23</f>
        <v>499.96</v>
      </c>
      <c r="G23" s="1825">
        <f t="shared" ref="G23:G26" si="11">E23*F23*1.1/1470</f>
        <v>392825.71428571426</v>
      </c>
      <c r="H23" s="1818">
        <f t="shared" si="6"/>
        <v>0</v>
      </c>
      <c r="I23" s="1818"/>
      <c r="J23" s="2439"/>
      <c r="K23" s="1818">
        <f t="shared" si="7"/>
        <v>0</v>
      </c>
      <c r="L23" s="1826"/>
      <c r="M23" s="1830"/>
      <c r="N23" s="1826"/>
      <c r="O23" s="1827"/>
      <c r="P23" s="1818">
        <f t="shared" si="8"/>
        <v>0</v>
      </c>
      <c r="Q23" s="1826"/>
      <c r="R23" s="1827"/>
      <c r="S23" s="1828"/>
      <c r="T23" s="1818"/>
      <c r="V23" s="1831" t="b">
        <f t="shared" si="9"/>
        <v>0</v>
      </c>
      <c r="W23" s="1822" t="b">
        <f t="shared" si="10"/>
        <v>0</v>
      </c>
    </row>
    <row r="24" spans="2:23" ht="16.5" customHeight="1">
      <c r="B24" s="2436"/>
      <c r="C24" s="2436"/>
      <c r="D24" s="1859" t="str">
        <f>+'GM Batch2-APA'!C29</f>
        <v>Hanil Jigyeong 1 (APA)</v>
      </c>
      <c r="E24" s="1823">
        <v>1050000</v>
      </c>
      <c r="F24" s="1829">
        <f>+'GM Batch2-APA'!D29</f>
        <v>499.96</v>
      </c>
      <c r="G24" s="1825">
        <f t="shared" si="11"/>
        <v>392825.71428571426</v>
      </c>
      <c r="H24" s="1818">
        <f t="shared" si="6"/>
        <v>0</v>
      </c>
      <c r="I24" s="1818"/>
      <c r="J24" s="2439"/>
      <c r="K24" s="1818">
        <f t="shared" si="7"/>
        <v>0</v>
      </c>
      <c r="L24" s="1826"/>
      <c r="M24" s="1830"/>
      <c r="N24" s="1826"/>
      <c r="O24" s="1827"/>
      <c r="P24" s="1818">
        <f t="shared" si="8"/>
        <v>0</v>
      </c>
      <c r="Q24" s="1826"/>
      <c r="R24" s="1827"/>
      <c r="S24" s="1828"/>
      <c r="T24" s="1818"/>
      <c r="V24" s="1831" t="b">
        <f t="shared" si="9"/>
        <v>0</v>
      </c>
      <c r="W24" s="1822" t="b">
        <f t="shared" si="10"/>
        <v>0</v>
      </c>
    </row>
    <row r="25" spans="2:23" ht="16.5" customHeight="1">
      <c r="B25" s="2436"/>
      <c r="C25" s="2436"/>
      <c r="D25" s="1859" t="str">
        <f>+'GM Batch2-APA'!C35</f>
        <v>Hanil Jigyeong 2 (APA)</v>
      </c>
      <c r="E25" s="1823">
        <v>1050000</v>
      </c>
      <c r="F25" s="1829">
        <f>+'GM Batch2-APA'!D35</f>
        <v>149.63999999999999</v>
      </c>
      <c r="G25" s="1825">
        <f t="shared" si="11"/>
        <v>117574.28571428571</v>
      </c>
      <c r="H25" s="1818">
        <f t="shared" si="6"/>
        <v>0</v>
      </c>
      <c r="I25" s="1818"/>
      <c r="J25" s="2439"/>
      <c r="K25" s="1818">
        <f t="shared" si="7"/>
        <v>0</v>
      </c>
      <c r="L25" s="1826"/>
      <c r="M25" s="1830"/>
      <c r="N25" s="1826"/>
      <c r="O25" s="1818"/>
      <c r="P25" s="1818">
        <f t="shared" si="8"/>
        <v>0</v>
      </c>
      <c r="Q25" s="1826"/>
      <c r="R25" s="1818"/>
      <c r="S25" s="1828"/>
      <c r="T25" s="1818"/>
      <c r="V25" s="1831" t="b">
        <f t="shared" si="9"/>
        <v>0</v>
      </c>
      <c r="W25" s="1822" t="b">
        <f t="shared" si="10"/>
        <v>0</v>
      </c>
    </row>
    <row r="26" spans="2:23" ht="16.5" customHeight="1">
      <c r="B26" s="2436"/>
      <c r="C26" s="2436"/>
      <c r="D26" s="1859" t="str">
        <f>+'GM Batch2-APA'!C41</f>
        <v>Ho Duck4 (APA)</v>
      </c>
      <c r="E26" s="1823">
        <v>1050000</v>
      </c>
      <c r="F26" s="1829">
        <f>+'GM Batch2-APA'!D41</f>
        <v>299.27999999999997</v>
      </c>
      <c r="G26" s="1825">
        <f t="shared" si="11"/>
        <v>235148.57142857142</v>
      </c>
      <c r="H26" s="1818">
        <f t="shared" si="6"/>
        <v>0</v>
      </c>
      <c r="I26" s="1818"/>
      <c r="J26" s="2439"/>
      <c r="K26" s="1818">
        <f t="shared" si="7"/>
        <v>0</v>
      </c>
      <c r="L26" s="1826"/>
      <c r="M26" s="1830"/>
      <c r="N26" s="1826"/>
      <c r="O26" s="1818"/>
      <c r="P26" s="1818">
        <f t="shared" si="8"/>
        <v>0</v>
      </c>
      <c r="Q26" s="1826"/>
      <c r="R26" s="1818"/>
      <c r="S26" s="1828"/>
      <c r="T26" s="1818"/>
      <c r="V26" s="1831" t="b">
        <f t="shared" si="9"/>
        <v>0</v>
      </c>
      <c r="W26" s="1822" t="b">
        <f t="shared" si="10"/>
        <v>0</v>
      </c>
    </row>
    <row r="27" spans="2:23" ht="16.5" customHeight="1">
      <c r="B27" s="2436"/>
      <c r="C27" s="2436"/>
      <c r="D27" s="2440" t="s">
        <v>138</v>
      </c>
      <c r="E27" s="2440"/>
      <c r="F27" s="2442">
        <f>SUM(F21:F26)</f>
        <v>2398.92</v>
      </c>
      <c r="G27" s="2444">
        <f>SUM(G21:G26)</f>
        <v>1884865.7142857143</v>
      </c>
      <c r="H27" s="1832"/>
      <c r="I27" s="1837">
        <f>I28/1470</f>
        <v>0</v>
      </c>
      <c r="J27" s="2439"/>
      <c r="K27" s="1837">
        <f>K28/1470</f>
        <v>0</v>
      </c>
      <c r="L27" s="1833"/>
      <c r="M27" s="1838">
        <f>M28/1470</f>
        <v>0</v>
      </c>
      <c r="N27" s="1833"/>
      <c r="O27" s="1837">
        <f>O28/1470</f>
        <v>0</v>
      </c>
      <c r="P27" s="1838">
        <f>P28/1470</f>
        <v>0</v>
      </c>
      <c r="Q27" s="1833"/>
      <c r="R27" s="1837">
        <f>R28/1470</f>
        <v>0</v>
      </c>
      <c r="S27" s="1848"/>
      <c r="T27" s="1837">
        <f>T28/1470</f>
        <v>0</v>
      </c>
      <c r="V27" s="1848"/>
      <c r="W27" s="1822"/>
    </row>
    <row r="28" spans="2:23" ht="16.5" customHeight="1">
      <c r="B28" s="2436"/>
      <c r="C28" s="2437"/>
      <c r="D28" s="2441"/>
      <c r="E28" s="2441"/>
      <c r="F28" s="2443"/>
      <c r="G28" s="2445"/>
      <c r="H28" s="1839">
        <f>+SUM(H21:H26)</f>
        <v>0</v>
      </c>
      <c r="I28" s="1839">
        <f>+SUM(I21:I26)</f>
        <v>0</v>
      </c>
      <c r="J28" s="2439"/>
      <c r="K28" s="1839">
        <f>+SUM(K21:K26)</f>
        <v>0</v>
      </c>
      <c r="L28" s="1840"/>
      <c r="M28" s="1839">
        <f>+SUM(M21:M26)</f>
        <v>0</v>
      </c>
      <c r="N28" s="1840"/>
      <c r="O28" s="1839">
        <f>+SUM(O21:O26)</f>
        <v>0</v>
      </c>
      <c r="P28" s="1839">
        <f>+SUM(P21:P26)</f>
        <v>0</v>
      </c>
      <c r="Q28" s="1840"/>
      <c r="R28" s="1839">
        <f>+SUM(R21:R26)</f>
        <v>0</v>
      </c>
      <c r="S28" s="1841"/>
      <c r="T28" s="1839">
        <f>+SUM(T21:T26)</f>
        <v>0</v>
      </c>
      <c r="V28" s="1841" t="e">
        <f>+#REF!=H28</f>
        <v>#REF!</v>
      </c>
      <c r="W28" s="1822"/>
    </row>
    <row r="29" spans="2:23" ht="16.5" customHeight="1">
      <c r="B29" s="2436"/>
      <c r="C29" s="2435" t="s">
        <v>202</v>
      </c>
      <c r="D29" s="1859" t="str">
        <f>+'GM Batch2-SPA'!C11</f>
        <v>Galsan (SPA)</v>
      </c>
      <c r="E29" s="1823">
        <v>1050000</v>
      </c>
      <c r="F29" s="1836">
        <f>+'GM Batch2-SPA'!D11</f>
        <v>993.6</v>
      </c>
      <c r="G29" s="1825">
        <f>E29*F29*1.1/1470</f>
        <v>780685.71428571432</v>
      </c>
      <c r="H29" s="1818">
        <f t="shared" ref="H29:H32" si="12">+I29+K29+P29</f>
        <v>0</v>
      </c>
      <c r="I29" s="1832"/>
      <c r="J29" s="2439"/>
      <c r="K29" s="1818">
        <f>+M29+O29</f>
        <v>0</v>
      </c>
      <c r="L29" s="1833"/>
      <c r="M29" s="1834"/>
      <c r="N29" s="1833"/>
      <c r="O29" s="1832"/>
      <c r="P29" s="1818">
        <f>+R29+T29</f>
        <v>0</v>
      </c>
      <c r="Q29" s="1833"/>
      <c r="R29" s="1832"/>
      <c r="S29" s="1835"/>
      <c r="T29" s="1832"/>
      <c r="V29" s="1831" t="b">
        <f>+I29+K29+P29=E29*F29*1.1</f>
        <v>0</v>
      </c>
      <c r="W29" s="1822" t="b">
        <f>+E29*F29*1.1=I29+M29+O29+R29+T29</f>
        <v>0</v>
      </c>
    </row>
    <row r="30" spans="2:23" ht="16.5" customHeight="1">
      <c r="B30" s="2436"/>
      <c r="C30" s="2436"/>
      <c r="D30" s="1859" t="str">
        <f>+'GM Batch2-SPA'!C17</f>
        <v>Mineuri (SPA)</v>
      </c>
      <c r="E30" s="1823">
        <v>1050000</v>
      </c>
      <c r="F30" s="1836">
        <f>+'GM Batch2-SPA'!D17</f>
        <v>993.6</v>
      </c>
      <c r="G30" s="1825">
        <f>E30*F30*1.1/1470</f>
        <v>780685.71428571432</v>
      </c>
      <c r="H30" s="1818">
        <f t="shared" si="12"/>
        <v>0</v>
      </c>
      <c r="I30" s="1832"/>
      <c r="J30" s="2439"/>
      <c r="K30" s="1818">
        <f>+M30+O30</f>
        <v>0</v>
      </c>
      <c r="L30" s="1833"/>
      <c r="M30" s="1834"/>
      <c r="N30" s="1833"/>
      <c r="O30" s="1832"/>
      <c r="P30" s="1818">
        <f>+R30+T30</f>
        <v>0</v>
      </c>
      <c r="Q30" s="1833"/>
      <c r="R30" s="1832"/>
      <c r="S30" s="1835"/>
      <c r="T30" s="1832"/>
      <c r="V30" s="1831" t="b">
        <f>+I30+K30+P30=E30*F30*1.1</f>
        <v>0</v>
      </c>
      <c r="W30" s="1822" t="b">
        <f>+E30*F30*1.1=I30+M30+O30+R30+T30</f>
        <v>0</v>
      </c>
    </row>
    <row r="31" spans="2:23" ht="16.5" customHeight="1">
      <c r="B31" s="2436"/>
      <c r="C31" s="2436"/>
      <c r="D31" s="1859" t="str">
        <f>+'GM Batch2-SPA'!C23</f>
        <v>Seagol(SPA)</v>
      </c>
      <c r="E31" s="1823">
        <v>1050000</v>
      </c>
      <c r="F31" s="1836">
        <f>+'GM Batch2-SPA'!D23</f>
        <v>993.6</v>
      </c>
      <c r="G31" s="1825">
        <f>E31*F31*1.1/1470</f>
        <v>780685.71428571432</v>
      </c>
      <c r="H31" s="1818">
        <f t="shared" si="12"/>
        <v>0</v>
      </c>
      <c r="I31" s="1832"/>
      <c r="J31" s="2439"/>
      <c r="K31" s="1818">
        <f>+M31+O31</f>
        <v>0</v>
      </c>
      <c r="L31" s="1833"/>
      <c r="M31" s="1834"/>
      <c r="N31" s="1833"/>
      <c r="O31" s="1832"/>
      <c r="P31" s="1818">
        <f>+R31+T31</f>
        <v>0</v>
      </c>
      <c r="Q31" s="1833"/>
      <c r="R31" s="1832"/>
      <c r="S31" s="1835"/>
      <c r="T31" s="1832"/>
      <c r="V31" s="1831" t="b">
        <f>+I31+K31+P31=E31*F31*1.1</f>
        <v>0</v>
      </c>
      <c r="W31" s="1822" t="b">
        <f>+E31*F31*1.1=I31+M31+O31+R31+T31</f>
        <v>0</v>
      </c>
    </row>
    <row r="32" spans="2:23" ht="16.5" customHeight="1">
      <c r="B32" s="2436"/>
      <c r="C32" s="2436"/>
      <c r="D32" s="1859" t="str">
        <f>+'GM Batch2-SPA'!C29</f>
        <v>Jaesan (SPA)</v>
      </c>
      <c r="E32" s="1823">
        <v>1050000</v>
      </c>
      <c r="F32" s="1836">
        <f>+'GM Batch2-SPA'!D29</f>
        <v>993.6</v>
      </c>
      <c r="G32" s="1825">
        <f t="shared" ref="G32" si="13">E32*F32*1.1/1470</f>
        <v>780685.71428571432</v>
      </c>
      <c r="H32" s="1818">
        <f t="shared" si="12"/>
        <v>0</v>
      </c>
      <c r="I32" s="1832"/>
      <c r="J32" s="2439"/>
      <c r="K32" s="1818">
        <f t="shared" ref="K32" si="14">+M32+O32</f>
        <v>0</v>
      </c>
      <c r="L32" s="1833"/>
      <c r="M32" s="1834"/>
      <c r="N32" s="1833"/>
      <c r="O32" s="1832"/>
      <c r="P32" s="1818">
        <f t="shared" ref="P32" si="15">+R32+T32</f>
        <v>0</v>
      </c>
      <c r="Q32" s="1833"/>
      <c r="R32" s="1832"/>
      <c r="S32" s="1835"/>
      <c r="T32" s="1832"/>
      <c r="V32" s="1831" t="b">
        <f>+I32+K32+P32=E32*F32*1.1</f>
        <v>0</v>
      </c>
      <c r="W32" s="1822" t="b">
        <f>+E32*F32*1.1=I32+M32+O32+R32+T32</f>
        <v>0</v>
      </c>
    </row>
    <row r="33" spans="2:23" ht="16.5" customHeight="1">
      <c r="B33" s="2436"/>
      <c r="C33" s="2436"/>
      <c r="D33" s="2440" t="s">
        <v>138</v>
      </c>
      <c r="E33" s="2440"/>
      <c r="F33" s="2442">
        <f>SUM(F29:F32)</f>
        <v>3974.4</v>
      </c>
      <c r="G33" s="2444">
        <f>SUM(G29:G32)</f>
        <v>3122742.8571428573</v>
      </c>
      <c r="H33" s="1832"/>
      <c r="I33" s="1837">
        <f>I34/1470</f>
        <v>0</v>
      </c>
      <c r="J33" s="2439"/>
      <c r="K33" s="1837">
        <f>K34/1470</f>
        <v>0</v>
      </c>
      <c r="L33" s="1833"/>
      <c r="M33" s="1838">
        <f>M34/1470</f>
        <v>0</v>
      </c>
      <c r="N33" s="1833"/>
      <c r="O33" s="1837">
        <f>O34/1470</f>
        <v>0</v>
      </c>
      <c r="P33" s="1838">
        <f>P34/1470</f>
        <v>0</v>
      </c>
      <c r="Q33" s="1833"/>
      <c r="R33" s="1837">
        <f>R34/1470</f>
        <v>0</v>
      </c>
      <c r="S33" s="1848"/>
      <c r="T33" s="1837">
        <f>T34/1470</f>
        <v>0</v>
      </c>
      <c r="V33" s="1848"/>
      <c r="W33" s="1822"/>
    </row>
    <row r="34" spans="2:23" ht="16.5" customHeight="1">
      <c r="B34" s="2436"/>
      <c r="C34" s="2437"/>
      <c r="D34" s="2441"/>
      <c r="E34" s="2441"/>
      <c r="F34" s="2443"/>
      <c r="G34" s="2445"/>
      <c r="H34" s="1839">
        <f>+SUM(H29:H32)</f>
        <v>0</v>
      </c>
      <c r="I34" s="1839">
        <f>+SUM(I29:I32)</f>
        <v>0</v>
      </c>
      <c r="J34" s="2439"/>
      <c r="K34" s="1839">
        <f>+SUM(K29:K32)</f>
        <v>0</v>
      </c>
      <c r="L34" s="1840"/>
      <c r="M34" s="1839">
        <f>+SUM(M29:M32)</f>
        <v>0</v>
      </c>
      <c r="N34" s="1840"/>
      <c r="O34" s="1839">
        <f>+SUM(O29:O32)</f>
        <v>0</v>
      </c>
      <c r="P34" s="1839">
        <f>+SUM(P29:P32)</f>
        <v>0</v>
      </c>
      <c r="Q34" s="1840"/>
      <c r="R34" s="1839">
        <f>+SUM(R29:R32)</f>
        <v>0</v>
      </c>
      <c r="S34" s="1841"/>
      <c r="T34" s="1839">
        <f>+SUM(T29:T32)</f>
        <v>0</v>
      </c>
      <c r="V34" s="1841" t="e">
        <f>+#REF!=H34</f>
        <v>#REF!</v>
      </c>
      <c r="W34" s="1822"/>
    </row>
    <row r="35" spans="2:23" ht="16.5" customHeight="1">
      <c r="B35" s="2436"/>
      <c r="C35" s="2435" t="s">
        <v>203</v>
      </c>
      <c r="D35" s="1859" t="str">
        <f>+'DG M&amp;A-SPA_POSN'!C11</f>
        <v>POS-1</v>
      </c>
      <c r="E35" s="1842">
        <f>+'PAYMENT RATIO_RAW'!BK53/1000</f>
        <v>1125915.128968254</v>
      </c>
      <c r="F35" s="1829">
        <f>+'DG M&amp;A-SPA_POSN'!D11</f>
        <v>340.8</v>
      </c>
      <c r="G35" s="1825">
        <f>E35*F35*1.1/1470</f>
        <v>287131.33574667969</v>
      </c>
      <c r="H35" s="1818">
        <f t="shared" ref="H35:H38" si="16">+I35+K35+P35</f>
        <v>0</v>
      </c>
      <c r="I35" s="1830"/>
      <c r="J35" s="2439"/>
      <c r="K35" s="1818">
        <f>+M35+O35</f>
        <v>0</v>
      </c>
      <c r="L35" s="1826"/>
      <c r="M35" s="1818"/>
      <c r="N35" s="1826"/>
      <c r="O35" s="1830"/>
      <c r="P35" s="1818">
        <f>+R35+T35</f>
        <v>0</v>
      </c>
      <c r="Q35" s="1826"/>
      <c r="R35" s="1818"/>
      <c r="S35" s="1828"/>
      <c r="T35" s="1818"/>
      <c r="V35" s="1831" t="b">
        <f>+I35+K35+P35=E35*F35*1.1</f>
        <v>0</v>
      </c>
      <c r="W35" s="1822" t="b">
        <f>+E35*F35*1.1=I35+M35+O35+R35+T35</f>
        <v>0</v>
      </c>
    </row>
    <row r="36" spans="2:23" ht="16.5" customHeight="1">
      <c r="B36" s="2436"/>
      <c r="C36" s="2436"/>
      <c r="D36" s="1859" t="str">
        <f>+'DG M&amp;A-SPA_POSN'!C17</f>
        <v>POS-3</v>
      </c>
      <c r="E36" s="1842">
        <f>+'PAYMENT RATIO_RAW'!BK54/1000</f>
        <v>1125915.128968254</v>
      </c>
      <c r="F36" s="1836">
        <f>+'DG M&amp;A-SPA_POSN'!D17</f>
        <v>144.84</v>
      </c>
      <c r="G36" s="1825">
        <f t="shared" ref="G36:G38" si="17">E36*F36*1.1/1470</f>
        <v>122030.81769233885</v>
      </c>
      <c r="H36" s="1818">
        <f t="shared" si="16"/>
        <v>0</v>
      </c>
      <c r="I36" s="1850"/>
      <c r="J36" s="2439"/>
      <c r="K36" s="1818">
        <f t="shared" ref="K36:K38" si="18">+M36+O36</f>
        <v>0</v>
      </c>
      <c r="L36" s="1833"/>
      <c r="M36" s="1832"/>
      <c r="N36" s="1833"/>
      <c r="O36" s="1834"/>
      <c r="P36" s="1818">
        <f t="shared" ref="P36:P38" si="19">+R36+T36</f>
        <v>0</v>
      </c>
      <c r="Q36" s="1833"/>
      <c r="R36" s="1832"/>
      <c r="S36" s="1848"/>
      <c r="T36" s="1832"/>
      <c r="V36" s="1831" t="b">
        <f>+I36+K36+P36=E36*F36*1.1</f>
        <v>0</v>
      </c>
      <c r="W36" s="1822"/>
    </row>
    <row r="37" spans="2:23" ht="16.5" customHeight="1">
      <c r="B37" s="2436"/>
      <c r="C37" s="2436"/>
      <c r="D37" s="1859" t="str">
        <f>+'DG M&amp;A-SPA_POSN'!C23</f>
        <v>POS-4</v>
      </c>
      <c r="E37" s="1842">
        <f>+'PAYMENT RATIO_RAW'!BK55/1000</f>
        <v>1125915.1267944097</v>
      </c>
      <c r="F37" s="1836">
        <f>+'DG M&amp;A-SPA_POSN'!D23</f>
        <v>807.98</v>
      </c>
      <c r="G37" s="1825">
        <f t="shared" si="17"/>
        <v>680740.54051842319</v>
      </c>
      <c r="H37" s="1818">
        <f t="shared" si="16"/>
        <v>0</v>
      </c>
      <c r="I37" s="1850"/>
      <c r="J37" s="2439"/>
      <c r="K37" s="1818">
        <f t="shared" si="18"/>
        <v>0</v>
      </c>
      <c r="L37" s="1833"/>
      <c r="M37" s="1832"/>
      <c r="N37" s="1833"/>
      <c r="O37" s="1834"/>
      <c r="P37" s="1818">
        <f t="shared" si="19"/>
        <v>0</v>
      </c>
      <c r="Q37" s="1833"/>
      <c r="R37" s="1832"/>
      <c r="S37" s="1848"/>
      <c r="T37" s="1832"/>
      <c r="V37" s="1831" t="b">
        <f>+I37+K37+P37=E37*F37*1.1</f>
        <v>0</v>
      </c>
      <c r="W37" s="1822"/>
    </row>
    <row r="38" spans="2:23" ht="16.5" customHeight="1">
      <c r="B38" s="2436"/>
      <c r="C38" s="2436"/>
      <c r="D38" s="1859" t="str">
        <f>+'DG M&amp;A-SPA_POSN'!C29</f>
        <v>POS-8</v>
      </c>
      <c r="E38" s="1842">
        <f>+'PAYMENT RATIO_RAW'!BK56/1000</f>
        <v>1125915.1295961423</v>
      </c>
      <c r="F38" s="1829">
        <f>+'DG M&amp;A-SPA_POSN'!D29</f>
        <v>249.92</v>
      </c>
      <c r="G38" s="1849">
        <f t="shared" si="17"/>
        <v>210562.9796649896</v>
      </c>
      <c r="H38" s="1818">
        <f t="shared" si="16"/>
        <v>0</v>
      </c>
      <c r="I38" s="1818"/>
      <c r="J38" s="2439"/>
      <c r="K38" s="1818">
        <f t="shared" si="18"/>
        <v>0</v>
      </c>
      <c r="L38" s="1833"/>
      <c r="M38" s="1818"/>
      <c r="N38" s="1826"/>
      <c r="O38" s="1818"/>
      <c r="P38" s="1818">
        <f t="shared" si="19"/>
        <v>0</v>
      </c>
      <c r="Q38" s="1826"/>
      <c r="R38" s="1818"/>
      <c r="S38" s="1828"/>
      <c r="T38" s="1818"/>
      <c r="V38" s="1831" t="b">
        <f>+I38+K38+P38=E38*F38*1.1</f>
        <v>0</v>
      </c>
      <c r="W38" s="1822" t="b">
        <f>+E38*F38*1.1=I38+M38+O38+R38+T38</f>
        <v>0</v>
      </c>
    </row>
    <row r="39" spans="2:23" ht="16.5" customHeight="1">
      <c r="B39" s="2436"/>
      <c r="C39" s="2436"/>
      <c r="D39" s="2440" t="s">
        <v>138</v>
      </c>
      <c r="E39" s="2440"/>
      <c r="F39" s="2442">
        <f>+SUM(F35:F38)</f>
        <v>1543.54</v>
      </c>
      <c r="G39" s="2444">
        <f>+SUM(G35:G38)</f>
        <v>1300465.6736224312</v>
      </c>
      <c r="H39" s="1837">
        <f>H40/1470</f>
        <v>0</v>
      </c>
      <c r="I39" s="1837">
        <f>I40/1470</f>
        <v>0</v>
      </c>
      <c r="J39" s="1837">
        <f>J40/1470</f>
        <v>378254.36387755099</v>
      </c>
      <c r="K39" s="1837">
        <f>K40/1470</f>
        <v>0</v>
      </c>
      <c r="L39" s="1833"/>
      <c r="M39" s="1838">
        <f>M40/1470</f>
        <v>0</v>
      </c>
      <c r="N39" s="1833"/>
      <c r="O39" s="1837">
        <f>O40/1470</f>
        <v>0</v>
      </c>
      <c r="P39" s="1838">
        <f>P40/1470</f>
        <v>0</v>
      </c>
      <c r="Q39" s="1833"/>
      <c r="R39" s="1837">
        <f>R40/1470</f>
        <v>0</v>
      </c>
      <c r="S39" s="1848"/>
      <c r="T39" s="1837">
        <f>T40/1470</f>
        <v>0</v>
      </c>
      <c r="V39" s="1848"/>
      <c r="W39" s="1822"/>
    </row>
    <row r="40" spans="2:23" ht="16.5" customHeight="1">
      <c r="B40" s="2436"/>
      <c r="C40" s="2437"/>
      <c r="D40" s="2441"/>
      <c r="E40" s="2441"/>
      <c r="F40" s="2443"/>
      <c r="G40" s="2445"/>
      <c r="H40" s="1839">
        <f>+SUM(H35:H38)</f>
        <v>0</v>
      </c>
      <c r="I40" s="1839">
        <f>+SUM(I35:I38)</f>
        <v>0</v>
      </c>
      <c r="J40" s="1839">
        <f>+Summary!E7</f>
        <v>556033914.89999998</v>
      </c>
      <c r="K40" s="1839">
        <f>+SUM(K35:K38)</f>
        <v>0</v>
      </c>
      <c r="L40" s="1840"/>
      <c r="M40" s="1839">
        <f>+SUM(M35:M38)</f>
        <v>0</v>
      </c>
      <c r="N40" s="1840"/>
      <c r="O40" s="1839">
        <f>+SUM(O35:O38)</f>
        <v>0</v>
      </c>
      <c r="P40" s="1839">
        <f>+SUM(P35:P38)</f>
        <v>0</v>
      </c>
      <c r="Q40" s="1840"/>
      <c r="R40" s="1839">
        <f>+SUM(R35:R38)</f>
        <v>0</v>
      </c>
      <c r="S40" s="1841"/>
      <c r="T40" s="1839">
        <f>+SUM(T35:T38)</f>
        <v>0</v>
      </c>
      <c r="V40" s="1841" t="e">
        <f>+#REF!=H40</f>
        <v>#REF!</v>
      </c>
      <c r="W40" s="1822"/>
    </row>
    <row r="41" spans="2:23" ht="16.5" customHeight="1">
      <c r="B41" s="2436"/>
      <c r="C41" s="2478" t="s">
        <v>204</v>
      </c>
      <c r="D41" s="2479"/>
      <c r="E41" s="2480"/>
      <c r="F41" s="2484">
        <f>+F19+F27+F33</f>
        <v>14369.04</v>
      </c>
      <c r="G41" s="2485">
        <f>+G33+G27+G19</f>
        <v>11289960</v>
      </c>
      <c r="H41" s="1851">
        <f>H42/1470</f>
        <v>0</v>
      </c>
      <c r="I41" s="1851">
        <f t="shared" ref="I41:T41" si="20">I42/1470</f>
        <v>0</v>
      </c>
      <c r="J41" s="1851">
        <f t="shared" si="20"/>
        <v>0</v>
      </c>
      <c r="K41" s="1851">
        <f t="shared" si="20"/>
        <v>0</v>
      </c>
      <c r="L41" s="1851"/>
      <c r="M41" s="1851">
        <f t="shared" si="20"/>
        <v>0</v>
      </c>
      <c r="N41" s="1851"/>
      <c r="O41" s="1851">
        <f t="shared" si="20"/>
        <v>0</v>
      </c>
      <c r="P41" s="1851">
        <f t="shared" si="20"/>
        <v>0</v>
      </c>
      <c r="Q41" s="1851"/>
      <c r="R41" s="1851">
        <f t="shared" si="20"/>
        <v>0</v>
      </c>
      <c r="S41" s="1851"/>
      <c r="T41" s="1851">
        <f t="shared" si="20"/>
        <v>0</v>
      </c>
      <c r="V41" s="1853"/>
      <c r="W41" s="1822"/>
    </row>
    <row r="42" spans="2:23" ht="16.5" customHeight="1">
      <c r="B42" s="2436"/>
      <c r="C42" s="2486"/>
      <c r="D42" s="2487"/>
      <c r="E42" s="2488"/>
      <c r="F42" s="2443"/>
      <c r="G42" s="2445"/>
      <c r="H42" s="1852">
        <f>+H20+H28+H34</f>
        <v>0</v>
      </c>
      <c r="I42" s="1852">
        <f t="shared" ref="I42:T42" si="21">+I20+I28+I34</f>
        <v>0</v>
      </c>
      <c r="J42" s="1852">
        <f t="shared" si="21"/>
        <v>0</v>
      </c>
      <c r="K42" s="1852">
        <f t="shared" si="21"/>
        <v>0</v>
      </c>
      <c r="L42" s="1852"/>
      <c r="M42" s="1852">
        <f t="shared" si="21"/>
        <v>0</v>
      </c>
      <c r="N42" s="1852"/>
      <c r="O42" s="1852">
        <f t="shared" si="21"/>
        <v>0</v>
      </c>
      <c r="P42" s="1852">
        <f t="shared" si="21"/>
        <v>0</v>
      </c>
      <c r="Q42" s="1852"/>
      <c r="R42" s="1852">
        <f t="shared" si="21"/>
        <v>0</v>
      </c>
      <c r="S42" s="1852"/>
      <c r="T42" s="1852">
        <f t="shared" si="21"/>
        <v>0</v>
      </c>
      <c r="V42" s="1853"/>
      <c r="W42" s="1822"/>
    </row>
    <row r="43" spans="2:23" ht="16.5" customHeight="1">
      <c r="B43" s="2436"/>
      <c r="C43" s="2478" t="s">
        <v>203</v>
      </c>
      <c r="D43" s="2479"/>
      <c r="E43" s="2480"/>
      <c r="F43" s="2484">
        <f>+F39</f>
        <v>1543.54</v>
      </c>
      <c r="G43" s="2485">
        <f>+G39</f>
        <v>1300465.6736224312</v>
      </c>
      <c r="H43" s="1851">
        <f>H44/1470</f>
        <v>0</v>
      </c>
      <c r="I43" s="1851">
        <f t="shared" ref="I43:T43" si="22">I44/1470</f>
        <v>0</v>
      </c>
      <c r="J43" s="1851">
        <f t="shared" si="22"/>
        <v>378254.36387755099</v>
      </c>
      <c r="K43" s="1851">
        <f t="shared" si="22"/>
        <v>0</v>
      </c>
      <c r="L43" s="1851"/>
      <c r="M43" s="1851">
        <f t="shared" si="22"/>
        <v>0</v>
      </c>
      <c r="N43" s="1851"/>
      <c r="O43" s="1851">
        <f t="shared" si="22"/>
        <v>0</v>
      </c>
      <c r="P43" s="1851">
        <f t="shared" si="22"/>
        <v>0</v>
      </c>
      <c r="Q43" s="1851"/>
      <c r="R43" s="1851">
        <f t="shared" si="22"/>
        <v>0</v>
      </c>
      <c r="S43" s="1851"/>
      <c r="T43" s="1851">
        <f t="shared" si="22"/>
        <v>0</v>
      </c>
      <c r="V43" s="1853"/>
      <c r="W43" s="1822"/>
    </row>
    <row r="44" spans="2:23" ht="16.5" customHeight="1">
      <c r="B44" s="2436"/>
      <c r="C44" s="2481"/>
      <c r="D44" s="2482"/>
      <c r="E44" s="2483"/>
      <c r="F44" s="2443"/>
      <c r="G44" s="2445"/>
      <c r="H44" s="1852">
        <f>+H40</f>
        <v>0</v>
      </c>
      <c r="I44" s="1852">
        <f t="shared" ref="I44:T44" si="23">+I40</f>
        <v>0</v>
      </c>
      <c r="J44" s="1852">
        <f t="shared" si="23"/>
        <v>556033914.89999998</v>
      </c>
      <c r="K44" s="1852">
        <f t="shared" si="23"/>
        <v>0</v>
      </c>
      <c r="L44" s="1852"/>
      <c r="M44" s="1852">
        <f t="shared" si="23"/>
        <v>0</v>
      </c>
      <c r="N44" s="1852"/>
      <c r="O44" s="1852">
        <f t="shared" si="23"/>
        <v>0</v>
      </c>
      <c r="P44" s="1852">
        <f t="shared" si="23"/>
        <v>0</v>
      </c>
      <c r="Q44" s="1852"/>
      <c r="R44" s="1852">
        <f t="shared" si="23"/>
        <v>0</v>
      </c>
      <c r="S44" s="1852"/>
      <c r="T44" s="1852">
        <f t="shared" si="23"/>
        <v>0</v>
      </c>
      <c r="V44" s="1853"/>
      <c r="W44" s="1822"/>
    </row>
    <row r="45" spans="2:23" ht="16.5" customHeight="1">
      <c r="B45" s="2455" t="s">
        <v>138</v>
      </c>
      <c r="C45" s="2456"/>
      <c r="D45" s="2456"/>
      <c r="E45" s="2457"/>
      <c r="F45" s="2458">
        <f>+F41+F43</f>
        <v>15912.580000000002</v>
      </c>
      <c r="G45" s="2459">
        <f>+G41+G43</f>
        <v>12590425.673622431</v>
      </c>
      <c r="H45" s="1851">
        <f>H46/1470</f>
        <v>0</v>
      </c>
      <c r="I45" s="1851">
        <f t="shared" ref="I45:T45" si="24">I46/1470</f>
        <v>0</v>
      </c>
      <c r="J45" s="1851">
        <f t="shared" si="24"/>
        <v>378254.36387755099</v>
      </c>
      <c r="K45" s="1851">
        <f t="shared" si="24"/>
        <v>0</v>
      </c>
      <c r="L45" s="1851"/>
      <c r="M45" s="1851">
        <f t="shared" si="24"/>
        <v>0</v>
      </c>
      <c r="N45" s="1851"/>
      <c r="O45" s="1851">
        <f t="shared" si="24"/>
        <v>0</v>
      </c>
      <c r="P45" s="1851">
        <f t="shared" si="24"/>
        <v>0</v>
      </c>
      <c r="Q45" s="1851"/>
      <c r="R45" s="1851">
        <f t="shared" si="24"/>
        <v>0</v>
      </c>
      <c r="S45" s="1851"/>
      <c r="T45" s="1851">
        <f t="shared" si="24"/>
        <v>0</v>
      </c>
      <c r="V45" s="1853"/>
      <c r="W45" s="1822"/>
    </row>
    <row r="46" spans="2:23" ht="16.5" customHeight="1">
      <c r="B46" s="2426"/>
      <c r="C46" s="2427"/>
      <c r="D46" s="2427"/>
      <c r="E46" s="2428"/>
      <c r="F46" s="2430"/>
      <c r="G46" s="2398"/>
      <c r="H46" s="1854">
        <f>+H44+H42</f>
        <v>0</v>
      </c>
      <c r="I46" s="1854">
        <f t="shared" ref="I46:T46" si="25">+I44+I42</f>
        <v>0</v>
      </c>
      <c r="J46" s="1854">
        <f t="shared" si="25"/>
        <v>556033914.89999998</v>
      </c>
      <c r="K46" s="1854">
        <f t="shared" si="25"/>
        <v>0</v>
      </c>
      <c r="L46" s="1854"/>
      <c r="M46" s="1854">
        <f t="shared" si="25"/>
        <v>0</v>
      </c>
      <c r="N46" s="1854"/>
      <c r="O46" s="1854">
        <f t="shared" si="25"/>
        <v>0</v>
      </c>
      <c r="P46" s="1854">
        <f t="shared" si="25"/>
        <v>0</v>
      </c>
      <c r="Q46" s="1854"/>
      <c r="R46" s="1854">
        <f t="shared" si="25"/>
        <v>0</v>
      </c>
      <c r="S46" s="1854"/>
      <c r="T46" s="1854">
        <f t="shared" si="25"/>
        <v>0</v>
      </c>
      <c r="V46" s="1855"/>
      <c r="W46" s="1822"/>
    </row>
    <row r="47" spans="2:23" ht="16.5" customHeight="1">
      <c r="F47" s="1809"/>
      <c r="G47" s="1809"/>
      <c r="J47" s="1822"/>
      <c r="L47" s="1809"/>
      <c r="N47" s="1809"/>
      <c r="S47" s="1809"/>
    </row>
    <row r="48" spans="2:23" ht="16.5" customHeight="1">
      <c r="F48" s="1809"/>
      <c r="G48" s="1809"/>
      <c r="I48" s="1822"/>
      <c r="J48" s="1822"/>
      <c r="L48" s="1809"/>
      <c r="N48" s="1809"/>
      <c r="S48" s="1809"/>
    </row>
    <row r="49" spans="6:20" ht="16.5" customHeight="1">
      <c r="F49" s="1809"/>
      <c r="G49" s="1809"/>
      <c r="I49" s="1822"/>
      <c r="J49" s="1822"/>
      <c r="L49" s="1809"/>
      <c r="M49" s="1822"/>
      <c r="N49" s="1809"/>
      <c r="O49" s="1822"/>
      <c r="R49" s="1822"/>
      <c r="S49" s="1809"/>
      <c r="T49" s="1822"/>
    </row>
    <row r="50" spans="6:20" ht="16.5" customHeight="1">
      <c r="F50" s="1809"/>
      <c r="G50" s="1809"/>
      <c r="I50" s="1822"/>
      <c r="J50" s="1856"/>
      <c r="L50" s="1809"/>
      <c r="M50" s="1822"/>
      <c r="N50" s="1809"/>
      <c r="S50" s="1809"/>
      <c r="T50" s="1822"/>
    </row>
    <row r="51" spans="6:20" ht="16.5" customHeight="1">
      <c r="F51" s="1809"/>
      <c r="G51" s="1809"/>
      <c r="I51" s="1822"/>
      <c r="J51" s="1856"/>
      <c r="L51" s="1809"/>
      <c r="M51" s="1857"/>
      <c r="N51" s="1809"/>
      <c r="S51" s="1809"/>
    </row>
    <row r="52" spans="6:20" ht="16.5" customHeight="1">
      <c r="F52" s="1809"/>
      <c r="G52" s="1809"/>
      <c r="I52" s="1856"/>
      <c r="L52" s="1809"/>
      <c r="N52" s="1809"/>
      <c r="S52" s="1809"/>
    </row>
    <row r="53" spans="6:20" ht="16.5" customHeight="1">
      <c r="F53" s="1809"/>
    </row>
    <row r="54" spans="6:20" ht="16.5" customHeight="1">
      <c r="F54" s="1809"/>
    </row>
    <row r="55" spans="6:20" ht="16.5" customHeight="1">
      <c r="F55" s="1809"/>
    </row>
    <row r="56" spans="6:20" ht="16.5" customHeight="1">
      <c r="F56" s="1809"/>
    </row>
    <row r="57" spans="6:20" ht="16.5" customHeight="1"/>
    <row r="58" spans="6:20" ht="16.5" customHeight="1"/>
    <row r="59" spans="6:20" ht="16.5" customHeight="1"/>
    <row r="60" spans="6:20" ht="16.5" customHeight="1"/>
    <row r="61" spans="6:20" ht="16.5" customHeight="1"/>
    <row r="62" spans="6:20" ht="16.5" customHeight="1"/>
  </sheetData>
  <mergeCells count="43">
    <mergeCell ref="G9:G10"/>
    <mergeCell ref="B9:B10"/>
    <mergeCell ref="C9:C10"/>
    <mergeCell ref="D9:D10"/>
    <mergeCell ref="E9:E10"/>
    <mergeCell ref="F9:F10"/>
    <mergeCell ref="P9:P10"/>
    <mergeCell ref="Q9:R9"/>
    <mergeCell ref="S9:T10"/>
    <mergeCell ref="V9:V10"/>
    <mergeCell ref="B11:B44"/>
    <mergeCell ref="C11:C20"/>
    <mergeCell ref="J11:J38"/>
    <mergeCell ref="D19:E20"/>
    <mergeCell ref="F19:F20"/>
    <mergeCell ref="G19:G20"/>
    <mergeCell ref="H9:H10"/>
    <mergeCell ref="I9:I10"/>
    <mergeCell ref="J9:J10"/>
    <mergeCell ref="K9:K10"/>
    <mergeCell ref="L9:M9"/>
    <mergeCell ref="N9:O9"/>
    <mergeCell ref="C21:C28"/>
    <mergeCell ref="D27:E28"/>
    <mergeCell ref="F27:F28"/>
    <mergeCell ref="G27:G28"/>
    <mergeCell ref="C29:C34"/>
    <mergeCell ref="D33:E34"/>
    <mergeCell ref="F33:F34"/>
    <mergeCell ref="G33:G34"/>
    <mergeCell ref="C35:C40"/>
    <mergeCell ref="D39:E40"/>
    <mergeCell ref="F39:F40"/>
    <mergeCell ref="G39:G40"/>
    <mergeCell ref="C41:E42"/>
    <mergeCell ref="F41:F42"/>
    <mergeCell ref="G41:G42"/>
    <mergeCell ref="C43:E44"/>
    <mergeCell ref="F43:F44"/>
    <mergeCell ref="G43:G44"/>
    <mergeCell ref="B45:E46"/>
    <mergeCell ref="F45:F46"/>
    <mergeCell ref="G45:G46"/>
  </mergeCells>
  <phoneticPr fontId="1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CEA0-4191-4DBB-BF27-087F9A83E70E}">
  <dimension ref="A1:W328"/>
  <sheetViews>
    <sheetView tabSelected="1" zoomScaleNormal="100" workbookViewId="0">
      <pane xSplit="2" ySplit="6" topLeftCell="D7" activePane="bottomRight" state="frozen"/>
      <selection activeCell="I29" sqref="I29"/>
      <selection pane="topRight" activeCell="I29" sqref="I29"/>
      <selection pane="bottomLeft" activeCell="I29" sqref="I29"/>
      <selection pane="bottomRight" activeCell="D9" sqref="D9"/>
    </sheetView>
  </sheetViews>
  <sheetFormatPr defaultColWidth="9.125" defaultRowHeight="12.75" outlineLevelRow="2"/>
  <cols>
    <col min="1" max="1" width="3" style="2209" customWidth="1"/>
    <col min="2" max="2" width="26.875" style="2209" bestFit="1" customWidth="1"/>
    <col min="3" max="3" width="54.75" style="2254" customWidth="1"/>
    <col min="4" max="4" width="29.375" style="2209" customWidth="1"/>
    <col min="5" max="14" width="15.75" style="2209" customWidth="1"/>
    <col min="15" max="15" width="15.75" style="2209" hidden="1" customWidth="1"/>
    <col min="16" max="17" width="15.75" style="2209" customWidth="1"/>
    <col min="18" max="23" width="15.75" style="2209" hidden="1" customWidth="1"/>
    <col min="24" max="16384" width="9.125" style="2209"/>
  </cols>
  <sheetData>
    <row r="1" spans="1:23" s="2194" customFormat="1" ht="15">
      <c r="A1" s="2193" t="s">
        <v>2631</v>
      </c>
      <c r="C1" s="2195"/>
      <c r="E1" s="2196"/>
      <c r="F1" s="2196"/>
      <c r="G1" s="2196"/>
      <c r="H1" s="2196"/>
      <c r="I1" s="2196"/>
      <c r="J1" s="2196"/>
      <c r="K1" s="2196"/>
      <c r="L1" s="2196"/>
      <c r="M1" s="2196"/>
      <c r="N1" s="2196"/>
      <c r="O1" s="2196"/>
    </row>
    <row r="2" spans="1:23" s="2194" customFormat="1" ht="37.5" customHeight="1">
      <c r="B2" s="2197"/>
      <c r="C2" s="2198"/>
      <c r="D2" s="2199"/>
      <c r="E2" s="2200" t="s">
        <v>2632</v>
      </c>
      <c r="F2" s="2200" t="s">
        <v>2633</v>
      </c>
      <c r="G2" s="2200" t="s">
        <v>2634</v>
      </c>
      <c r="H2" s="2200" t="s">
        <v>2635</v>
      </c>
      <c r="I2" s="2200" t="s">
        <v>2636</v>
      </c>
      <c r="J2" s="2200" t="s">
        <v>2637</v>
      </c>
      <c r="K2" s="2200" t="s">
        <v>2638</v>
      </c>
      <c r="L2" s="2200" t="s">
        <v>2639</v>
      </c>
      <c r="M2" s="2200" t="s">
        <v>2640</v>
      </c>
      <c r="N2" s="2200" t="s">
        <v>2641</v>
      </c>
      <c r="O2" s="2200" t="s">
        <v>2641</v>
      </c>
      <c r="R2" s="2201" t="s">
        <v>2632</v>
      </c>
      <c r="S2" s="2201" t="s">
        <v>2633</v>
      </c>
      <c r="T2" s="2201" t="s">
        <v>2634</v>
      </c>
      <c r="U2" s="2201" t="s">
        <v>2635</v>
      </c>
      <c r="V2" s="2201" t="s">
        <v>2636</v>
      </c>
      <c r="W2" s="2201" t="s">
        <v>2637</v>
      </c>
    </row>
    <row r="3" spans="1:23" s="2194" customFormat="1" ht="27.75" customHeight="1">
      <c r="B3" s="2202" t="s">
        <v>2642</v>
      </c>
      <c r="C3" s="2203"/>
      <c r="D3" s="2202"/>
      <c r="E3" s="2204"/>
      <c r="F3" s="2204"/>
      <c r="G3" s="2204"/>
      <c r="H3" s="2204"/>
      <c r="I3" s="2204"/>
      <c r="J3" s="2204"/>
      <c r="K3" s="2204"/>
      <c r="L3" s="2204"/>
      <c r="M3" s="2204"/>
      <c r="N3" s="2204"/>
      <c r="O3" s="2204"/>
      <c r="R3" s="2205"/>
      <c r="S3" s="2205"/>
      <c r="T3" s="2205"/>
      <c r="U3" s="2205"/>
      <c r="V3" s="2205"/>
      <c r="W3" s="2205"/>
    </row>
    <row r="4" spans="1:23" s="2194" customFormat="1" ht="15" outlineLevel="1">
      <c r="B4" s="2197"/>
      <c r="C4" s="2198"/>
      <c r="D4" s="2199"/>
      <c r="E4" s="2206"/>
      <c r="F4" s="2206"/>
      <c r="G4" s="2207"/>
      <c r="H4" s="2206"/>
      <c r="I4" s="2206"/>
      <c r="J4" s="2206"/>
      <c r="K4" s="2206"/>
      <c r="L4" s="2206"/>
      <c r="N4" s="2344" t="s">
        <v>2643</v>
      </c>
      <c r="R4" s="2208"/>
      <c r="S4" s="2208"/>
      <c r="T4" s="2208"/>
      <c r="U4" s="2208"/>
      <c r="V4" s="2208"/>
      <c r="W4" s="2208"/>
    </row>
    <row r="5" spans="1:23" ht="33" customHeight="1" outlineLevel="1">
      <c r="B5" s="2210" t="s">
        <v>2644</v>
      </c>
      <c r="C5" s="2211" t="s">
        <v>2645</v>
      </c>
      <c r="D5" s="2212"/>
      <c r="E5" s="2213" t="s">
        <v>2792</v>
      </c>
      <c r="F5" s="2213" t="s">
        <v>2793</v>
      </c>
      <c r="G5" s="2213" t="s">
        <v>2791</v>
      </c>
      <c r="H5" s="2213" t="s">
        <v>2790</v>
      </c>
      <c r="I5" s="2213" t="s">
        <v>2794</v>
      </c>
      <c r="J5" s="2213" t="s">
        <v>2789</v>
      </c>
      <c r="K5" s="2213" t="s">
        <v>410</v>
      </c>
      <c r="L5" s="2213" t="s">
        <v>415</v>
      </c>
      <c r="M5" s="2213" t="s">
        <v>418</v>
      </c>
      <c r="N5" s="2213" t="s">
        <v>421</v>
      </c>
      <c r="O5" s="2213"/>
      <c r="R5" s="2213">
        <f>+'[3]BT 2HO'!R11</f>
        <v>0</v>
      </c>
      <c r="S5" s="2213">
        <f>+'[3]BT 2HO'!R16</f>
        <v>0</v>
      </c>
      <c r="T5" s="2213">
        <f>+'[3]BT 2HO'!R21</f>
        <v>0</v>
      </c>
      <c r="U5" s="2213">
        <f>+'[3]BT 2HO'!R26</f>
        <v>0</v>
      </c>
      <c r="V5" s="2213">
        <f>+'[3]BT 2HO'!R31</f>
        <v>0</v>
      </c>
      <c r="W5" s="2213">
        <f>+'[3]BT 2HO'!R41</f>
        <v>0</v>
      </c>
    </row>
    <row r="6" spans="1:23" ht="24" customHeight="1" outlineLevel="1">
      <c r="B6" s="2210" t="s">
        <v>1916</v>
      </c>
      <c r="C6" s="2211" t="s">
        <v>2645</v>
      </c>
      <c r="D6" s="2212"/>
      <c r="E6" s="2213" t="s">
        <v>2779</v>
      </c>
      <c r="F6" s="2213" t="s">
        <v>2780</v>
      </c>
      <c r="G6" s="2213" t="s">
        <v>2781</v>
      </c>
      <c r="H6" s="2213" t="s">
        <v>2782</v>
      </c>
      <c r="I6" s="2213" t="s">
        <v>2783</v>
      </c>
      <c r="J6" s="2213" t="s">
        <v>2784</v>
      </c>
      <c r="K6" s="2213" t="s">
        <v>410</v>
      </c>
      <c r="L6" s="2213" t="s">
        <v>415</v>
      </c>
      <c r="M6" s="2213" t="s">
        <v>418</v>
      </c>
      <c r="N6" s="2213" t="s">
        <v>421</v>
      </c>
      <c r="O6" s="2213"/>
      <c r="R6" s="2213">
        <f t="shared" ref="R6:W6" si="0">+R5</f>
        <v>0</v>
      </c>
      <c r="S6" s="2213">
        <f t="shared" si="0"/>
        <v>0</v>
      </c>
      <c r="T6" s="2213">
        <f t="shared" si="0"/>
        <v>0</v>
      </c>
      <c r="U6" s="2213">
        <f t="shared" si="0"/>
        <v>0</v>
      </c>
      <c r="V6" s="2213">
        <f t="shared" si="0"/>
        <v>0</v>
      </c>
      <c r="W6" s="2213">
        <f t="shared" si="0"/>
        <v>0</v>
      </c>
    </row>
    <row r="7" spans="1:23" ht="14.25" outlineLevel="1">
      <c r="B7" s="2210" t="s">
        <v>2646</v>
      </c>
      <c r="C7" s="2214" t="s">
        <v>2647</v>
      </c>
      <c r="D7" s="2215"/>
      <c r="E7" s="2213" t="s">
        <v>2648</v>
      </c>
      <c r="F7" s="2213" t="s">
        <v>2648</v>
      </c>
      <c r="G7" s="2213" t="s">
        <v>2648</v>
      </c>
      <c r="H7" s="2213" t="s">
        <v>2648</v>
      </c>
      <c r="I7" s="2213" t="s">
        <v>2648</v>
      </c>
      <c r="J7" s="2213" t="s">
        <v>2648</v>
      </c>
      <c r="K7" s="2213" t="s">
        <v>2648</v>
      </c>
      <c r="L7" s="2213" t="s">
        <v>2648</v>
      </c>
      <c r="M7" s="2213" t="s">
        <v>2648</v>
      </c>
      <c r="N7" s="2213" t="s">
        <v>2648</v>
      </c>
      <c r="O7" s="2213" t="s">
        <v>2648</v>
      </c>
      <c r="R7" s="2213" t="s">
        <v>2648</v>
      </c>
      <c r="S7" s="2213" t="s">
        <v>2648</v>
      </c>
      <c r="T7" s="2213" t="s">
        <v>2648</v>
      </c>
      <c r="U7" s="2213" t="s">
        <v>2648</v>
      </c>
      <c r="V7" s="2213" t="s">
        <v>2648</v>
      </c>
      <c r="W7" s="2213" t="s">
        <v>2648</v>
      </c>
    </row>
    <row r="8" spans="1:23" s="2216" customFormat="1" ht="38.25" outlineLevel="2">
      <c r="B8" s="2217" t="s">
        <v>2649</v>
      </c>
      <c r="C8" s="2218" t="s">
        <v>2650</v>
      </c>
      <c r="D8" s="2219"/>
      <c r="E8" s="2213" t="s">
        <v>2796</v>
      </c>
      <c r="F8" s="2213" t="s">
        <v>2795</v>
      </c>
      <c r="G8" s="2213" t="s">
        <v>2797</v>
      </c>
      <c r="H8" s="2213" t="s">
        <v>2798</v>
      </c>
      <c r="I8" s="2213" t="s">
        <v>2798</v>
      </c>
      <c r="J8" s="2213" t="s">
        <v>2799</v>
      </c>
      <c r="K8" s="2213" t="s">
        <v>2800</v>
      </c>
      <c r="L8" s="2213" t="s">
        <v>2800</v>
      </c>
      <c r="M8" s="2213" t="s">
        <v>2800</v>
      </c>
      <c r="N8" s="2213" t="s">
        <v>2800</v>
      </c>
      <c r="O8" s="2220"/>
      <c r="R8" s="2220" t="s">
        <v>2652</v>
      </c>
      <c r="S8" s="2220" t="s">
        <v>2652</v>
      </c>
      <c r="T8" s="2220" t="s">
        <v>2653</v>
      </c>
      <c r="U8" s="2220" t="s">
        <v>2651</v>
      </c>
      <c r="V8" s="2220" t="s">
        <v>2651</v>
      </c>
      <c r="W8" s="2220" t="s">
        <v>2651</v>
      </c>
    </row>
    <row r="9" spans="1:23" ht="14.25" outlineLevel="2">
      <c r="B9" s="2210" t="s">
        <v>2654</v>
      </c>
      <c r="C9" s="2214" t="s">
        <v>2655</v>
      </c>
      <c r="D9" s="2215"/>
      <c r="E9" s="2213" t="s">
        <v>2656</v>
      </c>
      <c r="F9" s="2213" t="s">
        <v>2656</v>
      </c>
      <c r="G9" s="2213" t="s">
        <v>2656</v>
      </c>
      <c r="H9" s="2213" t="s">
        <v>2656</v>
      </c>
      <c r="I9" s="2213" t="s">
        <v>2656</v>
      </c>
      <c r="J9" s="2213" t="s">
        <v>2656</v>
      </c>
      <c r="K9" s="2213" t="s">
        <v>2656</v>
      </c>
      <c r="L9" s="2213" t="s">
        <v>2656</v>
      </c>
      <c r="M9" s="2213" t="s">
        <v>2656</v>
      </c>
      <c r="N9" s="2213" t="s">
        <v>2656</v>
      </c>
      <c r="O9" s="2221" t="s">
        <v>2656</v>
      </c>
      <c r="R9" s="2221" t="s">
        <v>2656</v>
      </c>
      <c r="S9" s="2221" t="s">
        <v>2656</v>
      </c>
      <c r="T9" s="2221" t="s">
        <v>2656</v>
      </c>
      <c r="U9" s="2221" t="s">
        <v>2656</v>
      </c>
      <c r="V9" s="2221" t="s">
        <v>2656</v>
      </c>
      <c r="W9" s="2221" t="s">
        <v>2656</v>
      </c>
    </row>
    <row r="10" spans="1:23" s="2216" customFormat="1" ht="14.25" outlineLevel="2">
      <c r="B10" s="2217" t="s">
        <v>2657</v>
      </c>
      <c r="C10" s="2218" t="s">
        <v>2655</v>
      </c>
      <c r="D10" s="2222"/>
      <c r="E10" s="2213" t="str">
        <f>+'[4]입력 시트(0124)'!E10</f>
        <v>RTB</v>
      </c>
      <c r="F10" s="2213" t="str">
        <f>+'[4]입력 시트(0124)'!F10</f>
        <v>RTB</v>
      </c>
      <c r="G10" s="2213" t="str">
        <f>+'[4]입력 시트(0124)'!G10</f>
        <v>RTB</v>
      </c>
      <c r="H10" s="2213" t="str">
        <f>+'[4]입력 시트(0124)'!H10</f>
        <v>RTB</v>
      </c>
      <c r="I10" s="2213" t="str">
        <f>+'[4]입력 시트(0124)'!I10</f>
        <v>RTB</v>
      </c>
      <c r="J10" s="2213" t="str">
        <f>+'[4]입력 시트(0124)'!J10</f>
        <v>RTB</v>
      </c>
      <c r="K10" s="2213" t="str">
        <f>+'[4]입력 시트(0124)'!K10</f>
        <v>RTB</v>
      </c>
      <c r="L10" s="2213" t="str">
        <f>+'[4]입력 시트(0124)'!L10</f>
        <v>RTB</v>
      </c>
      <c r="M10" s="2213" t="str">
        <f>+'[4]입력 시트(0124)'!M10</f>
        <v>RTB</v>
      </c>
      <c r="N10" s="2213" t="str">
        <f>+'[4]입력 시트(0124)'!N10</f>
        <v>RTB</v>
      </c>
      <c r="O10" s="2221" t="s">
        <v>1371</v>
      </c>
      <c r="R10" s="2221" t="s">
        <v>2658</v>
      </c>
      <c r="S10" s="2221" t="s">
        <v>2658</v>
      </c>
      <c r="T10" s="2221" t="s">
        <v>2658</v>
      </c>
      <c r="U10" s="2221" t="s">
        <v>2658</v>
      </c>
      <c r="V10" s="2221" t="s">
        <v>2658</v>
      </c>
      <c r="W10" s="2221" t="s">
        <v>1371</v>
      </c>
    </row>
    <row r="11" spans="1:23" ht="29.25" customHeight="1" outlineLevel="1">
      <c r="B11" s="2210" t="s">
        <v>2659</v>
      </c>
      <c r="C11" s="2491" t="s">
        <v>2660</v>
      </c>
      <c r="D11" s="2491"/>
      <c r="E11" s="2213" t="s">
        <v>2785</v>
      </c>
      <c r="F11" s="2213" t="s">
        <v>2785</v>
      </c>
      <c r="G11" s="2213" t="s">
        <v>2785</v>
      </c>
      <c r="H11" s="2213" t="s">
        <v>2785</v>
      </c>
      <c r="I11" s="2213" t="s">
        <v>2785</v>
      </c>
      <c r="J11" s="2213" t="s">
        <v>2785</v>
      </c>
      <c r="K11" s="2213" t="s">
        <v>2785</v>
      </c>
      <c r="L11" s="2213" t="s">
        <v>2785</v>
      </c>
      <c r="M11" s="2213" t="s">
        <v>2785</v>
      </c>
      <c r="N11" s="2213" t="s">
        <v>2785</v>
      </c>
      <c r="O11" s="2213" t="s">
        <v>2661</v>
      </c>
      <c r="R11" s="2213" t="s">
        <v>2661</v>
      </c>
      <c r="S11" s="2213" t="s">
        <v>2661</v>
      </c>
      <c r="T11" s="2213" t="s">
        <v>2661</v>
      </c>
      <c r="U11" s="2213" t="s">
        <v>2661</v>
      </c>
      <c r="V11" s="2213" t="s">
        <v>2661</v>
      </c>
      <c r="W11" s="2213" t="s">
        <v>2661</v>
      </c>
    </row>
    <row r="12" spans="1:23" ht="22.5" customHeight="1" outlineLevel="2">
      <c r="B12" s="2210" t="s">
        <v>2662</v>
      </c>
      <c r="C12" s="2491" t="s">
        <v>2663</v>
      </c>
      <c r="D12" s="2491"/>
      <c r="E12" s="2213" t="s">
        <v>2664</v>
      </c>
      <c r="F12" s="2213" t="s">
        <v>2664</v>
      </c>
      <c r="G12" s="2213" t="s">
        <v>2664</v>
      </c>
      <c r="H12" s="2213" t="s">
        <v>2664</v>
      </c>
      <c r="I12" s="2213" t="s">
        <v>2664</v>
      </c>
      <c r="J12" s="2213" t="s">
        <v>2664</v>
      </c>
      <c r="K12" s="2213" t="s">
        <v>2664</v>
      </c>
      <c r="L12" s="2213" t="s">
        <v>2664</v>
      </c>
      <c r="M12" s="2213" t="s">
        <v>2664</v>
      </c>
      <c r="N12" s="2213" t="s">
        <v>2664</v>
      </c>
      <c r="O12" s="2213" t="s">
        <v>2664</v>
      </c>
      <c r="R12" s="2213" t="s">
        <v>2664</v>
      </c>
      <c r="S12" s="2213" t="s">
        <v>2664</v>
      </c>
      <c r="T12" s="2213" t="s">
        <v>2664</v>
      </c>
      <c r="U12" s="2213" t="s">
        <v>2664</v>
      </c>
      <c r="V12" s="2213" t="s">
        <v>2664</v>
      </c>
      <c r="W12" s="2213" t="s">
        <v>2664</v>
      </c>
    </row>
    <row r="13" spans="1:23" ht="14.25" outlineLevel="2">
      <c r="B13" s="2210"/>
      <c r="C13" s="2214"/>
      <c r="D13" s="2215"/>
      <c r="E13" s="2223"/>
      <c r="F13" s="2223"/>
      <c r="G13" s="2223"/>
      <c r="H13" s="2223"/>
      <c r="I13" s="2223"/>
      <c r="J13" s="2223"/>
      <c r="K13" s="2223"/>
      <c r="L13" s="2223"/>
      <c r="M13" s="2223"/>
      <c r="N13" s="2223"/>
      <c r="O13" s="2223"/>
      <c r="R13" s="2224"/>
      <c r="S13" s="2224"/>
      <c r="T13" s="2224"/>
      <c r="U13" s="2224"/>
      <c r="V13" s="2224"/>
      <c r="W13" s="2224"/>
    </row>
    <row r="14" spans="1:23" ht="14.25" outlineLevel="2">
      <c r="B14" s="2210" t="s">
        <v>2665</v>
      </c>
      <c r="C14" s="2214" t="s">
        <v>2666</v>
      </c>
      <c r="D14" s="2215"/>
      <c r="E14" s="2213" t="s">
        <v>177</v>
      </c>
      <c r="F14" s="2213" t="s">
        <v>2667</v>
      </c>
      <c r="G14" s="2213" t="s">
        <v>2667</v>
      </c>
      <c r="H14" s="2213" t="s">
        <v>2667</v>
      </c>
      <c r="I14" s="2213" t="s">
        <v>2667</v>
      </c>
      <c r="J14" s="2213" t="s">
        <v>2667</v>
      </c>
      <c r="K14" s="2213" t="s">
        <v>2667</v>
      </c>
      <c r="L14" s="2213" t="s">
        <v>2667</v>
      </c>
      <c r="M14" s="2213" t="s">
        <v>2667</v>
      </c>
      <c r="N14" s="2213" t="s">
        <v>2667</v>
      </c>
      <c r="O14" s="2213" t="s">
        <v>2667</v>
      </c>
      <c r="R14" s="2213" t="s">
        <v>177</v>
      </c>
      <c r="S14" s="2213" t="s">
        <v>2667</v>
      </c>
      <c r="T14" s="2213" t="s">
        <v>2667</v>
      </c>
      <c r="U14" s="2213" t="s">
        <v>2667</v>
      </c>
      <c r="V14" s="2213" t="s">
        <v>2667</v>
      </c>
      <c r="W14" s="2213" t="s">
        <v>2667</v>
      </c>
    </row>
    <row r="15" spans="1:23" s="2194" customFormat="1" ht="15" outlineLevel="1">
      <c r="C15" s="2195"/>
      <c r="E15" s="2196"/>
      <c r="F15" s="2196"/>
      <c r="G15" s="2196"/>
      <c r="H15" s="2196"/>
      <c r="I15" s="2196"/>
      <c r="J15" s="2196"/>
      <c r="K15" s="2196"/>
      <c r="L15" s="2196"/>
      <c r="M15" s="2196"/>
      <c r="N15" s="2196"/>
      <c r="O15" s="2196"/>
      <c r="R15" s="2196"/>
      <c r="S15" s="2196"/>
      <c r="T15" s="2196"/>
      <c r="U15" s="2196"/>
      <c r="V15" s="2196"/>
      <c r="W15" s="2196"/>
    </row>
    <row r="16" spans="1:23" s="2216" customFormat="1" ht="14.25" outlineLevel="2">
      <c r="B16" s="2217" t="s">
        <v>2668</v>
      </c>
      <c r="C16" s="2225" t="s">
        <v>2669</v>
      </c>
      <c r="D16" s="2222"/>
      <c r="E16" s="2213">
        <v>46143</v>
      </c>
      <c r="F16" s="2213">
        <v>46143</v>
      </c>
      <c r="G16" s="2213">
        <v>46143</v>
      </c>
      <c r="H16" s="2213">
        <v>46143</v>
      </c>
      <c r="I16" s="2213">
        <v>46143</v>
      </c>
      <c r="J16" s="2213">
        <v>46143</v>
      </c>
      <c r="K16" s="2213">
        <v>46266</v>
      </c>
      <c r="L16" s="2213">
        <v>46266</v>
      </c>
      <c r="M16" s="2213">
        <v>46266</v>
      </c>
      <c r="N16" s="2213">
        <v>46266</v>
      </c>
      <c r="O16" s="2213">
        <v>46022</v>
      </c>
      <c r="R16" s="2213">
        <v>45962</v>
      </c>
      <c r="S16" s="2213">
        <v>45962</v>
      </c>
      <c r="T16" s="2213">
        <v>45962</v>
      </c>
      <c r="U16" s="2213">
        <v>45962</v>
      </c>
      <c r="V16" s="2213">
        <v>45962</v>
      </c>
      <c r="W16" s="2213">
        <v>46022</v>
      </c>
    </row>
    <row r="17" spans="2:23" ht="14.25" outlineLevel="2">
      <c r="B17" s="2210" t="s">
        <v>2670</v>
      </c>
      <c r="C17" s="2211" t="s">
        <v>2671</v>
      </c>
      <c r="D17" s="2212"/>
      <c r="E17" s="2226">
        <v>5</v>
      </c>
      <c r="F17" s="2226">
        <v>5</v>
      </c>
      <c r="G17" s="2226">
        <v>5</v>
      </c>
      <c r="H17" s="2226">
        <v>5</v>
      </c>
      <c r="I17" s="2226">
        <v>5</v>
      </c>
      <c r="J17" s="2226">
        <v>5</v>
      </c>
      <c r="K17" s="2226">
        <v>5</v>
      </c>
      <c r="L17" s="2226">
        <v>5</v>
      </c>
      <c r="M17" s="2226">
        <v>5</v>
      </c>
      <c r="N17" s="2226">
        <v>5</v>
      </c>
      <c r="O17" s="2226">
        <v>5</v>
      </c>
      <c r="R17" s="2226">
        <v>5</v>
      </c>
      <c r="S17" s="2226">
        <v>5</v>
      </c>
      <c r="T17" s="2226">
        <v>5</v>
      </c>
      <c r="U17" s="2226">
        <v>5</v>
      </c>
      <c r="V17" s="2226">
        <v>5</v>
      </c>
      <c r="W17" s="2226">
        <v>5</v>
      </c>
    </row>
    <row r="18" spans="2:23" ht="14.25" outlineLevel="2">
      <c r="B18" s="2210" t="s">
        <v>2672</v>
      </c>
      <c r="C18" s="2211"/>
      <c r="D18" s="2212"/>
      <c r="E18" s="2213">
        <f t="shared" ref="E18:N18" si="1">+EDATE(E16,2)</f>
        <v>46204</v>
      </c>
      <c r="F18" s="2213">
        <f t="shared" si="1"/>
        <v>46204</v>
      </c>
      <c r="G18" s="2213">
        <f t="shared" si="1"/>
        <v>46204</v>
      </c>
      <c r="H18" s="2213">
        <f t="shared" si="1"/>
        <v>46204</v>
      </c>
      <c r="I18" s="2213">
        <f t="shared" si="1"/>
        <v>46204</v>
      </c>
      <c r="J18" s="2213">
        <f t="shared" si="1"/>
        <v>46204</v>
      </c>
      <c r="K18" s="2213">
        <f t="shared" si="1"/>
        <v>46327</v>
      </c>
      <c r="L18" s="2213">
        <f t="shared" si="1"/>
        <v>46327</v>
      </c>
      <c r="M18" s="2213">
        <f t="shared" si="1"/>
        <v>46327</v>
      </c>
      <c r="N18" s="2213">
        <f t="shared" si="1"/>
        <v>46327</v>
      </c>
      <c r="O18" s="2213"/>
      <c r="R18" s="2213">
        <v>46053</v>
      </c>
      <c r="S18" s="2213">
        <v>46022</v>
      </c>
      <c r="T18" s="2213">
        <v>46022</v>
      </c>
      <c r="U18" s="2213">
        <v>46022</v>
      </c>
      <c r="V18" s="2213">
        <v>46022</v>
      </c>
      <c r="W18" s="2213">
        <v>46053</v>
      </c>
    </row>
    <row r="19" spans="2:23" s="2216" customFormat="1" ht="14.25" outlineLevel="2">
      <c r="B19" s="2217" t="s">
        <v>2673</v>
      </c>
      <c r="C19" s="2225" t="s">
        <v>2674</v>
      </c>
      <c r="D19" s="2222"/>
      <c r="E19" s="2213">
        <f t="shared" ref="E19:N19" si="2">+EDATE(E16,5)</f>
        <v>46296</v>
      </c>
      <c r="F19" s="2213">
        <f t="shared" si="2"/>
        <v>46296</v>
      </c>
      <c r="G19" s="2213">
        <f t="shared" si="2"/>
        <v>46296</v>
      </c>
      <c r="H19" s="2213">
        <f t="shared" si="2"/>
        <v>46296</v>
      </c>
      <c r="I19" s="2213">
        <f t="shared" si="2"/>
        <v>46296</v>
      </c>
      <c r="J19" s="2213">
        <f t="shared" si="2"/>
        <v>46296</v>
      </c>
      <c r="K19" s="2213">
        <f t="shared" si="2"/>
        <v>46419</v>
      </c>
      <c r="L19" s="2213">
        <f t="shared" si="2"/>
        <v>46419</v>
      </c>
      <c r="M19" s="2213">
        <f t="shared" si="2"/>
        <v>46419</v>
      </c>
      <c r="N19" s="2213">
        <f t="shared" si="2"/>
        <v>46419</v>
      </c>
      <c r="O19" s="2213">
        <v>46203</v>
      </c>
      <c r="R19" s="2213">
        <v>46203</v>
      </c>
      <c r="S19" s="2213">
        <v>46173</v>
      </c>
      <c r="T19" s="2213">
        <v>46173</v>
      </c>
      <c r="U19" s="2213">
        <v>46173</v>
      </c>
      <c r="V19" s="2213">
        <v>46173</v>
      </c>
      <c r="W19" s="2213">
        <v>46203</v>
      </c>
    </row>
    <row r="20" spans="2:23" ht="14.25" outlineLevel="2">
      <c r="B20" s="2210" t="s">
        <v>2675</v>
      </c>
      <c r="C20" s="2211" t="s">
        <v>2676</v>
      </c>
      <c r="D20" s="2212" t="s">
        <v>2677</v>
      </c>
      <c r="E20" s="2226">
        <v>35</v>
      </c>
      <c r="F20" s="2226">
        <v>35</v>
      </c>
      <c r="G20" s="2226">
        <v>35</v>
      </c>
      <c r="H20" s="2226">
        <v>35</v>
      </c>
      <c r="I20" s="2226">
        <v>35</v>
      </c>
      <c r="J20" s="2226">
        <v>35</v>
      </c>
      <c r="K20" s="2226">
        <v>35</v>
      </c>
      <c r="L20" s="2226">
        <v>35</v>
      </c>
      <c r="M20" s="2226">
        <v>35</v>
      </c>
      <c r="N20" s="2226">
        <v>35</v>
      </c>
      <c r="O20" s="2226">
        <v>20</v>
      </c>
      <c r="R20" s="2226">
        <v>20</v>
      </c>
      <c r="S20" s="2226">
        <v>20</v>
      </c>
      <c r="T20" s="2226">
        <v>20</v>
      </c>
      <c r="U20" s="2226">
        <v>20</v>
      </c>
      <c r="V20" s="2226">
        <v>20</v>
      </c>
      <c r="W20" s="2226">
        <v>20</v>
      </c>
    </row>
    <row r="21" spans="2:23" ht="14.25" outlineLevel="2">
      <c r="B21" s="2210"/>
      <c r="C21" s="2214"/>
      <c r="D21" s="2215"/>
      <c r="E21" s="2224"/>
      <c r="F21" s="2224"/>
      <c r="G21" s="2224"/>
      <c r="H21" s="2224"/>
      <c r="I21" s="2224"/>
      <c r="J21" s="2224"/>
      <c r="K21" s="2224"/>
      <c r="L21" s="2224"/>
      <c r="M21" s="2224"/>
      <c r="N21" s="2224"/>
      <c r="O21" s="2224"/>
      <c r="R21" s="2224"/>
      <c r="S21" s="2224"/>
      <c r="T21" s="2224"/>
      <c r="U21" s="2224"/>
      <c r="V21" s="2224"/>
      <c r="W21" s="2224"/>
    </row>
    <row r="22" spans="2:23" ht="14.25" outlineLevel="1">
      <c r="B22" s="2210" t="s">
        <v>2678</v>
      </c>
      <c r="C22" s="2211" t="s">
        <v>2679</v>
      </c>
      <c r="D22" s="2212"/>
      <c r="E22" s="2227" t="s">
        <v>2680</v>
      </c>
      <c r="F22" s="2227" t="s">
        <v>2680</v>
      </c>
      <c r="G22" s="2227" t="s">
        <v>2680</v>
      </c>
      <c r="H22" s="2227" t="s">
        <v>2680</v>
      </c>
      <c r="I22" s="2227" t="s">
        <v>2680</v>
      </c>
      <c r="J22" s="2227" t="s">
        <v>2680</v>
      </c>
      <c r="K22" s="2227" t="s">
        <v>2680</v>
      </c>
      <c r="L22" s="2227" t="s">
        <v>2680</v>
      </c>
      <c r="M22" s="2227" t="s">
        <v>2680</v>
      </c>
      <c r="N22" s="2227" t="s">
        <v>2680</v>
      </c>
      <c r="O22" s="2227" t="s">
        <v>2680</v>
      </c>
      <c r="R22" s="2227" t="s">
        <v>2680</v>
      </c>
      <c r="S22" s="2227" t="s">
        <v>2680</v>
      </c>
      <c r="T22" s="2227" t="s">
        <v>2680</v>
      </c>
      <c r="U22" s="2227" t="s">
        <v>2680</v>
      </c>
      <c r="V22" s="2227" t="s">
        <v>2680</v>
      </c>
      <c r="W22" s="2227" t="s">
        <v>2680</v>
      </c>
    </row>
    <row r="23" spans="2:23" ht="14.25" outlineLevel="1">
      <c r="B23" s="2210" t="s">
        <v>2681</v>
      </c>
      <c r="C23" s="2211" t="s">
        <v>2679</v>
      </c>
      <c r="D23" s="2212"/>
      <c r="E23" s="2227" t="s">
        <v>2680</v>
      </c>
      <c r="F23" s="2227" t="s">
        <v>2680</v>
      </c>
      <c r="G23" s="2227" t="s">
        <v>2680</v>
      </c>
      <c r="H23" s="2227" t="s">
        <v>2680</v>
      </c>
      <c r="I23" s="2227" t="s">
        <v>2680</v>
      </c>
      <c r="J23" s="2227" t="s">
        <v>2680</v>
      </c>
      <c r="K23" s="2227" t="s">
        <v>2680</v>
      </c>
      <c r="L23" s="2227" t="s">
        <v>2680</v>
      </c>
      <c r="M23" s="2227" t="s">
        <v>2680</v>
      </c>
      <c r="N23" s="2227" t="s">
        <v>2680</v>
      </c>
      <c r="O23" s="2227" t="s">
        <v>2680</v>
      </c>
      <c r="R23" s="2227" t="s">
        <v>2680</v>
      </c>
      <c r="S23" s="2227" t="s">
        <v>2680</v>
      </c>
      <c r="T23" s="2227" t="s">
        <v>2680</v>
      </c>
      <c r="U23" s="2227" t="s">
        <v>2680</v>
      </c>
      <c r="V23" s="2227" t="s">
        <v>2680</v>
      </c>
      <c r="W23" s="2227" t="s">
        <v>2680</v>
      </c>
    </row>
    <row r="24" spans="2:23" ht="14.25" outlineLevel="1">
      <c r="B24" s="2210" t="s">
        <v>2682</v>
      </c>
      <c r="C24" s="2211" t="s">
        <v>2683</v>
      </c>
      <c r="D24" s="2212"/>
      <c r="E24" s="2228">
        <f>+'Input 기초'!F19/1000</f>
        <v>0.55103999999999997</v>
      </c>
      <c r="F24" s="2228">
        <f>+'Input 기초'!G19/1000</f>
        <v>0.39904000000000001</v>
      </c>
      <c r="G24" s="2228">
        <f>+'Input 기초'!H19/1000</f>
        <v>0.49995999999999996</v>
      </c>
      <c r="H24" s="2228">
        <f>+'Input 기초'!I19/1000</f>
        <v>0.49995999999999996</v>
      </c>
      <c r="I24" s="2228">
        <f>+'Input 기초'!J19/1000</f>
        <v>0.14964</v>
      </c>
      <c r="J24" s="2228">
        <f>+'Input 기초'!K19/1000</f>
        <v>0.29927999999999999</v>
      </c>
      <c r="K24" s="2228">
        <f>+'Input 기초'!L19/1000</f>
        <v>0.61775999999999998</v>
      </c>
      <c r="L24" s="2228">
        <f>+'Input 기초'!M19/1000</f>
        <v>0.56496000000000002</v>
      </c>
      <c r="M24" s="2228">
        <f>+'Input 기초'!N19/1000</f>
        <v>0.63491999999999993</v>
      </c>
      <c r="N24" s="2228">
        <f>+'Input 기초'!O19/1000</f>
        <v>0.6256799999999999</v>
      </c>
      <c r="O24" s="2228"/>
      <c r="P24" s="2229"/>
      <c r="Q24" s="2229"/>
      <c r="R24" s="2228">
        <f>+'[3]CAPEX_Input_3,7HO(수정용)'!T40</f>
        <v>8.4744677000000004E-2</v>
      </c>
      <c r="S24" s="2228">
        <f>+'[3]CAPEX_Input_3,7HO(수정용)'!T33</f>
        <v>2.4285621E-2</v>
      </c>
      <c r="T24" s="2228">
        <f>+'[3]CAPEX_Input_3,7HO(수정용)'!T34</f>
        <v>3.6847296000000002E-2</v>
      </c>
      <c r="U24" s="2228">
        <f>+'[3]CAPEX_Input_3,7HO(수정용)'!T35</f>
        <v>1.9635E-2</v>
      </c>
      <c r="V24" s="2228">
        <f>+'[3]CAPEX_Input_3,7HO(수정용)'!T37</f>
        <v>1.1211799999999999E-2</v>
      </c>
      <c r="W24" s="2228">
        <f>+'[3]CAPEX_Input_3,7HO(수정용)'!T41</f>
        <v>4.2398399999999996E-2</v>
      </c>
    </row>
    <row r="25" spans="2:23" ht="14.25" outlineLevel="1">
      <c r="B25" s="2210" t="s">
        <v>2684</v>
      </c>
      <c r="C25" s="2211" t="s">
        <v>2685</v>
      </c>
      <c r="D25" s="2212"/>
      <c r="E25" s="2230"/>
      <c r="F25" s="2230"/>
      <c r="G25" s="2230"/>
      <c r="H25" s="2230"/>
      <c r="I25" s="2230"/>
      <c r="J25" s="2230"/>
      <c r="K25" s="2230"/>
      <c r="L25" s="2230"/>
      <c r="M25" s="2230"/>
      <c r="N25" s="2230"/>
      <c r="O25" s="2230"/>
      <c r="R25" s="2230"/>
      <c r="S25" s="2230"/>
      <c r="T25" s="2230"/>
      <c r="U25" s="2230"/>
      <c r="V25" s="2230"/>
      <c r="W25" s="2230"/>
    </row>
    <row r="26" spans="2:23" ht="14.25" outlineLevel="1">
      <c r="B26" s="2210" t="s">
        <v>2686</v>
      </c>
      <c r="C26" s="2211" t="s">
        <v>2687</v>
      </c>
      <c r="D26" s="2212"/>
      <c r="E26" s="2231" t="e">
        <f>+E24/E25</f>
        <v>#DIV/0!</v>
      </c>
      <c r="F26" s="2231" t="e">
        <f t="shared" ref="F26:M26" si="3">+F24/F25</f>
        <v>#DIV/0!</v>
      </c>
      <c r="G26" s="2231" t="e">
        <f t="shared" si="3"/>
        <v>#DIV/0!</v>
      </c>
      <c r="H26" s="2231" t="e">
        <f t="shared" si="3"/>
        <v>#DIV/0!</v>
      </c>
      <c r="I26" s="2231" t="e">
        <f t="shared" si="3"/>
        <v>#DIV/0!</v>
      </c>
      <c r="J26" s="2231" t="e">
        <f t="shared" si="3"/>
        <v>#DIV/0!</v>
      </c>
      <c r="K26" s="2231" t="e">
        <f t="shared" si="3"/>
        <v>#DIV/0!</v>
      </c>
      <c r="L26" s="2231" t="e">
        <f t="shared" si="3"/>
        <v>#DIV/0!</v>
      </c>
      <c r="M26" s="2231" t="e">
        <f t="shared" si="3"/>
        <v>#DIV/0!</v>
      </c>
      <c r="N26" s="2231" t="e">
        <f>+N24/N25</f>
        <v>#DIV/0!</v>
      </c>
      <c r="O26" s="2231" t="e">
        <f>+O24/O25</f>
        <v>#DIV/0!</v>
      </c>
      <c r="R26" s="2231" t="e">
        <f t="shared" ref="R26:W26" si="4">+R24/R25</f>
        <v>#DIV/0!</v>
      </c>
      <c r="S26" s="2231" t="e">
        <f t="shared" si="4"/>
        <v>#DIV/0!</v>
      </c>
      <c r="T26" s="2231" t="e">
        <f t="shared" si="4"/>
        <v>#DIV/0!</v>
      </c>
      <c r="U26" s="2231" t="e">
        <f t="shared" si="4"/>
        <v>#DIV/0!</v>
      </c>
      <c r="V26" s="2231" t="e">
        <f t="shared" si="4"/>
        <v>#DIV/0!</v>
      </c>
      <c r="W26" s="2231" t="e">
        <f t="shared" si="4"/>
        <v>#DIV/0!</v>
      </c>
    </row>
    <row r="27" spans="2:23" s="2194" customFormat="1" ht="15">
      <c r="B27" s="2197"/>
      <c r="C27" s="2198"/>
      <c r="D27" s="2199"/>
      <c r="E27" s="2206"/>
      <c r="F27" s="2206"/>
      <c r="G27" s="2206"/>
      <c r="H27" s="2206"/>
      <c r="I27" s="2206"/>
      <c r="J27" s="2206"/>
      <c r="K27" s="2206"/>
      <c r="L27" s="2206"/>
      <c r="M27" s="2206"/>
      <c r="N27" s="2206"/>
      <c r="O27" s="2232"/>
      <c r="R27" s="2208"/>
      <c r="S27" s="2208"/>
      <c r="T27" s="2208"/>
      <c r="U27" s="2208"/>
      <c r="V27" s="2208"/>
      <c r="W27" s="2208"/>
    </row>
    <row r="28" spans="2:23" s="2194" customFormat="1" ht="27.75" customHeight="1">
      <c r="B28" s="2202" t="s">
        <v>2688</v>
      </c>
      <c r="C28" s="2203"/>
      <c r="D28" s="2202"/>
      <c r="E28" s="2204"/>
      <c r="F28" s="2204"/>
      <c r="G28" s="2204"/>
      <c r="H28" s="2204"/>
      <c r="I28" s="2204"/>
      <c r="J28" s="2204"/>
      <c r="K28" s="2204"/>
      <c r="L28" s="2204"/>
      <c r="M28" s="2204"/>
      <c r="N28" s="2204"/>
      <c r="O28" s="2204"/>
      <c r="R28" s="2205"/>
      <c r="S28" s="2205"/>
      <c r="T28" s="2205"/>
      <c r="U28" s="2205"/>
      <c r="V28" s="2205"/>
      <c r="W28" s="2205"/>
    </row>
    <row r="29" spans="2:23" s="2194" customFormat="1" ht="15" outlineLevel="1">
      <c r="B29" s="2197"/>
      <c r="C29" s="2198"/>
      <c r="D29" s="2199"/>
      <c r="E29" s="2233"/>
      <c r="F29" s="2233"/>
      <c r="G29" s="2233"/>
      <c r="H29" s="2233"/>
      <c r="I29" s="2233"/>
      <c r="J29" s="2233"/>
      <c r="K29" s="2233"/>
      <c r="L29" s="2233"/>
      <c r="M29" s="2233"/>
      <c r="N29" s="2233"/>
      <c r="O29" s="2233"/>
      <c r="R29" s="2234"/>
      <c r="S29" s="2234"/>
      <c r="T29" s="2234"/>
      <c r="U29" s="2234"/>
      <c r="V29" s="2234"/>
      <c r="W29" s="2234"/>
    </row>
    <row r="30" spans="2:23" ht="14.25" outlineLevel="1">
      <c r="B30" s="2235" t="s">
        <v>2689</v>
      </c>
      <c r="C30" s="2236"/>
      <c r="D30" s="2237"/>
      <c r="E30" s="2238"/>
      <c r="F30" s="2238"/>
      <c r="G30" s="2238"/>
      <c r="H30" s="2238"/>
      <c r="I30" s="2238"/>
      <c r="J30" s="2238"/>
      <c r="K30" s="2238"/>
      <c r="L30" s="2238"/>
      <c r="M30" s="2238"/>
      <c r="N30" s="2238"/>
      <c r="O30" s="2238"/>
      <c r="R30" s="2239"/>
      <c r="S30" s="2239"/>
      <c r="T30" s="2239"/>
      <c r="U30" s="2239"/>
      <c r="V30" s="2239"/>
      <c r="W30" s="2239"/>
    </row>
    <row r="31" spans="2:23" outlineLevel="1">
      <c r="B31" s="2240" t="s">
        <v>2690</v>
      </c>
      <c r="C31" s="2211" t="s">
        <v>2691</v>
      </c>
      <c r="D31" s="2212"/>
      <c r="E31" s="2241"/>
      <c r="F31" s="2241"/>
      <c r="G31" s="2241"/>
      <c r="H31" s="2241"/>
      <c r="I31" s="2241"/>
      <c r="J31" s="2241"/>
      <c r="K31" s="2241"/>
      <c r="L31" s="2241"/>
      <c r="M31" s="2241"/>
      <c r="N31" s="2241"/>
      <c r="O31" s="2241"/>
      <c r="R31" s="2241"/>
      <c r="S31" s="2241"/>
      <c r="T31" s="2241"/>
      <c r="U31" s="2241"/>
      <c r="V31" s="2241"/>
      <c r="W31" s="2241"/>
    </row>
    <row r="32" spans="2:23" outlineLevel="1">
      <c r="B32" s="2240" t="s">
        <v>2692</v>
      </c>
      <c r="C32" s="2211" t="s">
        <v>2691</v>
      </c>
      <c r="D32" s="2212"/>
      <c r="E32" s="2227"/>
      <c r="F32" s="2227"/>
      <c r="G32" s="2227"/>
      <c r="H32" s="2227"/>
      <c r="I32" s="2227"/>
      <c r="J32" s="2227"/>
      <c r="K32" s="2227"/>
      <c r="L32" s="2227"/>
      <c r="M32" s="2227"/>
      <c r="N32" s="2227"/>
      <c r="O32" s="2227"/>
      <c r="R32" s="2227"/>
      <c r="S32" s="2227"/>
      <c r="T32" s="2227"/>
      <c r="U32" s="2227"/>
      <c r="V32" s="2227"/>
      <c r="W32" s="2227"/>
    </row>
    <row r="33" spans="2:23" outlineLevel="1">
      <c r="B33" s="2240" t="s">
        <v>2693</v>
      </c>
      <c r="C33" s="2211" t="s">
        <v>2691</v>
      </c>
      <c r="D33" s="2212"/>
      <c r="E33" s="2227"/>
      <c r="F33" s="2227"/>
      <c r="G33" s="2227"/>
      <c r="H33" s="2227"/>
      <c r="I33" s="2227"/>
      <c r="J33" s="2227"/>
      <c r="K33" s="2227"/>
      <c r="L33" s="2227"/>
      <c r="M33" s="2227"/>
      <c r="N33" s="2227"/>
      <c r="O33" s="2227"/>
      <c r="R33" s="2227"/>
      <c r="S33" s="2227"/>
      <c r="T33" s="2227"/>
      <c r="U33" s="2227"/>
      <c r="V33" s="2227"/>
      <c r="W33" s="2227"/>
    </row>
    <row r="34" spans="2:23" outlineLevel="1">
      <c r="B34" s="2242"/>
      <c r="C34" s="2214"/>
      <c r="D34" s="2215"/>
      <c r="E34" s="2223"/>
      <c r="F34" s="2223"/>
      <c r="G34" s="2223"/>
      <c r="H34" s="2223"/>
      <c r="I34" s="2223"/>
      <c r="J34" s="2223"/>
      <c r="K34" s="2223"/>
      <c r="L34" s="2223"/>
      <c r="M34" s="2223"/>
      <c r="N34" s="2223"/>
      <c r="O34" s="2223"/>
      <c r="R34" s="2224"/>
      <c r="S34" s="2224"/>
      <c r="T34" s="2224"/>
      <c r="U34" s="2224"/>
      <c r="V34" s="2224"/>
      <c r="W34" s="2224"/>
    </row>
    <row r="35" spans="2:23" ht="14.25" outlineLevel="1">
      <c r="B35" s="2235" t="s">
        <v>2694</v>
      </c>
      <c r="C35" s="2236"/>
      <c r="D35" s="2237"/>
      <c r="E35" s="2238"/>
      <c r="F35" s="2238"/>
      <c r="G35" s="2238"/>
      <c r="H35" s="2238"/>
      <c r="I35" s="2238"/>
      <c r="J35" s="2238"/>
      <c r="K35" s="2238"/>
      <c r="L35" s="2238"/>
      <c r="M35" s="2238"/>
      <c r="N35" s="2238"/>
      <c r="O35" s="2238"/>
      <c r="R35" s="2239"/>
      <c r="S35" s="2239"/>
      <c r="T35" s="2239"/>
      <c r="U35" s="2239"/>
      <c r="V35" s="2239"/>
      <c r="W35" s="2239"/>
    </row>
    <row r="36" spans="2:23" outlineLevel="1">
      <c r="B36" s="2242" t="s">
        <v>2690</v>
      </c>
      <c r="C36" s="2211" t="s">
        <v>2695</v>
      </c>
      <c r="D36" s="2212"/>
      <c r="E36" s="2243">
        <v>3.5232876712328767</v>
      </c>
      <c r="F36" s="2243">
        <v>3.9013698630136986</v>
      </c>
      <c r="G36" s="2243">
        <v>3.9643835616438357</v>
      </c>
      <c r="H36" s="2243">
        <v>3.7917808219178082</v>
      </c>
      <c r="I36" s="2243">
        <v>3.7917808219178082</v>
      </c>
      <c r="J36" s="2243">
        <v>4.0904109589041093</v>
      </c>
      <c r="K36" s="2243">
        <v>3.9726027397260273</v>
      </c>
      <c r="L36" s="2243">
        <v>3.9726027397260273</v>
      </c>
      <c r="M36" s="2243">
        <v>3.967123287671233</v>
      </c>
      <c r="N36" s="2243">
        <v>3.9726027397260273</v>
      </c>
      <c r="O36" s="2243">
        <f>+'[3]CAPEX_Input_3,7HO(수정용)'!G44/365</f>
        <v>3.8630136986301369</v>
      </c>
      <c r="R36" s="2243">
        <f>+'[3]CAPEX_Input_3,7HO(수정용)'!V40/365</f>
        <v>0</v>
      </c>
      <c r="S36" s="2243">
        <f>+'[3]CAPEX_Input_3,7HO(수정용)'!V33/365</f>
        <v>0</v>
      </c>
      <c r="T36" s="2243">
        <f>+'[3]CAPEX_Input_3,7HO(수정용)'!V34/365</f>
        <v>0</v>
      </c>
      <c r="U36" s="2243">
        <f>+'[3]CAPEX_Input_3,7HO(수정용)'!V35/365</f>
        <v>0</v>
      </c>
      <c r="V36" s="2243">
        <f>+'[3]CAPEX_Input_3,7HO(수정용)'!V37/365</f>
        <v>0</v>
      </c>
      <c r="W36" s="2243">
        <f>+'[3]CAPEX_Input_3,7HO(수정용)'!V41/365</f>
        <v>0</v>
      </c>
    </row>
    <row r="37" spans="2:23" outlineLevel="1">
      <c r="B37" s="2242" t="s">
        <v>2692</v>
      </c>
      <c r="C37" s="2211" t="s">
        <v>2695</v>
      </c>
      <c r="D37" s="2212"/>
      <c r="E37" s="2227"/>
      <c r="F37" s="2227"/>
      <c r="G37" s="2227"/>
      <c r="H37" s="2227"/>
      <c r="I37" s="2227"/>
      <c r="J37" s="2227"/>
      <c r="K37" s="2227"/>
      <c r="L37" s="2227"/>
      <c r="M37" s="2227"/>
      <c r="N37" s="2227"/>
      <c r="O37" s="2227"/>
      <c r="R37" s="2227"/>
      <c r="S37" s="2227"/>
      <c r="T37" s="2227"/>
      <c r="U37" s="2227"/>
      <c r="V37" s="2227"/>
      <c r="W37" s="2227"/>
    </row>
    <row r="38" spans="2:23" outlineLevel="1">
      <c r="B38" s="2242" t="s">
        <v>2693</v>
      </c>
      <c r="C38" s="2211" t="s">
        <v>2695</v>
      </c>
      <c r="D38" s="2212"/>
      <c r="E38" s="2227"/>
      <c r="F38" s="2227"/>
      <c r="G38" s="2227"/>
      <c r="H38" s="2227"/>
      <c r="I38" s="2227"/>
      <c r="J38" s="2227"/>
      <c r="K38" s="2227"/>
      <c r="L38" s="2227"/>
      <c r="M38" s="2227"/>
      <c r="N38" s="2227"/>
      <c r="O38" s="2227"/>
      <c r="R38" s="2227"/>
      <c r="S38" s="2227"/>
      <c r="T38" s="2227"/>
      <c r="U38" s="2227"/>
      <c r="V38" s="2227"/>
      <c r="W38" s="2227"/>
    </row>
    <row r="39" spans="2:23" outlineLevel="1">
      <c r="B39" s="2242"/>
      <c r="C39" s="2214"/>
      <c r="D39" s="2215"/>
      <c r="E39" s="2223"/>
      <c r="F39" s="2223"/>
      <c r="G39" s="2223"/>
      <c r="H39" s="2223"/>
      <c r="I39" s="2223"/>
      <c r="J39" s="2223"/>
      <c r="K39" s="2223"/>
      <c r="L39" s="2223"/>
      <c r="M39" s="2223"/>
      <c r="N39" s="2223"/>
      <c r="O39" s="2223"/>
      <c r="R39" s="2224"/>
      <c r="S39" s="2224"/>
      <c r="T39" s="2224"/>
      <c r="U39" s="2224"/>
      <c r="V39" s="2224"/>
      <c r="W39" s="2224"/>
    </row>
    <row r="40" spans="2:23" ht="14.25" outlineLevel="1">
      <c r="B40" s="2235" t="s">
        <v>2688</v>
      </c>
      <c r="C40" s="2236"/>
      <c r="D40" s="2237"/>
      <c r="E40" s="2244"/>
      <c r="F40" s="2244"/>
      <c r="G40" s="2244"/>
      <c r="H40" s="2244"/>
      <c r="I40" s="2244"/>
      <c r="J40" s="2244"/>
      <c r="K40" s="2244"/>
      <c r="L40" s="2244"/>
      <c r="M40" s="2244"/>
      <c r="N40" s="2244"/>
      <c r="O40" s="2244"/>
      <c r="R40" s="2245"/>
      <c r="S40" s="2245"/>
      <c r="T40" s="2245"/>
      <c r="U40" s="2245"/>
      <c r="V40" s="2245"/>
      <c r="W40" s="2245"/>
    </row>
    <row r="41" spans="2:23" outlineLevel="1">
      <c r="B41" s="2242" t="s">
        <v>2690</v>
      </c>
      <c r="C41" s="2211" t="s">
        <v>2696</v>
      </c>
      <c r="D41" s="2212"/>
      <c r="E41" s="2243">
        <f>+E24*E36*365</f>
        <v>708.63743999999997</v>
      </c>
      <c r="F41" s="2243">
        <f t="shared" ref="F41:M41" si="5">+F24*F36*365</f>
        <v>568.23296000000005</v>
      </c>
      <c r="G41" s="2243">
        <f t="shared" si="5"/>
        <v>723.44211999999993</v>
      </c>
      <c r="H41" s="2243">
        <f t="shared" si="5"/>
        <v>691.94463999999994</v>
      </c>
      <c r="I41" s="2243">
        <f t="shared" si="5"/>
        <v>207.10175999999998</v>
      </c>
      <c r="J41" s="2243">
        <f t="shared" si="5"/>
        <v>446.82504</v>
      </c>
      <c r="K41" s="2243">
        <f t="shared" si="5"/>
        <v>895.75199999999995</v>
      </c>
      <c r="L41" s="2243">
        <f t="shared" si="5"/>
        <v>819.19200000000001</v>
      </c>
      <c r="M41" s="2243">
        <f t="shared" si="5"/>
        <v>919.36415999999997</v>
      </c>
      <c r="N41" s="2243">
        <f>+N24*N36*365</f>
        <v>907.23599999999988</v>
      </c>
      <c r="O41" s="2243">
        <f>+O24*O36*365</f>
        <v>0</v>
      </c>
      <c r="R41" s="2243">
        <f t="shared" ref="R41:W41" si="6">+R24*R36*365</f>
        <v>0</v>
      </c>
      <c r="S41" s="2243">
        <f t="shared" si="6"/>
        <v>0</v>
      </c>
      <c r="T41" s="2243">
        <f t="shared" si="6"/>
        <v>0</v>
      </c>
      <c r="U41" s="2243">
        <f t="shared" si="6"/>
        <v>0</v>
      </c>
      <c r="V41" s="2243">
        <f t="shared" si="6"/>
        <v>0</v>
      </c>
      <c r="W41" s="2243">
        <f t="shared" si="6"/>
        <v>0</v>
      </c>
    </row>
    <row r="42" spans="2:23" outlineLevel="1">
      <c r="B42" s="2242" t="s">
        <v>2692</v>
      </c>
      <c r="C42" s="2211" t="s">
        <v>2696</v>
      </c>
      <c r="D42" s="2212"/>
      <c r="E42" s="2227"/>
      <c r="F42" s="2227"/>
      <c r="G42" s="2227"/>
      <c r="H42" s="2227"/>
      <c r="I42" s="2227"/>
      <c r="J42" s="2227"/>
      <c r="K42" s="2227"/>
      <c r="L42" s="2227"/>
      <c r="M42" s="2227"/>
      <c r="N42" s="2227"/>
      <c r="O42" s="2227"/>
      <c r="R42" s="2227"/>
      <c r="S42" s="2227"/>
      <c r="T42" s="2227"/>
      <c r="U42" s="2227"/>
      <c r="V42" s="2227"/>
      <c r="W42" s="2227"/>
    </row>
    <row r="43" spans="2:23" ht="14.25" outlineLevel="1">
      <c r="B43" s="2246" t="s">
        <v>2697</v>
      </c>
      <c r="C43" s="2211" t="s">
        <v>2698</v>
      </c>
      <c r="D43" s="2212"/>
      <c r="E43" s="2226"/>
      <c r="F43" s="2226"/>
      <c r="G43" s="2226"/>
      <c r="H43" s="2226"/>
      <c r="I43" s="2226"/>
      <c r="J43" s="2226"/>
      <c r="K43" s="2226"/>
      <c r="L43" s="2226"/>
      <c r="M43" s="2226"/>
      <c r="N43" s="2226"/>
      <c r="O43" s="2226"/>
      <c r="R43" s="2226"/>
      <c r="S43" s="2226"/>
      <c r="T43" s="2226"/>
      <c r="U43" s="2226"/>
      <c r="V43" s="2226"/>
      <c r="W43" s="2226"/>
    </row>
    <row r="44" spans="2:23" outlineLevel="1">
      <c r="B44" s="2242"/>
      <c r="C44" s="2214"/>
      <c r="D44" s="2215"/>
      <c r="E44" s="2247"/>
      <c r="F44" s="2247"/>
      <c r="G44" s="2247"/>
      <c r="H44" s="2247"/>
      <c r="I44" s="2247"/>
      <c r="J44" s="2247"/>
      <c r="K44" s="2247"/>
      <c r="L44" s="2247"/>
      <c r="M44" s="2247"/>
      <c r="N44" s="2247"/>
      <c r="O44" s="2247"/>
      <c r="R44" s="2248"/>
      <c r="S44" s="2248"/>
      <c r="T44" s="2248"/>
      <c r="U44" s="2248"/>
      <c r="V44" s="2248"/>
      <c r="W44" s="2248"/>
    </row>
    <row r="45" spans="2:23" outlineLevel="1">
      <c r="B45" s="2242" t="s">
        <v>2699</v>
      </c>
      <c r="C45" s="2211" t="s">
        <v>2691</v>
      </c>
      <c r="D45" s="2212"/>
      <c r="E45" s="2249"/>
      <c r="F45" s="2249"/>
      <c r="G45" s="2249"/>
      <c r="H45" s="2249"/>
      <c r="I45" s="2249"/>
      <c r="J45" s="2249"/>
      <c r="K45" s="2249"/>
      <c r="L45" s="2249"/>
      <c r="M45" s="2249"/>
      <c r="N45" s="2249"/>
      <c r="O45" s="2249"/>
      <c r="R45" s="2249"/>
      <c r="S45" s="2249"/>
      <c r="T45" s="2249"/>
      <c r="U45" s="2249"/>
      <c r="V45" s="2249"/>
      <c r="W45" s="2249"/>
    </row>
    <row r="46" spans="2:23" outlineLevel="1">
      <c r="B46" s="2242"/>
      <c r="C46" s="2214"/>
      <c r="D46" s="2215"/>
      <c r="E46" s="2247"/>
      <c r="F46" s="2247"/>
      <c r="G46" s="2247"/>
      <c r="H46" s="2247"/>
      <c r="I46" s="2247"/>
      <c r="J46" s="2247"/>
      <c r="K46" s="2247"/>
      <c r="L46" s="2247"/>
      <c r="M46" s="2247"/>
      <c r="N46" s="2247"/>
      <c r="O46" s="2247"/>
      <c r="R46" s="2248"/>
      <c r="S46" s="2248"/>
      <c r="T46" s="2248"/>
      <c r="U46" s="2248"/>
      <c r="V46" s="2248"/>
      <c r="W46" s="2248"/>
    </row>
    <row r="47" spans="2:23" outlineLevel="1">
      <c r="B47" s="2242" t="s">
        <v>2700</v>
      </c>
      <c r="C47" s="2211" t="s">
        <v>2691</v>
      </c>
      <c r="D47" s="2212"/>
      <c r="E47" s="2227"/>
      <c r="F47" s="2227"/>
      <c r="G47" s="2227"/>
      <c r="H47" s="2227"/>
      <c r="I47" s="2227"/>
      <c r="J47" s="2227"/>
      <c r="K47" s="2227"/>
      <c r="L47" s="2227"/>
      <c r="M47" s="2227"/>
      <c r="N47" s="2227"/>
      <c r="O47" s="2227"/>
      <c r="R47" s="2227"/>
      <c r="S47" s="2227"/>
      <c r="T47" s="2227"/>
      <c r="U47" s="2227"/>
      <c r="V47" s="2227"/>
      <c r="W47" s="2227"/>
    </row>
    <row r="48" spans="2:23" outlineLevel="1">
      <c r="B48" s="2242" t="s">
        <v>2701</v>
      </c>
      <c r="C48" s="2211" t="s">
        <v>2691</v>
      </c>
      <c r="D48" s="2212"/>
      <c r="E48" s="2227"/>
      <c r="F48" s="2227"/>
      <c r="G48" s="2227"/>
      <c r="H48" s="2227"/>
      <c r="I48" s="2227"/>
      <c r="J48" s="2227"/>
      <c r="K48" s="2227"/>
      <c r="L48" s="2227"/>
      <c r="M48" s="2227"/>
      <c r="N48" s="2227"/>
      <c r="O48" s="2227"/>
      <c r="R48" s="2227"/>
      <c r="S48" s="2227"/>
      <c r="T48" s="2227"/>
      <c r="U48" s="2227"/>
      <c r="V48" s="2227"/>
      <c r="W48" s="2227"/>
    </row>
    <row r="49" spans="2:23" outlineLevel="1">
      <c r="B49" s="2242" t="s">
        <v>2702</v>
      </c>
      <c r="C49" s="2211" t="s">
        <v>2691</v>
      </c>
      <c r="D49" s="2212" t="s">
        <v>2677</v>
      </c>
      <c r="E49" s="2250">
        <v>4.0000000000000001E-3</v>
      </c>
      <c r="F49" s="2250">
        <v>4.0000000000000001E-3</v>
      </c>
      <c r="G49" s="2250">
        <v>4.0000000000000001E-3</v>
      </c>
      <c r="H49" s="2250">
        <v>4.0000000000000001E-3</v>
      </c>
      <c r="I49" s="2250">
        <v>4.0000000000000001E-3</v>
      </c>
      <c r="J49" s="2250">
        <v>4.0000000000000001E-3</v>
      </c>
      <c r="K49" s="2250">
        <v>4.0000000000000001E-3</v>
      </c>
      <c r="L49" s="2250">
        <v>4.0000000000000001E-3</v>
      </c>
      <c r="M49" s="2250">
        <v>4.0000000000000001E-3</v>
      </c>
      <c r="N49" s="2250">
        <v>4.0000000000000001E-3</v>
      </c>
      <c r="O49" s="2250">
        <v>2E-3</v>
      </c>
      <c r="R49" s="2250">
        <v>2E-3</v>
      </c>
      <c r="S49" s="2250">
        <v>2E-3</v>
      </c>
      <c r="T49" s="2250">
        <v>2E-3</v>
      </c>
      <c r="U49" s="2250">
        <v>2E-3</v>
      </c>
      <c r="V49" s="2250">
        <v>2E-3</v>
      </c>
      <c r="W49" s="2250">
        <v>2E-3</v>
      </c>
    </row>
    <row r="50" spans="2:23" outlineLevel="1">
      <c r="B50" s="2242"/>
      <c r="C50" s="2214"/>
      <c r="D50" s="2215"/>
      <c r="E50" s="2251"/>
      <c r="F50" s="2251"/>
      <c r="G50" s="2251"/>
      <c r="H50" s="2251"/>
      <c r="I50" s="2251"/>
      <c r="J50" s="2251"/>
      <c r="K50" s="2251"/>
      <c r="L50" s="2251"/>
      <c r="M50" s="2251"/>
      <c r="N50" s="2251"/>
      <c r="O50" s="2251"/>
      <c r="R50" s="2252"/>
      <c r="S50" s="2252"/>
      <c r="T50" s="2252"/>
      <c r="U50" s="2252"/>
      <c r="V50" s="2252"/>
      <c r="W50" s="2252"/>
    </row>
    <row r="51" spans="2:23" outlineLevel="1">
      <c r="B51" s="2242" t="s">
        <v>2703</v>
      </c>
      <c r="C51" s="2211" t="s">
        <v>2691</v>
      </c>
      <c r="D51" s="2212"/>
      <c r="E51" s="2253">
        <v>0.02</v>
      </c>
      <c r="F51" s="2253">
        <v>0.02</v>
      </c>
      <c r="G51" s="2253">
        <v>0.02</v>
      </c>
      <c r="H51" s="2253">
        <v>0.02</v>
      </c>
      <c r="I51" s="2253">
        <v>0.02</v>
      </c>
      <c r="J51" s="2253">
        <v>0.02</v>
      </c>
      <c r="K51" s="2253">
        <v>0.02</v>
      </c>
      <c r="L51" s="2253">
        <v>0.02</v>
      </c>
      <c r="M51" s="2253">
        <v>0.02</v>
      </c>
      <c r="N51" s="2253">
        <v>0.02</v>
      </c>
      <c r="O51" s="2253">
        <v>0.02</v>
      </c>
      <c r="R51" s="2253">
        <v>0.02</v>
      </c>
      <c r="S51" s="2253">
        <v>0.02</v>
      </c>
      <c r="T51" s="2253">
        <v>0.02</v>
      </c>
      <c r="U51" s="2253">
        <v>0.02</v>
      </c>
      <c r="V51" s="2253">
        <v>0.02</v>
      </c>
      <c r="W51" s="2253">
        <v>0.02</v>
      </c>
    </row>
    <row r="52" spans="2:23" outlineLevel="1">
      <c r="B52" s="2242"/>
      <c r="C52" s="2214"/>
      <c r="D52" s="2215"/>
      <c r="E52" s="2223"/>
      <c r="F52" s="2223"/>
      <c r="G52" s="2223"/>
      <c r="H52" s="2223"/>
      <c r="I52" s="2223"/>
      <c r="J52" s="2223"/>
      <c r="K52" s="2223"/>
      <c r="L52" s="2223"/>
      <c r="M52" s="2223"/>
      <c r="N52" s="2223"/>
      <c r="O52" s="2223"/>
      <c r="R52" s="2224"/>
      <c r="S52" s="2224"/>
      <c r="T52" s="2224"/>
      <c r="U52" s="2224"/>
      <c r="V52" s="2224"/>
      <c r="W52" s="2224"/>
    </row>
    <row r="53" spans="2:23" outlineLevel="1">
      <c r="B53" s="2242" t="s">
        <v>2704</v>
      </c>
      <c r="C53" s="2211" t="s">
        <v>2691</v>
      </c>
      <c r="D53" s="2212"/>
      <c r="E53" s="2227"/>
      <c r="F53" s="2227"/>
      <c r="G53" s="2227"/>
      <c r="H53" s="2227"/>
      <c r="I53" s="2227"/>
      <c r="J53" s="2227"/>
      <c r="K53" s="2227"/>
      <c r="L53" s="2227"/>
      <c r="M53" s="2227"/>
      <c r="N53" s="2227"/>
      <c r="O53" s="2227"/>
      <c r="R53" s="2227"/>
      <c r="S53" s="2227"/>
      <c r="T53" s="2227"/>
      <c r="U53" s="2227"/>
      <c r="V53" s="2227"/>
      <c r="W53" s="2227"/>
    </row>
    <row r="54" spans="2:23" outlineLevel="1">
      <c r="B54" s="2242"/>
      <c r="C54" s="2214"/>
      <c r="D54" s="2215"/>
      <c r="E54" s="2223"/>
      <c r="F54" s="2223"/>
      <c r="G54" s="2223"/>
      <c r="H54" s="2223"/>
      <c r="I54" s="2223"/>
      <c r="J54" s="2223"/>
      <c r="K54" s="2223"/>
      <c r="L54" s="2223"/>
      <c r="M54" s="2223"/>
      <c r="N54" s="2223"/>
      <c r="O54" s="2223"/>
      <c r="R54" s="2224"/>
      <c r="S54" s="2224"/>
      <c r="T54" s="2224"/>
      <c r="U54" s="2224"/>
      <c r="V54" s="2224"/>
      <c r="W54" s="2224"/>
    </row>
    <row r="55" spans="2:23" outlineLevel="1">
      <c r="B55" s="2242" t="s">
        <v>2705</v>
      </c>
      <c r="C55" s="2211" t="s">
        <v>2691</v>
      </c>
      <c r="D55" s="2212"/>
      <c r="E55" s="2227"/>
      <c r="F55" s="2227"/>
      <c r="G55" s="2227"/>
      <c r="H55" s="2227"/>
      <c r="I55" s="2227"/>
      <c r="J55" s="2227"/>
      <c r="K55" s="2227"/>
      <c r="L55" s="2227"/>
      <c r="M55" s="2227"/>
      <c r="N55" s="2227"/>
      <c r="O55" s="2227"/>
      <c r="R55" s="2227"/>
      <c r="S55" s="2227"/>
      <c r="T55" s="2227"/>
      <c r="U55" s="2227"/>
      <c r="V55" s="2227"/>
      <c r="W55" s="2227"/>
    </row>
    <row r="56" spans="2:23" s="2194" customFormat="1" ht="15">
      <c r="B56" s="2197"/>
      <c r="C56" s="2198"/>
      <c r="D56" s="2199"/>
      <c r="E56" s="2206"/>
      <c r="F56" s="2206"/>
      <c r="G56" s="2206"/>
      <c r="H56" s="2206"/>
      <c r="I56" s="2206"/>
      <c r="J56" s="2206"/>
      <c r="K56" s="2206"/>
      <c r="L56" s="2206"/>
      <c r="M56" s="2206"/>
      <c r="N56" s="2206"/>
      <c r="O56" s="2206"/>
      <c r="R56" s="2208"/>
      <c r="S56" s="2208"/>
      <c r="T56" s="2208"/>
      <c r="U56" s="2208"/>
      <c r="V56" s="2208"/>
      <c r="W56" s="2208"/>
    </row>
    <row r="57" spans="2:23" s="2194" customFormat="1" ht="27.75" customHeight="1">
      <c r="B57" s="2202" t="s">
        <v>2706</v>
      </c>
      <c r="C57" s="2203"/>
      <c r="D57" s="2203" t="s">
        <v>2707</v>
      </c>
      <c r="E57" s="2204" t="s">
        <v>2708</v>
      </c>
      <c r="F57" s="2204" t="s">
        <v>2708</v>
      </c>
      <c r="G57" s="2204" t="s">
        <v>2708</v>
      </c>
      <c r="H57" s="2204" t="s">
        <v>2708</v>
      </c>
      <c r="I57" s="2204" t="s">
        <v>2708</v>
      </c>
      <c r="J57" s="2204" t="s">
        <v>2708</v>
      </c>
      <c r="K57" s="2204" t="s">
        <v>2708</v>
      </c>
      <c r="L57" s="2204" t="s">
        <v>2708</v>
      </c>
      <c r="M57" s="2204" t="s">
        <v>2708</v>
      </c>
      <c r="N57" s="2204" t="s">
        <v>2708</v>
      </c>
      <c r="O57" s="2204" t="s">
        <v>2708</v>
      </c>
      <c r="R57" s="2205" t="s">
        <v>2708</v>
      </c>
      <c r="S57" s="2205" t="s">
        <v>2708</v>
      </c>
      <c r="T57" s="2205" t="s">
        <v>2708</v>
      </c>
      <c r="U57" s="2205" t="s">
        <v>2708</v>
      </c>
      <c r="V57" s="2205" t="s">
        <v>2708</v>
      </c>
      <c r="W57" s="2205" t="s">
        <v>2708</v>
      </c>
    </row>
    <row r="58" spans="2:23" outlineLevel="1">
      <c r="B58" s="2242"/>
      <c r="D58" s="2255"/>
      <c r="E58" s="2256"/>
      <c r="F58" s="2256"/>
      <c r="G58" s="2256"/>
      <c r="H58" s="2257"/>
      <c r="I58" s="2257"/>
      <c r="J58" s="2257">
        <f t="shared" ref="J58:M58" si="7">+J61+J106+IFERROR(J125,0)</f>
        <v>5536679.9999999991</v>
      </c>
      <c r="K58" s="2257">
        <f t="shared" si="7"/>
        <v>11428560</v>
      </c>
      <c r="L58" s="2257">
        <f t="shared" si="7"/>
        <v>10451760</v>
      </c>
      <c r="M58" s="2257">
        <f t="shared" si="7"/>
        <v>11746019.999999998</v>
      </c>
      <c r="N58" s="2257">
        <f>+'[5]O&amp;M'!N14</f>
        <v>0</v>
      </c>
      <c r="O58" s="2257">
        <f>+'[5]O&amp;M'!Q14</f>
        <v>0</v>
      </c>
      <c r="R58" s="2258">
        <f>+'[5]O&amp;M'!T14</f>
        <v>0</v>
      </c>
      <c r="S58" s="2258"/>
      <c r="T58" s="2258"/>
      <c r="U58" s="2258"/>
      <c r="V58" s="2258"/>
      <c r="W58" s="2258" t="e">
        <f>+W61+W106+IFERROR(W125,0)</f>
        <v>#REF!</v>
      </c>
    </row>
    <row r="59" spans="2:23" ht="16.5" customHeight="1" outlineLevel="1">
      <c r="B59" s="2235" t="s">
        <v>2709</v>
      </c>
      <c r="C59" s="2259"/>
      <c r="D59" s="2260"/>
      <c r="E59" s="2261" t="b">
        <f>+E61+E88+E106+E152='Input 기초'!F21</f>
        <v>1</v>
      </c>
      <c r="F59" s="2261" t="b">
        <f>+F61+F88+F106+F152='Input 기초'!G21</f>
        <v>1</v>
      </c>
      <c r="G59" s="2261" t="b">
        <f>+G61+G88+G106+G152='Input 기초'!H21</f>
        <v>1</v>
      </c>
      <c r="H59" s="2261" t="b">
        <f>+H61+H88+H106+H152='Input 기초'!I21</f>
        <v>1</v>
      </c>
      <c r="I59" s="2261" t="b">
        <f>+I61+I88+I106+I152='Input 기초'!J21</f>
        <v>1</v>
      </c>
      <c r="J59" s="2261" t="b">
        <f>+J61+J88+J106+J152='Input 기초'!K21</f>
        <v>1</v>
      </c>
      <c r="K59" s="2261" t="b">
        <f>+K61+K88+K106+K152='Input 기초'!L21</f>
        <v>1</v>
      </c>
      <c r="L59" s="2261" t="b">
        <f>+L61+L88+L106+L152='Input 기초'!M21</f>
        <v>1</v>
      </c>
      <c r="M59" s="2261" t="b">
        <f>+M61+M88+M106+M152='Input 기초'!N21</f>
        <v>1</v>
      </c>
      <c r="N59" s="2261" t="b">
        <f>+N61+N88+N106+N152='Input 기초'!O21</f>
        <v>1</v>
      </c>
      <c r="O59" s="2261"/>
      <c r="R59" s="2262" t="e">
        <f>+R61+R70+R88+R106+R115+R125+R134+R143+R152='Input 기초'!#REF!</f>
        <v>#REF!</v>
      </c>
      <c r="S59" s="2262" t="e">
        <f>+S61+S70+S88+S106+S115+S125+S134+S143+S152='Input 기초'!#REF!</f>
        <v>#REF!</v>
      </c>
      <c r="T59" s="2262" t="e">
        <f>+T61+T70+T88+T106+T115+T125+T134+T143+T152='Input 기초'!#REF!</f>
        <v>#REF!</v>
      </c>
      <c r="U59" s="2262" t="e">
        <f>+U61+U70+U88+U106+U115+U125+U134+U143+U152='Input 기초'!#REF!</f>
        <v>#REF!</v>
      </c>
      <c r="V59" s="2262" t="e">
        <f>+V61+V70+V88+V106+V115+V125+V134+V143+V152='Input 기초'!#REF!</f>
        <v>#REF!</v>
      </c>
      <c r="W59" s="2262" t="e">
        <f>+W61+W70+W88+W106+W115+W125+W134+W143+W152='Input 기초'!#REF!</f>
        <v>#REF!</v>
      </c>
    </row>
    <row r="60" spans="2:23" ht="16.5" customHeight="1" outlineLevel="1">
      <c r="B60" s="2242" t="s">
        <v>2665</v>
      </c>
      <c r="E60" s="2221"/>
      <c r="F60" s="2221"/>
      <c r="G60" s="2221"/>
      <c r="H60" s="2221"/>
      <c r="I60" s="2221"/>
      <c r="J60" s="2221"/>
      <c r="K60" s="2221"/>
      <c r="L60" s="2221"/>
      <c r="M60" s="2221"/>
      <c r="N60" s="2221"/>
      <c r="O60" s="2221"/>
      <c r="R60" s="2221"/>
      <c r="S60" s="2221"/>
      <c r="T60" s="2221"/>
      <c r="U60" s="2221"/>
      <c r="V60" s="2221"/>
      <c r="W60" s="2221"/>
    </row>
    <row r="61" spans="2:23" ht="16.5" customHeight="1" outlineLevel="1">
      <c r="B61" s="2242" t="s">
        <v>2708</v>
      </c>
      <c r="C61" s="2214" t="s">
        <v>2710</v>
      </c>
      <c r="D61" s="2263" t="s">
        <v>2711</v>
      </c>
      <c r="E61" s="2264">
        <f>+'Input 기초'!F22</f>
        <v>6888000</v>
      </c>
      <c r="F61" s="2264">
        <f>+'Input 기초'!G22</f>
        <v>4988000</v>
      </c>
      <c r="G61" s="2264">
        <f>+'Input 기초'!H22</f>
        <v>6249500</v>
      </c>
      <c r="H61" s="2264">
        <f>+'Input 기초'!I22</f>
        <v>6249500</v>
      </c>
      <c r="I61" s="2264">
        <f>+'Input 기초'!J22</f>
        <v>1870499.9999999998</v>
      </c>
      <c r="J61" s="2264">
        <f>+'Input 기초'!K22</f>
        <v>3740999.9999999995</v>
      </c>
      <c r="K61" s="2264">
        <f>+'Input 기초'!L22</f>
        <v>7722000</v>
      </c>
      <c r="L61" s="2264">
        <f>+'Input 기초'!M22</f>
        <v>7062000</v>
      </c>
      <c r="M61" s="2264">
        <f>+'Input 기초'!N22</f>
        <v>7936499.9999999991</v>
      </c>
      <c r="N61" s="2264">
        <f>+'Input 기초'!O22</f>
        <v>7820999.9999999991</v>
      </c>
      <c r="O61" s="2264" t="e">
        <f>+'Input 기초'!#REF!</f>
        <v>#REF!</v>
      </c>
      <c r="P61" s="2265"/>
      <c r="R61" s="2264" t="e">
        <f>+'Input 기초'!#REF!</f>
        <v>#REF!</v>
      </c>
      <c r="S61" s="2264" t="e">
        <f>+'Input 기초'!#REF!</f>
        <v>#REF!</v>
      </c>
      <c r="T61" s="2264" t="e">
        <f>+'Input 기초'!#REF!</f>
        <v>#REF!</v>
      </c>
      <c r="U61" s="2264" t="e">
        <f>+'Input 기초'!#REF!</f>
        <v>#REF!</v>
      </c>
      <c r="V61" s="2264" t="e">
        <f>+'Input 기초'!#REF!</f>
        <v>#REF!</v>
      </c>
      <c r="W61" s="2264" t="e">
        <f>+'Input 기초'!#REF!</f>
        <v>#REF!</v>
      </c>
    </row>
    <row r="62" spans="2:23" ht="16.5" customHeight="1" outlineLevel="1">
      <c r="B62" s="2266" t="s">
        <v>2712</v>
      </c>
      <c r="C62" s="2211" t="s">
        <v>2713</v>
      </c>
      <c r="D62" s="2212"/>
      <c r="E62" s="2267" t="s">
        <v>515</v>
      </c>
      <c r="F62" s="2267" t="s">
        <v>515</v>
      </c>
      <c r="G62" s="2267" t="s">
        <v>515</v>
      </c>
      <c r="H62" s="2267" t="s">
        <v>515</v>
      </c>
      <c r="I62" s="2267" t="s">
        <v>515</v>
      </c>
      <c r="J62" s="2267" t="s">
        <v>515</v>
      </c>
      <c r="K62" s="2267" t="s">
        <v>515</v>
      </c>
      <c r="L62" s="2267" t="s">
        <v>515</v>
      </c>
      <c r="M62" s="2267" t="s">
        <v>515</v>
      </c>
      <c r="N62" s="2267" t="s">
        <v>515</v>
      </c>
      <c r="O62" s="2267" t="s">
        <v>515</v>
      </c>
      <c r="P62" s="2268"/>
      <c r="R62" s="2267" t="s">
        <v>515</v>
      </c>
      <c r="S62" s="2267" t="s">
        <v>515</v>
      </c>
      <c r="T62" s="2267" t="s">
        <v>515</v>
      </c>
      <c r="U62" s="2267" t="s">
        <v>515</v>
      </c>
      <c r="V62" s="2267" t="s">
        <v>515</v>
      </c>
      <c r="W62" s="2267" t="s">
        <v>515</v>
      </c>
    </row>
    <row r="63" spans="2:23" ht="16.5" customHeight="1" outlineLevel="1">
      <c r="B63" s="2266" t="s">
        <v>2714</v>
      </c>
      <c r="C63" s="2211" t="s">
        <v>2715</v>
      </c>
      <c r="D63" s="2212" t="s">
        <v>2716</v>
      </c>
      <c r="E63" s="2213">
        <f>+E18</f>
        <v>46204</v>
      </c>
      <c r="F63" s="2213">
        <f>+F18</f>
        <v>46204</v>
      </c>
      <c r="G63" s="2213">
        <f>+G18</f>
        <v>46204</v>
      </c>
      <c r="H63" s="2213">
        <f t="shared" ref="H63:O63" si="8">+H18</f>
        <v>46204</v>
      </c>
      <c r="I63" s="2213">
        <f t="shared" si="8"/>
        <v>46204</v>
      </c>
      <c r="J63" s="2213">
        <f t="shared" si="8"/>
        <v>46204</v>
      </c>
      <c r="K63" s="2213">
        <f t="shared" si="8"/>
        <v>46327</v>
      </c>
      <c r="L63" s="2213">
        <f t="shared" si="8"/>
        <v>46327</v>
      </c>
      <c r="M63" s="2213">
        <f t="shared" si="8"/>
        <v>46327</v>
      </c>
      <c r="N63" s="2213">
        <f t="shared" si="8"/>
        <v>46327</v>
      </c>
      <c r="O63" s="2213">
        <f t="shared" si="8"/>
        <v>0</v>
      </c>
      <c r="R63" s="2213">
        <v>46112</v>
      </c>
      <c r="S63" s="2213">
        <v>46112</v>
      </c>
      <c r="T63" s="2213">
        <v>46112</v>
      </c>
      <c r="U63" s="2213">
        <v>46112</v>
      </c>
      <c r="V63" s="2213">
        <v>46112</v>
      </c>
      <c r="W63" s="2213">
        <v>46112</v>
      </c>
    </row>
    <row r="64" spans="2:23" ht="16.5" customHeight="1" outlineLevel="1">
      <c r="B64" s="2242" t="s">
        <v>2717</v>
      </c>
      <c r="C64" s="2211" t="s">
        <v>2691</v>
      </c>
      <c r="D64" s="2212" t="s">
        <v>2718</v>
      </c>
      <c r="E64" s="2213" t="s">
        <v>2719</v>
      </c>
      <c r="F64" s="2213" t="s">
        <v>2719</v>
      </c>
      <c r="G64" s="2213" t="s">
        <v>2719</v>
      </c>
      <c r="H64" s="2213" t="s">
        <v>2719</v>
      </c>
      <c r="I64" s="2213" t="s">
        <v>2719</v>
      </c>
      <c r="J64" s="2213" t="s">
        <v>2719</v>
      </c>
      <c r="K64" s="2213" t="s">
        <v>2719</v>
      </c>
      <c r="L64" s="2213" t="s">
        <v>2719</v>
      </c>
      <c r="M64" s="2213" t="s">
        <v>2719</v>
      </c>
      <c r="N64" s="2213" t="s">
        <v>2719</v>
      </c>
      <c r="O64" s="2213" t="s">
        <v>2719</v>
      </c>
      <c r="R64" s="2213" t="s">
        <v>2719</v>
      </c>
      <c r="S64" s="2213" t="s">
        <v>2719</v>
      </c>
      <c r="T64" s="2213" t="s">
        <v>2719</v>
      </c>
      <c r="U64" s="2213" t="s">
        <v>2719</v>
      </c>
      <c r="V64" s="2213" t="s">
        <v>2719</v>
      </c>
      <c r="W64" s="2213" t="s">
        <v>2719</v>
      </c>
    </row>
    <row r="65" spans="2:23" ht="16.5" customHeight="1" outlineLevel="1">
      <c r="B65" s="2242" t="s">
        <v>2720</v>
      </c>
      <c r="C65" s="2211" t="s">
        <v>2715</v>
      </c>
      <c r="D65" s="2212"/>
      <c r="E65" s="2213">
        <f>+E19</f>
        <v>46296</v>
      </c>
      <c r="F65" s="2213">
        <f>+F19</f>
        <v>46296</v>
      </c>
      <c r="G65" s="2213">
        <f>+G19</f>
        <v>46296</v>
      </c>
      <c r="H65" s="2213">
        <f t="shared" ref="H65:O65" si="9">+H19</f>
        <v>46296</v>
      </c>
      <c r="I65" s="2213">
        <f t="shared" si="9"/>
        <v>46296</v>
      </c>
      <c r="J65" s="2213">
        <f t="shared" si="9"/>
        <v>46296</v>
      </c>
      <c r="K65" s="2213">
        <f t="shared" si="9"/>
        <v>46419</v>
      </c>
      <c r="L65" s="2213">
        <f t="shared" si="9"/>
        <v>46419</v>
      </c>
      <c r="M65" s="2213">
        <f t="shared" si="9"/>
        <v>46419</v>
      </c>
      <c r="N65" s="2213">
        <f t="shared" si="9"/>
        <v>46419</v>
      </c>
      <c r="O65" s="2213">
        <f t="shared" si="9"/>
        <v>46203</v>
      </c>
      <c r="R65" s="2213">
        <f t="shared" ref="R65:W65" si="10">R19</f>
        <v>46203</v>
      </c>
      <c r="S65" s="2213">
        <f t="shared" si="10"/>
        <v>46173</v>
      </c>
      <c r="T65" s="2213">
        <f t="shared" si="10"/>
        <v>46173</v>
      </c>
      <c r="U65" s="2213">
        <f t="shared" si="10"/>
        <v>46173</v>
      </c>
      <c r="V65" s="2213">
        <f t="shared" si="10"/>
        <v>46173</v>
      </c>
      <c r="W65" s="2213">
        <f t="shared" si="10"/>
        <v>46203</v>
      </c>
    </row>
    <row r="66" spans="2:23" ht="18.600000000000001" customHeight="1" outlineLevel="1">
      <c r="B66" s="2242" t="s">
        <v>2721</v>
      </c>
      <c r="C66" s="2492" t="s">
        <v>2722</v>
      </c>
      <c r="D66" s="2492"/>
      <c r="E66" s="2227"/>
      <c r="F66" s="2227"/>
      <c r="G66" s="2227"/>
      <c r="H66" s="2227"/>
      <c r="I66" s="2227"/>
      <c r="J66" s="2227"/>
      <c r="K66" s="2227"/>
      <c r="L66" s="2227"/>
      <c r="M66" s="2227"/>
      <c r="N66" s="2227"/>
      <c r="O66" s="2227"/>
      <c r="R66" s="2227"/>
      <c r="S66" s="2227"/>
      <c r="T66" s="2227"/>
      <c r="U66" s="2227"/>
      <c r="V66" s="2227"/>
      <c r="W66" s="2227"/>
    </row>
    <row r="67" spans="2:23" ht="18.600000000000001" customHeight="1" outlineLevel="1">
      <c r="B67" s="2242"/>
      <c r="C67" s="2492"/>
      <c r="D67" s="2492"/>
      <c r="R67" s="2269"/>
      <c r="S67" s="2269"/>
      <c r="T67" s="2269"/>
      <c r="U67" s="2269"/>
      <c r="V67" s="2269"/>
      <c r="W67" s="2269"/>
    </row>
    <row r="68" spans="2:23" ht="16.5" hidden="1" customHeight="1" outlineLevel="1">
      <c r="B68" s="2235" t="s">
        <v>2723</v>
      </c>
      <c r="C68" s="2259"/>
      <c r="D68" s="2270"/>
      <c r="E68" s="2271"/>
      <c r="F68" s="2271"/>
      <c r="G68" s="2271"/>
      <c r="H68" s="2271"/>
      <c r="I68" s="2271"/>
      <c r="J68" s="2271"/>
      <c r="K68" s="2271"/>
      <c r="L68" s="2271"/>
      <c r="M68" s="2271"/>
      <c r="N68" s="2271"/>
      <c r="O68" s="2271"/>
      <c r="R68" s="2272"/>
      <c r="S68" s="2272"/>
      <c r="T68" s="2272"/>
      <c r="U68" s="2272"/>
      <c r="V68" s="2272"/>
      <c r="W68" s="2272"/>
    </row>
    <row r="69" spans="2:23" ht="16.5" hidden="1" customHeight="1" outlineLevel="1">
      <c r="B69" s="2242" t="s">
        <v>2665</v>
      </c>
      <c r="E69" s="2221"/>
      <c r="F69" s="2221"/>
      <c r="G69" s="2221"/>
      <c r="H69" s="2221"/>
      <c r="I69" s="2221"/>
      <c r="J69" s="2221"/>
      <c r="K69" s="2221"/>
      <c r="L69" s="2221"/>
      <c r="M69" s="2221"/>
      <c r="N69" s="2221"/>
      <c r="O69" s="2221"/>
      <c r="R69" s="2221"/>
      <c r="S69" s="2221"/>
      <c r="T69" s="2221"/>
      <c r="U69" s="2221"/>
      <c r="V69" s="2221"/>
      <c r="W69" s="2221"/>
    </row>
    <row r="70" spans="2:23" ht="16.5" hidden="1" customHeight="1" outlineLevel="1">
      <c r="B70" s="2242" t="s">
        <v>2708</v>
      </c>
      <c r="C70" s="2214" t="s">
        <v>2710</v>
      </c>
      <c r="D70" s="2263" t="s">
        <v>2711</v>
      </c>
      <c r="E70" s="2264">
        <f>+'Input 기초'!F23</f>
        <v>0</v>
      </c>
      <c r="F70" s="2264">
        <f>+'Input 기초'!G23</f>
        <v>0</v>
      </c>
      <c r="G70" s="2264">
        <f>+'Input 기초'!H23</f>
        <v>0</v>
      </c>
      <c r="H70" s="2264">
        <f>+'Input 기초'!I23</f>
        <v>0</v>
      </c>
      <c r="I70" s="2264">
        <f>+'Input 기초'!J23</f>
        <v>0</v>
      </c>
      <c r="J70" s="2264">
        <f>+'Input 기초'!K23</f>
        <v>0</v>
      </c>
      <c r="K70" s="2264">
        <f>+'Input 기초'!L23</f>
        <v>0</v>
      </c>
      <c r="L70" s="2264">
        <f>+'Input 기초'!M23</f>
        <v>0</v>
      </c>
      <c r="M70" s="2264">
        <f>+'Input 기초'!N23</f>
        <v>0</v>
      </c>
      <c r="N70" s="2264">
        <f>+'Input 기초'!O23</f>
        <v>0</v>
      </c>
      <c r="O70" s="2264" t="e">
        <f>+'Input 기초'!#REF!</f>
        <v>#REF!</v>
      </c>
      <c r="R70" s="2264" t="e">
        <f>+'Input 기초'!#REF!</f>
        <v>#REF!</v>
      </c>
      <c r="S70" s="2264" t="e">
        <f>+'Input 기초'!#REF!</f>
        <v>#REF!</v>
      </c>
      <c r="T70" s="2264" t="e">
        <f>+'Input 기초'!#REF!</f>
        <v>#REF!</v>
      </c>
      <c r="U70" s="2264" t="e">
        <f>+'Input 기초'!#REF!</f>
        <v>#REF!</v>
      </c>
      <c r="V70" s="2264" t="e">
        <f>+'Input 기초'!#REF!</f>
        <v>#REF!</v>
      </c>
      <c r="W70" s="2264" t="e">
        <f>+'Input 기초'!#REF!</f>
        <v>#REF!</v>
      </c>
    </row>
    <row r="71" spans="2:23" ht="16.5" hidden="1" customHeight="1" outlineLevel="1">
      <c r="B71" s="2242" t="s">
        <v>2724</v>
      </c>
      <c r="C71" s="2211" t="s">
        <v>2713</v>
      </c>
      <c r="D71" s="2212"/>
      <c r="E71" s="2267">
        <v>1</v>
      </c>
      <c r="F71" s="2267">
        <v>1</v>
      </c>
      <c r="G71" s="2267">
        <v>1</v>
      </c>
      <c r="H71" s="2267">
        <v>1</v>
      </c>
      <c r="I71" s="2267">
        <v>1</v>
      </c>
      <c r="J71" s="2267">
        <v>1</v>
      </c>
      <c r="K71" s="2267">
        <v>1</v>
      </c>
      <c r="L71" s="2267">
        <v>1</v>
      </c>
      <c r="M71" s="2267">
        <v>1</v>
      </c>
      <c r="N71" s="2267">
        <v>1</v>
      </c>
      <c r="O71" s="2267">
        <v>1</v>
      </c>
      <c r="R71" s="2267">
        <v>1</v>
      </c>
      <c r="S71" s="2267">
        <v>1</v>
      </c>
      <c r="T71" s="2267">
        <v>1</v>
      </c>
      <c r="U71" s="2267">
        <v>1</v>
      </c>
      <c r="V71" s="2267">
        <v>1</v>
      </c>
      <c r="W71" s="2267">
        <v>1</v>
      </c>
    </row>
    <row r="72" spans="2:23" ht="15.75" hidden="1" customHeight="1" outlineLevel="1">
      <c r="B72" s="2242" t="s">
        <v>2725</v>
      </c>
      <c r="C72" s="2211" t="s">
        <v>2715</v>
      </c>
      <c r="D72" s="2212" t="s">
        <v>2716</v>
      </c>
      <c r="E72" s="2213" t="s">
        <v>2726</v>
      </c>
      <c r="F72" s="2213" t="s">
        <v>2726</v>
      </c>
      <c r="G72" s="2213" t="s">
        <v>2726</v>
      </c>
      <c r="H72" s="2213" t="s">
        <v>2726</v>
      </c>
      <c r="I72" s="2213" t="s">
        <v>2726</v>
      </c>
      <c r="J72" s="2213" t="s">
        <v>2726</v>
      </c>
      <c r="K72" s="2213" t="s">
        <v>2726</v>
      </c>
      <c r="L72" s="2213" t="s">
        <v>2726</v>
      </c>
      <c r="M72" s="2213" t="s">
        <v>2726</v>
      </c>
      <c r="N72" s="2213" t="s">
        <v>2726</v>
      </c>
      <c r="O72" s="2213" t="s">
        <v>2726</v>
      </c>
      <c r="R72" s="2213">
        <f t="shared" ref="R72:W72" si="11">+EDATE(R16,-25)</f>
        <v>45200</v>
      </c>
      <c r="S72" s="2213">
        <f t="shared" si="11"/>
        <v>45200</v>
      </c>
      <c r="T72" s="2213">
        <f t="shared" si="11"/>
        <v>45200</v>
      </c>
      <c r="U72" s="2213">
        <f t="shared" si="11"/>
        <v>45200</v>
      </c>
      <c r="V72" s="2213">
        <f t="shared" si="11"/>
        <v>45200</v>
      </c>
      <c r="W72" s="2213">
        <f t="shared" si="11"/>
        <v>45260</v>
      </c>
    </row>
    <row r="73" spans="2:23" ht="16.5" hidden="1" customHeight="1" outlineLevel="1">
      <c r="B73" s="2242" t="s">
        <v>2717</v>
      </c>
      <c r="C73" s="2211" t="s">
        <v>2691</v>
      </c>
      <c r="D73" s="2212" t="s">
        <v>2718</v>
      </c>
      <c r="E73" s="2213" t="str">
        <f>+'[5]입력 시트(0124)'!E72</f>
        <v>CPI</v>
      </c>
      <c r="F73" s="2213" t="str">
        <f>+'[5]입력 시트(0124)'!F72</f>
        <v>CPI</v>
      </c>
      <c r="G73" s="2213" t="str">
        <f>+'[5]입력 시트(0124)'!G72</f>
        <v>CPI</v>
      </c>
      <c r="H73" s="2213" t="s">
        <v>2719</v>
      </c>
      <c r="I73" s="2213" t="s">
        <v>2719</v>
      </c>
      <c r="J73" s="2213" t="s">
        <v>2719</v>
      </c>
      <c r="K73" s="2213" t="s">
        <v>2719</v>
      </c>
      <c r="L73" s="2213" t="s">
        <v>2719</v>
      </c>
      <c r="M73" s="2213" t="s">
        <v>2719</v>
      </c>
      <c r="N73" s="2213" t="s">
        <v>2719</v>
      </c>
      <c r="O73" s="2213" t="s">
        <v>2719</v>
      </c>
      <c r="R73" s="2213">
        <f>+'[5]입력 시트(0124)'!T72</f>
        <v>0</v>
      </c>
      <c r="S73" s="2213">
        <f>+'[5]입력 시트(0124)'!U72</f>
        <v>0</v>
      </c>
      <c r="T73" s="2213">
        <f>+'[5]입력 시트(0124)'!V72</f>
        <v>0</v>
      </c>
      <c r="U73" s="2213">
        <f>+'[5]입력 시트(0124)'!W72</f>
        <v>0</v>
      </c>
      <c r="V73" s="2213">
        <f>+'[5]입력 시트(0124)'!X72</f>
        <v>0</v>
      </c>
      <c r="W73" s="2213" t="s">
        <v>2719</v>
      </c>
    </row>
    <row r="74" spans="2:23" ht="16.5" hidden="1" customHeight="1" outlineLevel="1">
      <c r="B74" s="2242" t="s">
        <v>2720</v>
      </c>
      <c r="C74" s="2211" t="s">
        <v>2715</v>
      </c>
      <c r="D74" s="2212"/>
      <c r="E74" s="2213" t="s">
        <v>2726</v>
      </c>
      <c r="F74" s="2213" t="s">
        <v>2726</v>
      </c>
      <c r="G74" s="2213" t="s">
        <v>2726</v>
      </c>
      <c r="H74" s="2213" t="s">
        <v>2726</v>
      </c>
      <c r="I74" s="2213" t="s">
        <v>2726</v>
      </c>
      <c r="J74" s="2213" t="s">
        <v>2726</v>
      </c>
      <c r="K74" s="2213" t="s">
        <v>2726</v>
      </c>
      <c r="L74" s="2213" t="s">
        <v>2726</v>
      </c>
      <c r="M74" s="2213" t="s">
        <v>2726</v>
      </c>
      <c r="N74" s="2213" t="s">
        <v>2726</v>
      </c>
      <c r="O74" s="2213" t="s">
        <v>2726</v>
      </c>
      <c r="R74" s="2213">
        <f t="shared" ref="R74:W74" si="12">R19</f>
        <v>46203</v>
      </c>
      <c r="S74" s="2213">
        <f t="shared" si="12"/>
        <v>46173</v>
      </c>
      <c r="T74" s="2213">
        <f t="shared" si="12"/>
        <v>46173</v>
      </c>
      <c r="U74" s="2213">
        <f t="shared" si="12"/>
        <v>46173</v>
      </c>
      <c r="V74" s="2213">
        <f t="shared" si="12"/>
        <v>46173</v>
      </c>
      <c r="W74" s="2213">
        <f t="shared" si="12"/>
        <v>46203</v>
      </c>
    </row>
    <row r="75" spans="2:23" ht="16.5" hidden="1" customHeight="1" outlineLevel="1">
      <c r="B75" s="2242" t="s">
        <v>2721</v>
      </c>
      <c r="C75" s="2493"/>
      <c r="D75" s="2494"/>
      <c r="E75" s="2227"/>
      <c r="F75" s="2227"/>
      <c r="G75" s="2227"/>
      <c r="H75" s="2227"/>
      <c r="I75" s="2227"/>
      <c r="J75" s="2227"/>
      <c r="K75" s="2227"/>
      <c r="L75" s="2227"/>
      <c r="M75" s="2227"/>
      <c r="N75" s="2227"/>
      <c r="O75" s="2227"/>
      <c r="R75" s="2227"/>
      <c r="S75" s="2227"/>
      <c r="T75" s="2227"/>
      <c r="U75" s="2227"/>
      <c r="V75" s="2227"/>
      <c r="W75" s="2227"/>
    </row>
    <row r="76" spans="2:23" ht="16.5" hidden="1" customHeight="1" outlineLevel="1">
      <c r="B76" s="2242"/>
      <c r="C76" s="2273"/>
      <c r="R76" s="2269"/>
      <c r="S76" s="2269"/>
      <c r="T76" s="2269"/>
      <c r="U76" s="2269"/>
      <c r="V76" s="2269"/>
      <c r="W76" s="2269"/>
    </row>
    <row r="77" spans="2:23" ht="16.5" hidden="1" customHeight="1" outlineLevel="1">
      <c r="B77" s="2235" t="s">
        <v>2727</v>
      </c>
      <c r="C77" s="2259"/>
      <c r="D77" s="2270"/>
      <c r="E77" s="2271"/>
      <c r="F77" s="2271"/>
      <c r="G77" s="2271"/>
      <c r="H77" s="2271"/>
      <c r="I77" s="2271"/>
      <c r="J77" s="2271"/>
      <c r="K77" s="2271"/>
      <c r="L77" s="2271"/>
      <c r="M77" s="2271"/>
      <c r="N77" s="2271"/>
      <c r="O77" s="2271"/>
      <c r="R77" s="2272"/>
      <c r="S77" s="2272"/>
      <c r="T77" s="2272"/>
      <c r="U77" s="2272"/>
      <c r="V77" s="2272"/>
      <c r="W77" s="2272"/>
    </row>
    <row r="78" spans="2:23" ht="16.5" hidden="1" customHeight="1" outlineLevel="1">
      <c r="B78" s="2242" t="s">
        <v>2665</v>
      </c>
      <c r="E78" s="2274" t="s">
        <v>2728</v>
      </c>
      <c r="F78" s="2274" t="s">
        <v>2728</v>
      </c>
      <c r="G78" s="2274" t="s">
        <v>2728</v>
      </c>
      <c r="H78" s="2274" t="s">
        <v>2728</v>
      </c>
      <c r="I78" s="2274" t="s">
        <v>2728</v>
      </c>
      <c r="J78" s="2274" t="s">
        <v>2728</v>
      </c>
      <c r="K78" s="2274" t="s">
        <v>2728</v>
      </c>
      <c r="L78" s="2274" t="s">
        <v>2728</v>
      </c>
      <c r="M78" s="2274" t="s">
        <v>2728</v>
      </c>
      <c r="N78" s="2274" t="s">
        <v>2728</v>
      </c>
      <c r="O78" s="2274" t="s">
        <v>2728</v>
      </c>
      <c r="R78" s="2274" t="s">
        <v>2728</v>
      </c>
      <c r="S78" s="2274" t="s">
        <v>2728</v>
      </c>
      <c r="T78" s="2274" t="s">
        <v>2728</v>
      </c>
      <c r="U78" s="2274" t="s">
        <v>2728</v>
      </c>
      <c r="V78" s="2274" t="s">
        <v>2728</v>
      </c>
      <c r="W78" s="2274" t="s">
        <v>2728</v>
      </c>
    </row>
    <row r="79" spans="2:23" ht="16.5" hidden="1" customHeight="1" outlineLevel="1">
      <c r="B79" s="2242" t="s">
        <v>2708</v>
      </c>
      <c r="C79" s="2214" t="s">
        <v>2710</v>
      </c>
      <c r="D79" s="2275" t="s">
        <v>2711</v>
      </c>
      <c r="E79" s="2276"/>
      <c r="F79" s="2276"/>
      <c r="G79" s="2276"/>
      <c r="H79" s="2276"/>
      <c r="I79" s="2276"/>
      <c r="J79" s="2276"/>
      <c r="K79" s="2276"/>
      <c r="L79" s="2276"/>
      <c r="M79" s="2276"/>
      <c r="N79" s="2276"/>
      <c r="O79" s="2276"/>
      <c r="R79" s="2276"/>
      <c r="S79" s="2276"/>
      <c r="T79" s="2276"/>
      <c r="U79" s="2276"/>
      <c r="V79" s="2276"/>
      <c r="W79" s="2276"/>
    </row>
    <row r="80" spans="2:23" ht="16.5" hidden="1" customHeight="1" outlineLevel="1">
      <c r="B80" s="2242" t="s">
        <v>2724</v>
      </c>
      <c r="C80" s="2211" t="s">
        <v>2713</v>
      </c>
      <c r="D80" s="2212"/>
      <c r="E80" s="2277">
        <v>1</v>
      </c>
      <c r="F80" s="2277">
        <v>1</v>
      </c>
      <c r="G80" s="2277">
        <v>1</v>
      </c>
      <c r="H80" s="2277">
        <v>1</v>
      </c>
      <c r="I80" s="2277">
        <v>1</v>
      </c>
      <c r="J80" s="2277">
        <v>1</v>
      </c>
      <c r="K80" s="2277">
        <v>1</v>
      </c>
      <c r="L80" s="2277">
        <v>1</v>
      </c>
      <c r="M80" s="2277">
        <v>1</v>
      </c>
      <c r="N80" s="2277">
        <v>1</v>
      </c>
      <c r="O80" s="2277">
        <v>1</v>
      </c>
      <c r="R80" s="2277">
        <v>1</v>
      </c>
      <c r="S80" s="2277">
        <v>1</v>
      </c>
      <c r="T80" s="2277">
        <v>1</v>
      </c>
      <c r="U80" s="2277">
        <v>1</v>
      </c>
      <c r="V80" s="2277">
        <v>1</v>
      </c>
      <c r="W80" s="2277">
        <v>1</v>
      </c>
    </row>
    <row r="81" spans="2:23" ht="16.5" hidden="1" customHeight="1" outlineLevel="1">
      <c r="B81" s="2242" t="s">
        <v>2725</v>
      </c>
      <c r="C81" s="2211" t="s">
        <v>2715</v>
      </c>
      <c r="D81" s="2212" t="s">
        <v>2729</v>
      </c>
      <c r="E81" s="2278">
        <f>+'[5]입력 시트(0124)'!E80</f>
        <v>45901</v>
      </c>
      <c r="F81" s="2278">
        <f>+'[5]입력 시트(0124)'!F80</f>
        <v>45901</v>
      </c>
      <c r="G81" s="2278">
        <f>+'[5]입력 시트(0124)'!G80</f>
        <v>45901</v>
      </c>
      <c r="H81" s="2278">
        <f>+'[5]입력 시트(0124)'!H80</f>
        <v>45901</v>
      </c>
      <c r="I81" s="2278">
        <f>+'[5]입력 시트(0124)'!I80</f>
        <v>45931</v>
      </c>
      <c r="J81" s="2278">
        <f>+'[5]입력 시트(0124)'!F80</f>
        <v>45901</v>
      </c>
      <c r="K81" s="2278">
        <f>+'[5]입력 시트(0124)'!G80</f>
        <v>45901</v>
      </c>
      <c r="L81" s="2278">
        <f>+'[5]입력 시트(0124)'!H80</f>
        <v>45901</v>
      </c>
      <c r="M81" s="2278">
        <f>+'[5]입력 시트(0124)'!I80</f>
        <v>45931</v>
      </c>
      <c r="N81" s="2278">
        <f>+'[5]입력 시트(0124)'!N80</f>
        <v>0</v>
      </c>
      <c r="O81" s="2278">
        <f>+'[5]입력 시트(0124)'!Q80</f>
        <v>0</v>
      </c>
      <c r="R81" s="2278">
        <f>+'[5]입력 시트(0124)'!T80</f>
        <v>0</v>
      </c>
      <c r="S81" s="2278">
        <f>+'[5]입력 시트(0124)'!U80</f>
        <v>0</v>
      </c>
      <c r="T81" s="2278">
        <f>+'[5]입력 시트(0124)'!V80</f>
        <v>0</v>
      </c>
      <c r="U81" s="2278">
        <f>+'[5]입력 시트(0124)'!W80</f>
        <v>0</v>
      </c>
      <c r="V81" s="2278">
        <f>+'[5]입력 시트(0124)'!X80</f>
        <v>0</v>
      </c>
      <c r="W81" s="2278">
        <f>+'[5]입력 시트(0124)'!U80</f>
        <v>0</v>
      </c>
    </row>
    <row r="82" spans="2:23" ht="16.5" hidden="1" customHeight="1" outlineLevel="1">
      <c r="B82" s="2242" t="s">
        <v>2717</v>
      </c>
      <c r="C82" s="2211" t="s">
        <v>2691</v>
      </c>
      <c r="D82" s="2212" t="s">
        <v>2718</v>
      </c>
      <c r="E82" s="2278" t="str">
        <f>+'[5]입력 시트(0124)'!E81</f>
        <v>CPI</v>
      </c>
      <c r="F82" s="2278" t="str">
        <f>+'[5]입력 시트(0124)'!F81</f>
        <v>CPI</v>
      </c>
      <c r="G82" s="2278" t="str">
        <f>+'[5]입력 시트(0124)'!G81</f>
        <v>CPI</v>
      </c>
      <c r="H82" s="2278" t="str">
        <f>+'[5]입력 시트(0124)'!H81</f>
        <v>CPI</v>
      </c>
      <c r="I82" s="2278" t="str">
        <f>+'[5]입력 시트(0124)'!I81</f>
        <v>CPI</v>
      </c>
      <c r="J82" s="2278" t="str">
        <f>+'[5]입력 시트(0124)'!F81</f>
        <v>CPI</v>
      </c>
      <c r="K82" s="2278" t="str">
        <f>+'[5]입력 시트(0124)'!G81</f>
        <v>CPI</v>
      </c>
      <c r="L82" s="2278" t="str">
        <f>+'[5]입력 시트(0124)'!H81</f>
        <v>CPI</v>
      </c>
      <c r="M82" s="2278" t="str">
        <f>+'[5]입력 시트(0124)'!I81</f>
        <v>CPI</v>
      </c>
      <c r="N82" s="2278">
        <f>+'[5]입력 시트(0124)'!N81</f>
        <v>0</v>
      </c>
      <c r="O82" s="2278">
        <f>+'[5]입력 시트(0124)'!Q81</f>
        <v>0</v>
      </c>
      <c r="R82" s="2278">
        <f>+'[5]입력 시트(0124)'!T81</f>
        <v>0</v>
      </c>
      <c r="S82" s="2278">
        <f>+'[5]입력 시트(0124)'!U81</f>
        <v>0</v>
      </c>
      <c r="T82" s="2278">
        <f>+'[5]입력 시트(0124)'!V81</f>
        <v>0</v>
      </c>
      <c r="U82" s="2278">
        <f>+'[5]입력 시트(0124)'!W81</f>
        <v>0</v>
      </c>
      <c r="V82" s="2278">
        <f>+'[5]입력 시트(0124)'!X81</f>
        <v>0</v>
      </c>
      <c r="W82" s="2278">
        <f>+'[5]입력 시트(0124)'!U81</f>
        <v>0</v>
      </c>
    </row>
    <row r="83" spans="2:23" ht="16.5" hidden="1" customHeight="1" outlineLevel="1">
      <c r="B83" s="2242" t="s">
        <v>2720</v>
      </c>
      <c r="C83" s="2211" t="s">
        <v>2715</v>
      </c>
      <c r="D83" s="2212"/>
      <c r="E83" s="2278">
        <f>+'[5]입력 시트(0124)'!E82</f>
        <v>45901</v>
      </c>
      <c r="F83" s="2278">
        <f>+'[5]입력 시트(0124)'!F82</f>
        <v>45901</v>
      </c>
      <c r="G83" s="2278">
        <f>+'[5]입력 시트(0124)'!G82</f>
        <v>45901</v>
      </c>
      <c r="H83" s="2278">
        <f>+'[5]입력 시트(0124)'!H82</f>
        <v>45901</v>
      </c>
      <c r="I83" s="2278">
        <f>+'[5]입력 시트(0124)'!I82</f>
        <v>45931</v>
      </c>
      <c r="J83" s="2278">
        <f>+'[5]입력 시트(0124)'!F82</f>
        <v>45901</v>
      </c>
      <c r="K83" s="2278">
        <f>+'[5]입력 시트(0124)'!G82</f>
        <v>45901</v>
      </c>
      <c r="L83" s="2278">
        <f>+'[5]입력 시트(0124)'!H82</f>
        <v>45901</v>
      </c>
      <c r="M83" s="2278">
        <f>+'[5]입력 시트(0124)'!I82</f>
        <v>45931</v>
      </c>
      <c r="N83" s="2278">
        <f>+'[5]입력 시트(0124)'!N82</f>
        <v>0</v>
      </c>
      <c r="O83" s="2278">
        <f>+'[5]입력 시트(0124)'!Q82</f>
        <v>0</v>
      </c>
      <c r="R83" s="2278">
        <f>+'[5]입력 시트(0124)'!T82</f>
        <v>0</v>
      </c>
      <c r="S83" s="2278">
        <f>+'[5]입력 시트(0124)'!U82</f>
        <v>0</v>
      </c>
      <c r="T83" s="2278">
        <f>+'[5]입력 시트(0124)'!V82</f>
        <v>0</v>
      </c>
      <c r="U83" s="2278">
        <f>+'[5]입력 시트(0124)'!W82</f>
        <v>0</v>
      </c>
      <c r="V83" s="2278">
        <f>+'[5]입력 시트(0124)'!X82</f>
        <v>0</v>
      </c>
      <c r="W83" s="2278">
        <f>+'[5]입력 시트(0124)'!U82</f>
        <v>0</v>
      </c>
    </row>
    <row r="84" spans="2:23" ht="16.5" hidden="1" customHeight="1" outlineLevel="1">
      <c r="B84" s="2242" t="s">
        <v>2721</v>
      </c>
      <c r="C84" s="2493" t="s">
        <v>2730</v>
      </c>
      <c r="D84" s="2494"/>
      <c r="E84" s="2279"/>
      <c r="F84" s="2279"/>
      <c r="G84" s="2279"/>
      <c r="H84" s="2279"/>
      <c r="I84" s="2279"/>
      <c r="J84" s="2279"/>
      <c r="K84" s="2279"/>
      <c r="L84" s="2279"/>
      <c r="M84" s="2279"/>
      <c r="N84" s="2279"/>
      <c r="O84" s="2279"/>
      <c r="R84" s="2279"/>
      <c r="S84" s="2279"/>
      <c r="T84" s="2279"/>
      <c r="U84" s="2279"/>
      <c r="V84" s="2279"/>
      <c r="W84" s="2279"/>
    </row>
    <row r="85" spans="2:23" ht="16.5" hidden="1" customHeight="1" outlineLevel="1">
      <c r="B85" s="2242"/>
      <c r="R85" s="2269"/>
      <c r="S85" s="2269"/>
      <c r="T85" s="2269"/>
      <c r="U85" s="2269"/>
      <c r="V85" s="2269"/>
      <c r="W85" s="2269"/>
    </row>
    <row r="86" spans="2:23" ht="16.5" customHeight="1" outlineLevel="1">
      <c r="B86" s="2235" t="s">
        <v>2731</v>
      </c>
      <c r="C86" s="2259"/>
      <c r="D86" s="2270"/>
      <c r="E86" s="2271"/>
      <c r="F86" s="2271"/>
      <c r="G86" s="2271"/>
      <c r="H86" s="2271"/>
      <c r="I86" s="2271"/>
      <c r="J86" s="2271"/>
      <c r="K86" s="2271"/>
      <c r="L86" s="2271"/>
      <c r="M86" s="2271"/>
      <c r="N86" s="2271"/>
      <c r="O86" s="2271"/>
      <c r="R86" s="2272"/>
      <c r="S86" s="2272"/>
      <c r="T86" s="2272"/>
      <c r="U86" s="2272"/>
      <c r="V86" s="2272"/>
      <c r="W86" s="2272"/>
    </row>
    <row r="87" spans="2:23" ht="16.5" customHeight="1" outlineLevel="1">
      <c r="B87" s="2242" t="s">
        <v>2665</v>
      </c>
      <c r="E87" s="2221"/>
      <c r="F87" s="2221"/>
      <c r="G87" s="2221"/>
      <c r="H87" s="2221"/>
      <c r="I87" s="2221"/>
      <c r="J87" s="2221"/>
      <c r="K87" s="2221"/>
      <c r="L87" s="2221"/>
      <c r="M87" s="2221"/>
      <c r="N87" s="2221"/>
      <c r="O87" s="2221"/>
      <c r="R87" s="2221"/>
      <c r="S87" s="2221"/>
      <c r="T87" s="2221"/>
      <c r="U87" s="2221"/>
      <c r="V87" s="2221"/>
      <c r="W87" s="2221"/>
    </row>
    <row r="88" spans="2:23" ht="16.5" customHeight="1" outlineLevel="1">
      <c r="B88" s="2242" t="s">
        <v>2708</v>
      </c>
      <c r="C88" s="2214" t="s">
        <v>2710</v>
      </c>
      <c r="D88" s="2263" t="s">
        <v>2711</v>
      </c>
      <c r="E88" s="2264">
        <f>+'Input 기초'!F24</f>
        <v>1432704</v>
      </c>
      <c r="F88" s="2264">
        <f>+'Input 기초'!G24</f>
        <v>1037504</v>
      </c>
      <c r="G88" s="2264">
        <f>+'Input 기초'!H24</f>
        <v>1299896</v>
      </c>
      <c r="H88" s="2264">
        <f>+'Input 기초'!I24</f>
        <v>1299896</v>
      </c>
      <c r="I88" s="2264">
        <f>+'Input 기초'!J24</f>
        <v>389063.99999999994</v>
      </c>
      <c r="J88" s="2264">
        <f>+'Input 기초'!K24</f>
        <v>778127.99999999988</v>
      </c>
      <c r="K88" s="2264">
        <f>+'Input 기초'!L24</f>
        <v>1606176</v>
      </c>
      <c r="L88" s="2264">
        <f>+'Input 기초'!M24</f>
        <v>1468896</v>
      </c>
      <c r="M88" s="2264">
        <f>+'Input 기초'!N24</f>
        <v>1650792</v>
      </c>
      <c r="N88" s="2264">
        <f>+'Input 기초'!O24</f>
        <v>1626767.9999999998</v>
      </c>
      <c r="O88" s="2264" t="e">
        <f>+'Input 기초'!#REF!</f>
        <v>#REF!</v>
      </c>
      <c r="R88" s="2264" t="e">
        <f>+'Input 기초'!#REF!</f>
        <v>#REF!</v>
      </c>
      <c r="S88" s="2264" t="e">
        <f>+'Input 기초'!#REF!</f>
        <v>#REF!</v>
      </c>
      <c r="T88" s="2264" t="e">
        <f>+'Input 기초'!#REF!</f>
        <v>#REF!</v>
      </c>
      <c r="U88" s="2264" t="e">
        <f>+'Input 기초'!#REF!</f>
        <v>#REF!</v>
      </c>
      <c r="V88" s="2264" t="e">
        <f>+'Input 기초'!#REF!</f>
        <v>#REF!</v>
      </c>
      <c r="W88" s="2264" t="e">
        <f>+'Input 기초'!#REF!</f>
        <v>#REF!</v>
      </c>
    </row>
    <row r="89" spans="2:23" ht="16.5" customHeight="1" outlineLevel="1">
      <c r="B89" s="2242" t="s">
        <v>2724</v>
      </c>
      <c r="C89" s="2211" t="s">
        <v>2713</v>
      </c>
      <c r="D89" s="2212"/>
      <c r="E89" s="2267">
        <v>1</v>
      </c>
      <c r="F89" s="2267">
        <v>1</v>
      </c>
      <c r="G89" s="2267">
        <v>1</v>
      </c>
      <c r="H89" s="2267">
        <v>1</v>
      </c>
      <c r="I89" s="2267">
        <v>1</v>
      </c>
      <c r="J89" s="2267">
        <v>1</v>
      </c>
      <c r="K89" s="2267">
        <v>1</v>
      </c>
      <c r="L89" s="2267">
        <v>1</v>
      </c>
      <c r="M89" s="2267">
        <v>1</v>
      </c>
      <c r="N89" s="2267">
        <v>1</v>
      </c>
      <c r="O89" s="2267">
        <v>1</v>
      </c>
      <c r="R89" s="2267">
        <v>1</v>
      </c>
      <c r="S89" s="2267">
        <v>1</v>
      </c>
      <c r="T89" s="2267">
        <v>1</v>
      </c>
      <c r="U89" s="2267">
        <v>1</v>
      </c>
      <c r="V89" s="2267">
        <v>1</v>
      </c>
      <c r="W89" s="2267">
        <v>1</v>
      </c>
    </row>
    <row r="90" spans="2:23" ht="16.5" customHeight="1" outlineLevel="1">
      <c r="B90" s="2242" t="s">
        <v>2725</v>
      </c>
      <c r="C90" s="2211" t="s">
        <v>2715</v>
      </c>
      <c r="D90" s="2212" t="s">
        <v>2716</v>
      </c>
      <c r="E90" s="2213">
        <f>+E18</f>
        <v>46204</v>
      </c>
      <c r="F90" s="2213">
        <f>+F18</f>
        <v>46204</v>
      </c>
      <c r="G90" s="2213">
        <f>+G18</f>
        <v>46204</v>
      </c>
      <c r="H90" s="2213">
        <f t="shared" ref="H90:O90" si="13">+H18</f>
        <v>46204</v>
      </c>
      <c r="I90" s="2213">
        <f t="shared" si="13"/>
        <v>46204</v>
      </c>
      <c r="J90" s="2213">
        <f t="shared" si="13"/>
        <v>46204</v>
      </c>
      <c r="K90" s="2213">
        <f t="shared" si="13"/>
        <v>46327</v>
      </c>
      <c r="L90" s="2213">
        <f t="shared" si="13"/>
        <v>46327</v>
      </c>
      <c r="M90" s="2213">
        <f t="shared" si="13"/>
        <v>46327</v>
      </c>
      <c r="N90" s="2213">
        <f t="shared" si="13"/>
        <v>46327</v>
      </c>
      <c r="O90" s="2213">
        <f t="shared" si="13"/>
        <v>0</v>
      </c>
      <c r="R90" s="2213">
        <v>46112</v>
      </c>
      <c r="S90" s="2213">
        <v>46112</v>
      </c>
      <c r="T90" s="2213">
        <v>46112</v>
      </c>
      <c r="U90" s="2213">
        <v>46112</v>
      </c>
      <c r="V90" s="2213">
        <v>46112</v>
      </c>
      <c r="W90" s="2213">
        <v>46112</v>
      </c>
    </row>
    <row r="91" spans="2:23" ht="16.5" customHeight="1" outlineLevel="1">
      <c r="B91" s="2242" t="s">
        <v>2717</v>
      </c>
      <c r="C91" s="2211" t="s">
        <v>2691</v>
      </c>
      <c r="D91" s="2212" t="s">
        <v>2718</v>
      </c>
      <c r="E91" s="2213" t="str">
        <f>+'[5]입력 시트(0124)'!E90</f>
        <v>CPI</v>
      </c>
      <c r="F91" s="2213" t="s">
        <v>2719</v>
      </c>
      <c r="G91" s="2213" t="s">
        <v>2719</v>
      </c>
      <c r="H91" s="2213" t="s">
        <v>2719</v>
      </c>
      <c r="I91" s="2213" t="s">
        <v>2719</v>
      </c>
      <c r="J91" s="2213" t="s">
        <v>2719</v>
      </c>
      <c r="K91" s="2213" t="s">
        <v>2719</v>
      </c>
      <c r="L91" s="2213" t="s">
        <v>2719</v>
      </c>
      <c r="M91" s="2213" t="s">
        <v>2719</v>
      </c>
      <c r="N91" s="2213" t="s">
        <v>2719</v>
      </c>
      <c r="O91" s="2213" t="s">
        <v>2719</v>
      </c>
      <c r="R91" s="2213">
        <f>+'[5]입력 시트(0124)'!T90</f>
        <v>0</v>
      </c>
      <c r="S91" s="2213" t="s">
        <v>2719</v>
      </c>
      <c r="T91" s="2213" t="s">
        <v>2719</v>
      </c>
      <c r="U91" s="2213" t="s">
        <v>2719</v>
      </c>
      <c r="V91" s="2213" t="s">
        <v>2719</v>
      </c>
      <c r="W91" s="2213" t="s">
        <v>2719</v>
      </c>
    </row>
    <row r="92" spans="2:23" ht="16.5" customHeight="1" outlineLevel="1">
      <c r="B92" s="2242" t="s">
        <v>2720</v>
      </c>
      <c r="C92" s="2211" t="s">
        <v>2715</v>
      </c>
      <c r="D92" s="2212"/>
      <c r="E92" s="2213">
        <f>+E19</f>
        <v>46296</v>
      </c>
      <c r="F92" s="2213">
        <f>+F19</f>
        <v>46296</v>
      </c>
      <c r="G92" s="2213">
        <f>+G19</f>
        <v>46296</v>
      </c>
      <c r="H92" s="2213">
        <f t="shared" ref="H92:O92" si="14">+H19</f>
        <v>46296</v>
      </c>
      <c r="I92" s="2213">
        <f t="shared" si="14"/>
        <v>46296</v>
      </c>
      <c r="J92" s="2213">
        <f t="shared" si="14"/>
        <v>46296</v>
      </c>
      <c r="K92" s="2213">
        <f t="shared" si="14"/>
        <v>46419</v>
      </c>
      <c r="L92" s="2213">
        <f t="shared" si="14"/>
        <v>46419</v>
      </c>
      <c r="M92" s="2213">
        <f t="shared" si="14"/>
        <v>46419</v>
      </c>
      <c r="N92" s="2213">
        <f t="shared" si="14"/>
        <v>46419</v>
      </c>
      <c r="O92" s="2213">
        <f t="shared" si="14"/>
        <v>46203</v>
      </c>
      <c r="R92" s="2213">
        <f t="shared" ref="R92:W92" si="15">R19</f>
        <v>46203</v>
      </c>
      <c r="S92" s="2213">
        <f t="shared" si="15"/>
        <v>46173</v>
      </c>
      <c r="T92" s="2213">
        <f t="shared" si="15"/>
        <v>46173</v>
      </c>
      <c r="U92" s="2213">
        <f t="shared" si="15"/>
        <v>46173</v>
      </c>
      <c r="V92" s="2213">
        <f t="shared" si="15"/>
        <v>46173</v>
      </c>
      <c r="W92" s="2213">
        <f t="shared" si="15"/>
        <v>46203</v>
      </c>
    </row>
    <row r="93" spans="2:23" ht="16.5" customHeight="1" outlineLevel="1">
      <c r="B93" s="2242" t="s">
        <v>2721</v>
      </c>
      <c r="C93" s="2495" t="s">
        <v>2732</v>
      </c>
      <c r="D93" s="2495"/>
      <c r="E93" s="2227"/>
      <c r="F93" s="2227"/>
      <c r="G93" s="2227"/>
      <c r="H93" s="2227"/>
      <c r="I93" s="2227"/>
      <c r="J93" s="2227"/>
      <c r="K93" s="2227"/>
      <c r="L93" s="2227"/>
      <c r="M93" s="2227"/>
      <c r="N93" s="2227"/>
      <c r="O93" s="2227"/>
      <c r="R93" s="2227"/>
      <c r="S93" s="2227"/>
      <c r="T93" s="2227"/>
      <c r="U93" s="2227"/>
      <c r="V93" s="2227"/>
      <c r="W93" s="2227"/>
    </row>
    <row r="94" spans="2:23" ht="16.5" customHeight="1" outlineLevel="1">
      <c r="B94" s="2242"/>
      <c r="R94" s="2269"/>
      <c r="S94" s="2269"/>
      <c r="T94" s="2269"/>
      <c r="U94" s="2269"/>
      <c r="V94" s="2269"/>
      <c r="W94" s="2269"/>
    </row>
    <row r="95" spans="2:23" ht="16.5" hidden="1" customHeight="1" outlineLevel="1">
      <c r="B95" s="2235" t="s">
        <v>2733</v>
      </c>
      <c r="C95" s="2259"/>
      <c r="D95" s="2270"/>
      <c r="E95" s="2271"/>
      <c r="F95" s="2271"/>
      <c r="G95" s="2271"/>
      <c r="H95" s="2271"/>
      <c r="I95" s="2271"/>
      <c r="J95" s="2271"/>
      <c r="K95" s="2271"/>
      <c r="L95" s="2271"/>
      <c r="M95" s="2271"/>
      <c r="N95" s="2271"/>
      <c r="O95" s="2271"/>
      <c r="R95" s="2272"/>
      <c r="S95" s="2272"/>
      <c r="T95" s="2272"/>
      <c r="U95" s="2272"/>
      <c r="V95" s="2272"/>
      <c r="W95" s="2272"/>
    </row>
    <row r="96" spans="2:23" ht="16.5" hidden="1" customHeight="1" outlineLevel="1">
      <c r="B96" s="2242" t="s">
        <v>2665</v>
      </c>
      <c r="E96" s="2274"/>
      <c r="F96" s="2274"/>
      <c r="G96" s="2274"/>
      <c r="H96" s="2274"/>
      <c r="I96" s="2274"/>
      <c r="J96" s="2274"/>
      <c r="K96" s="2274"/>
      <c r="L96" s="2274"/>
      <c r="M96" s="2274"/>
      <c r="N96" s="2274"/>
      <c r="O96" s="2274"/>
      <c r="R96" s="2274"/>
      <c r="S96" s="2274"/>
      <c r="T96" s="2274"/>
      <c r="U96" s="2274"/>
      <c r="V96" s="2274"/>
      <c r="W96" s="2274"/>
    </row>
    <row r="97" spans="2:23" ht="16.5" hidden="1" customHeight="1" outlineLevel="1">
      <c r="B97" s="2242" t="s">
        <v>2708</v>
      </c>
      <c r="C97" s="2214" t="s">
        <v>2710</v>
      </c>
      <c r="D97" s="2275" t="s">
        <v>2734</v>
      </c>
      <c r="E97" s="2280" t="s">
        <v>2735</v>
      </c>
      <c r="F97" s="2280" t="s">
        <v>2735</v>
      </c>
      <c r="G97" s="2280" t="s">
        <v>2735</v>
      </c>
      <c r="H97" s="2280" t="s">
        <v>2735</v>
      </c>
      <c r="I97" s="2280" t="s">
        <v>2735</v>
      </c>
      <c r="J97" s="2280" t="s">
        <v>2735</v>
      </c>
      <c r="K97" s="2280" t="s">
        <v>2735</v>
      </c>
      <c r="L97" s="2280" t="s">
        <v>2735</v>
      </c>
      <c r="M97" s="2280" t="s">
        <v>2735</v>
      </c>
      <c r="N97" s="2280" t="s">
        <v>2735</v>
      </c>
      <c r="O97" s="2280" t="s">
        <v>2735</v>
      </c>
      <c r="R97" s="2280" t="s">
        <v>2735</v>
      </c>
      <c r="S97" s="2280" t="s">
        <v>2735</v>
      </c>
      <c r="T97" s="2280" t="s">
        <v>2735</v>
      </c>
      <c r="U97" s="2280" t="s">
        <v>2735</v>
      </c>
      <c r="V97" s="2280" t="s">
        <v>2735</v>
      </c>
      <c r="W97" s="2280" t="s">
        <v>2735</v>
      </c>
    </row>
    <row r="98" spans="2:23" ht="16.5" hidden="1" customHeight="1" outlineLevel="1">
      <c r="B98" s="2242" t="s">
        <v>2724</v>
      </c>
      <c r="C98" s="2211" t="s">
        <v>2713</v>
      </c>
      <c r="D98" s="2212"/>
      <c r="E98" s="2277" t="s">
        <v>515</v>
      </c>
      <c r="F98" s="2277" t="s">
        <v>515</v>
      </c>
      <c r="G98" s="2277" t="s">
        <v>515</v>
      </c>
      <c r="H98" s="2277" t="s">
        <v>515</v>
      </c>
      <c r="I98" s="2277" t="s">
        <v>515</v>
      </c>
      <c r="J98" s="2277" t="s">
        <v>515</v>
      </c>
      <c r="K98" s="2277" t="s">
        <v>515</v>
      </c>
      <c r="L98" s="2277" t="s">
        <v>515</v>
      </c>
      <c r="M98" s="2277" t="s">
        <v>515</v>
      </c>
      <c r="N98" s="2277" t="s">
        <v>515</v>
      </c>
      <c r="O98" s="2277" t="s">
        <v>515</v>
      </c>
      <c r="R98" s="2277" t="s">
        <v>515</v>
      </c>
      <c r="S98" s="2277" t="s">
        <v>515</v>
      </c>
      <c r="T98" s="2277" t="s">
        <v>515</v>
      </c>
      <c r="U98" s="2277" t="s">
        <v>515</v>
      </c>
      <c r="V98" s="2277" t="s">
        <v>515</v>
      </c>
      <c r="W98" s="2277" t="s">
        <v>515</v>
      </c>
    </row>
    <row r="99" spans="2:23" ht="16.5" hidden="1" customHeight="1" outlineLevel="1">
      <c r="B99" s="2242" t="s">
        <v>2725</v>
      </c>
      <c r="C99" s="2211" t="s">
        <v>2715</v>
      </c>
      <c r="D99" s="2212" t="s">
        <v>2729</v>
      </c>
      <c r="E99" s="2278">
        <f>+EDATE(E16,-25)</f>
        <v>45383</v>
      </c>
      <c r="F99" s="2278">
        <f t="shared" ref="F99:M99" si="16">+EDATE(F16,-25)</f>
        <v>45383</v>
      </c>
      <c r="G99" s="2278">
        <f t="shared" si="16"/>
        <v>45383</v>
      </c>
      <c r="H99" s="2278">
        <f t="shared" si="16"/>
        <v>45383</v>
      </c>
      <c r="I99" s="2278">
        <f t="shared" si="16"/>
        <v>45383</v>
      </c>
      <c r="J99" s="2278">
        <f t="shared" si="16"/>
        <v>45383</v>
      </c>
      <c r="K99" s="2278">
        <f t="shared" si="16"/>
        <v>45505</v>
      </c>
      <c r="L99" s="2278">
        <f t="shared" si="16"/>
        <v>45505</v>
      </c>
      <c r="M99" s="2278">
        <f t="shared" si="16"/>
        <v>45505</v>
      </c>
      <c r="N99" s="2278">
        <f>+EDATE(N16,-25)</f>
        <v>45505</v>
      </c>
      <c r="O99" s="2278">
        <f>+EDATE(O16,-25)</f>
        <v>45260</v>
      </c>
      <c r="R99" s="2278">
        <f t="shared" ref="R99:W99" si="17">+EDATE(R16,-25)</f>
        <v>45200</v>
      </c>
      <c r="S99" s="2278">
        <f t="shared" si="17"/>
        <v>45200</v>
      </c>
      <c r="T99" s="2278">
        <f t="shared" si="17"/>
        <v>45200</v>
      </c>
      <c r="U99" s="2278">
        <f t="shared" si="17"/>
        <v>45200</v>
      </c>
      <c r="V99" s="2278">
        <f t="shared" si="17"/>
        <v>45200</v>
      </c>
      <c r="W99" s="2278">
        <f t="shared" si="17"/>
        <v>45260</v>
      </c>
    </row>
    <row r="100" spans="2:23" ht="16.5" hidden="1" customHeight="1" outlineLevel="1">
      <c r="B100" s="2242" t="s">
        <v>2736</v>
      </c>
      <c r="C100" s="2211" t="s">
        <v>2691</v>
      </c>
      <c r="D100" s="2212" t="s">
        <v>2718</v>
      </c>
      <c r="E100" s="2278" t="str">
        <f>+'[5]입력 시트(0124)'!E99</f>
        <v>N/A</v>
      </c>
      <c r="F100" s="2278" t="str">
        <f>+'[5]입력 시트(0124)'!F99</f>
        <v>N/A</v>
      </c>
      <c r="G100" s="2278" t="str">
        <f>+'[5]입력 시트(0124)'!G99</f>
        <v>N/A</v>
      </c>
      <c r="H100" s="2278" t="str">
        <f>+'[5]입력 시트(0124)'!H99</f>
        <v>N/A</v>
      </c>
      <c r="I100" s="2278" t="str">
        <f>+'[5]입력 시트(0124)'!I99</f>
        <v>N/A</v>
      </c>
      <c r="J100" s="2278" t="s">
        <v>1394</v>
      </c>
      <c r="K100" s="2278" t="s">
        <v>1394</v>
      </c>
      <c r="L100" s="2278" t="s">
        <v>1394</v>
      </c>
      <c r="M100" s="2278" t="s">
        <v>1394</v>
      </c>
      <c r="N100" s="2278">
        <f>+'[5]입력 시트(0124)'!N99</f>
        <v>0</v>
      </c>
      <c r="O100" s="2278">
        <f>+'[5]입력 시트(0124)'!Q99</f>
        <v>0</v>
      </c>
      <c r="R100" s="2278">
        <f>+'[5]입력 시트(0124)'!T99</f>
        <v>0</v>
      </c>
      <c r="S100" s="2278">
        <f>+'[5]입력 시트(0124)'!U99</f>
        <v>0</v>
      </c>
      <c r="T100" s="2278">
        <f>+'[5]입력 시트(0124)'!V99</f>
        <v>0</v>
      </c>
      <c r="U100" s="2278">
        <f>+'[5]입력 시트(0124)'!W99</f>
        <v>0</v>
      </c>
      <c r="V100" s="2278">
        <f>+'[5]입력 시트(0124)'!X99</f>
        <v>0</v>
      </c>
      <c r="W100" s="2278" t="s">
        <v>1394</v>
      </c>
    </row>
    <row r="101" spans="2:23" ht="16.5" hidden="1" customHeight="1" outlineLevel="1">
      <c r="B101" s="2242" t="s">
        <v>2720</v>
      </c>
      <c r="C101" s="2211" t="s">
        <v>2715</v>
      </c>
      <c r="D101" s="2212"/>
      <c r="E101" s="2278">
        <f>+'[5]입력 시트(0124)'!E100</f>
        <v>45901</v>
      </c>
      <c r="F101" s="2278">
        <f>+'[5]입력 시트(0124)'!F100</f>
        <v>45901</v>
      </c>
      <c r="G101" s="2278">
        <f>+'[5]입력 시트(0124)'!G100</f>
        <v>45901</v>
      </c>
      <c r="H101" s="2278">
        <f>+'[5]입력 시트(0124)'!H100</f>
        <v>45901</v>
      </c>
      <c r="I101" s="2278">
        <f>+'[5]입력 시트(0124)'!I100</f>
        <v>45931</v>
      </c>
      <c r="J101" s="2278">
        <f>+'[5]입력 시트(0124)'!J100</f>
        <v>0</v>
      </c>
      <c r="K101" s="2278">
        <f>+'[5]입력 시트(0124)'!K100</f>
        <v>0</v>
      </c>
      <c r="L101" s="2278">
        <f>+'[5]입력 시트(0124)'!L100</f>
        <v>0</v>
      </c>
      <c r="M101" s="2278">
        <f>+'[5]입력 시트(0124)'!M100</f>
        <v>0</v>
      </c>
      <c r="N101" s="2278">
        <f>+'[5]입력 시트(0124)'!N100</f>
        <v>0</v>
      </c>
      <c r="O101" s="2278">
        <f>+'[5]입력 시트(0124)'!Q100</f>
        <v>0</v>
      </c>
      <c r="R101" s="2278">
        <f>+'[5]입력 시트(0124)'!T100</f>
        <v>0</v>
      </c>
      <c r="S101" s="2278">
        <f>+'[5]입력 시트(0124)'!U100</f>
        <v>0</v>
      </c>
      <c r="T101" s="2278">
        <f>+'[5]입력 시트(0124)'!V100</f>
        <v>0</v>
      </c>
      <c r="U101" s="2278">
        <f>+'[5]입력 시트(0124)'!W100</f>
        <v>0</v>
      </c>
      <c r="V101" s="2278">
        <f>+'[5]입력 시트(0124)'!X100</f>
        <v>0</v>
      </c>
      <c r="W101" s="2278">
        <f>+'[5]입력 시트(0124)'!Y100</f>
        <v>0</v>
      </c>
    </row>
    <row r="102" spans="2:23" ht="16.5" hidden="1" customHeight="1" outlineLevel="1">
      <c r="B102" s="2242" t="s">
        <v>2721</v>
      </c>
      <c r="C102" s="2493" t="s">
        <v>2730</v>
      </c>
      <c r="D102" s="2494"/>
      <c r="E102" s="2279"/>
      <c r="F102" s="2279"/>
      <c r="G102" s="2279"/>
      <c r="H102" s="2279"/>
      <c r="I102" s="2279"/>
      <c r="J102" s="2279"/>
      <c r="K102" s="2279"/>
      <c r="L102" s="2279"/>
      <c r="M102" s="2279"/>
      <c r="N102" s="2279"/>
      <c r="O102" s="2279"/>
      <c r="R102" s="2279"/>
      <c r="S102" s="2279"/>
      <c r="T102" s="2279"/>
      <c r="U102" s="2279"/>
      <c r="V102" s="2279"/>
      <c r="W102" s="2279"/>
    </row>
    <row r="103" spans="2:23" ht="16.5" hidden="1" customHeight="1" outlineLevel="1">
      <c r="B103" s="2242"/>
      <c r="R103" s="2269"/>
      <c r="S103" s="2269"/>
      <c r="T103" s="2269"/>
      <c r="U103" s="2269"/>
      <c r="V103" s="2269"/>
      <c r="W103" s="2269"/>
    </row>
    <row r="104" spans="2:23" ht="16.5" customHeight="1" outlineLevel="1">
      <c r="B104" s="2235" t="s">
        <v>2737</v>
      </c>
      <c r="C104" s="2259"/>
      <c r="D104" s="2270"/>
      <c r="E104" s="2271"/>
      <c r="F104" s="2271"/>
      <c r="G104" s="2271"/>
      <c r="H104" s="2271"/>
      <c r="I104" s="2271"/>
      <c r="J104" s="2271"/>
      <c r="K104" s="2271"/>
      <c r="L104" s="2271"/>
      <c r="M104" s="2271"/>
      <c r="N104" s="2271"/>
      <c r="O104" s="2271"/>
      <c r="R104" s="2272"/>
      <c r="S104" s="2272"/>
      <c r="T104" s="2272"/>
      <c r="U104" s="2272"/>
      <c r="V104" s="2272"/>
      <c r="W104" s="2272"/>
    </row>
    <row r="105" spans="2:23" ht="16.5" customHeight="1" outlineLevel="1">
      <c r="B105" s="2242" t="s">
        <v>2665</v>
      </c>
      <c r="E105" s="2221"/>
      <c r="F105" s="2221"/>
      <c r="G105" s="2221"/>
      <c r="H105" s="2221"/>
      <c r="I105" s="2221"/>
      <c r="J105" s="2221"/>
      <c r="K105" s="2221"/>
      <c r="L105" s="2221"/>
      <c r="M105" s="2221"/>
      <c r="N105" s="2221"/>
      <c r="O105" s="2221"/>
      <c r="R105" s="2221"/>
      <c r="S105" s="2221"/>
      <c r="T105" s="2221"/>
      <c r="U105" s="2221"/>
      <c r="V105" s="2221"/>
      <c r="W105" s="2221"/>
    </row>
    <row r="106" spans="2:23" ht="16.5" customHeight="1" outlineLevel="1">
      <c r="B106" s="2242" t="s">
        <v>2708</v>
      </c>
      <c r="C106" s="2214" t="s">
        <v>2710</v>
      </c>
      <c r="D106" s="2263" t="s">
        <v>2711</v>
      </c>
      <c r="E106" s="2264">
        <f>+'Input 기초'!F25</f>
        <v>3306240</v>
      </c>
      <c r="F106" s="2264">
        <f>+'Input 기초'!G25</f>
        <v>2394240</v>
      </c>
      <c r="G106" s="2264">
        <f>+'Input 기초'!H25</f>
        <v>2999760</v>
      </c>
      <c r="H106" s="2264">
        <f>+'Input 기초'!I25</f>
        <v>2999760</v>
      </c>
      <c r="I106" s="2264">
        <f>+'Input 기초'!J25</f>
        <v>897839.99999999988</v>
      </c>
      <c r="J106" s="2264">
        <f>+'Input 기초'!K25</f>
        <v>1795679.9999999998</v>
      </c>
      <c r="K106" s="2264">
        <f>+'Input 기초'!L25</f>
        <v>3706560</v>
      </c>
      <c r="L106" s="2264">
        <f>+'Input 기초'!M25</f>
        <v>3389760</v>
      </c>
      <c r="M106" s="2264">
        <f>+'Input 기초'!N25</f>
        <v>3809519.9999999995</v>
      </c>
      <c r="N106" s="2264">
        <f>+'Input 기초'!O25</f>
        <v>3754079.9999999995</v>
      </c>
      <c r="O106" s="2281" t="e">
        <f>+'Input 기초'!#REF!</f>
        <v>#REF!</v>
      </c>
      <c r="P106" s="2269"/>
      <c r="R106" s="2281" t="e">
        <f>+'Input 기초'!#REF!</f>
        <v>#REF!</v>
      </c>
      <c r="S106" s="2281" t="e">
        <f>+'Input 기초'!#REF!</f>
        <v>#REF!</v>
      </c>
      <c r="T106" s="2281" t="e">
        <f>+'Input 기초'!#REF!</f>
        <v>#REF!</v>
      </c>
      <c r="U106" s="2281" t="e">
        <f>+'Input 기초'!#REF!</f>
        <v>#REF!</v>
      </c>
      <c r="V106" s="2281" t="e">
        <f>+'Input 기초'!#REF!</f>
        <v>#REF!</v>
      </c>
      <c r="W106" s="2281" t="e">
        <f>+'Input 기초'!#REF!</f>
        <v>#REF!</v>
      </c>
    </row>
    <row r="107" spans="2:23" ht="16.5" customHeight="1" outlineLevel="1">
      <c r="B107" s="2242" t="s">
        <v>2724</v>
      </c>
      <c r="C107" s="2211" t="s">
        <v>2713</v>
      </c>
      <c r="D107" s="2212"/>
      <c r="E107" s="2267" t="s">
        <v>515</v>
      </c>
      <c r="F107" s="2267" t="s">
        <v>515</v>
      </c>
      <c r="G107" s="2267" t="s">
        <v>515</v>
      </c>
      <c r="H107" s="2267" t="s">
        <v>515</v>
      </c>
      <c r="I107" s="2267" t="s">
        <v>515</v>
      </c>
      <c r="J107" s="2267" t="s">
        <v>515</v>
      </c>
      <c r="K107" s="2267" t="s">
        <v>515</v>
      </c>
      <c r="L107" s="2267" t="s">
        <v>515</v>
      </c>
      <c r="M107" s="2267" t="s">
        <v>515</v>
      </c>
      <c r="N107" s="2267" t="s">
        <v>515</v>
      </c>
      <c r="O107" s="2267" t="s">
        <v>515</v>
      </c>
      <c r="R107" s="2267" t="s">
        <v>515</v>
      </c>
      <c r="S107" s="2267" t="s">
        <v>515</v>
      </c>
      <c r="T107" s="2267" t="s">
        <v>515</v>
      </c>
      <c r="U107" s="2267" t="s">
        <v>515</v>
      </c>
      <c r="V107" s="2267" t="s">
        <v>515</v>
      </c>
      <c r="W107" s="2267" t="s">
        <v>515</v>
      </c>
    </row>
    <row r="108" spans="2:23" ht="16.5" customHeight="1" outlineLevel="1">
      <c r="B108" s="2242" t="s">
        <v>2725</v>
      </c>
      <c r="C108" s="2211" t="s">
        <v>2715</v>
      </c>
      <c r="D108" s="2212" t="s">
        <v>2716</v>
      </c>
      <c r="E108" s="2213">
        <f>+E18</f>
        <v>46204</v>
      </c>
      <c r="F108" s="2213">
        <f>+F18</f>
        <v>46204</v>
      </c>
      <c r="G108" s="2213">
        <f>+G18</f>
        <v>46204</v>
      </c>
      <c r="H108" s="2213">
        <f t="shared" ref="H108:O108" si="18">+H18</f>
        <v>46204</v>
      </c>
      <c r="I108" s="2213">
        <f t="shared" si="18"/>
        <v>46204</v>
      </c>
      <c r="J108" s="2213">
        <f t="shared" si="18"/>
        <v>46204</v>
      </c>
      <c r="K108" s="2213">
        <f t="shared" si="18"/>
        <v>46327</v>
      </c>
      <c r="L108" s="2213">
        <f t="shared" si="18"/>
        <v>46327</v>
      </c>
      <c r="M108" s="2213">
        <f t="shared" si="18"/>
        <v>46327</v>
      </c>
      <c r="N108" s="2213">
        <f t="shared" si="18"/>
        <v>46327</v>
      </c>
      <c r="O108" s="2213">
        <f t="shared" si="18"/>
        <v>0</v>
      </c>
      <c r="R108" s="2213">
        <v>46112</v>
      </c>
      <c r="S108" s="2213">
        <v>46112</v>
      </c>
      <c r="T108" s="2213">
        <v>46112</v>
      </c>
      <c r="U108" s="2213">
        <v>46112</v>
      </c>
      <c r="V108" s="2213">
        <v>46112</v>
      </c>
      <c r="W108" s="2213">
        <v>46112</v>
      </c>
    </row>
    <row r="109" spans="2:23" ht="16.5" customHeight="1" outlineLevel="1">
      <c r="B109" s="2242" t="s">
        <v>2717</v>
      </c>
      <c r="C109" s="2211" t="s">
        <v>2691</v>
      </c>
      <c r="D109" s="2212" t="s">
        <v>2718</v>
      </c>
      <c r="E109" s="2213" t="str">
        <f>+'[5]입력 시트(0124)'!E108</f>
        <v>N/A</v>
      </c>
      <c r="F109" s="2213" t="str">
        <f>+'[5]입력 시트(0124)'!F108</f>
        <v>N/A</v>
      </c>
      <c r="G109" s="2213" t="str">
        <f>+'[5]입력 시트(0124)'!G108</f>
        <v>N/A</v>
      </c>
      <c r="H109" s="2213" t="str">
        <f>+'[5]입력 시트(0124)'!H108</f>
        <v>N/A</v>
      </c>
      <c r="I109" s="2213" t="str">
        <f>+'[5]입력 시트(0124)'!I108</f>
        <v>N/A</v>
      </c>
      <c r="J109" s="2213" t="s">
        <v>1394</v>
      </c>
      <c r="K109" s="2213" t="s">
        <v>1394</v>
      </c>
      <c r="L109" s="2213" t="s">
        <v>1394</v>
      </c>
      <c r="M109" s="2213" t="s">
        <v>1394</v>
      </c>
      <c r="N109" s="2213" t="s">
        <v>1394</v>
      </c>
      <c r="O109" s="2213" t="s">
        <v>1394</v>
      </c>
      <c r="R109" s="2213">
        <f>+'[5]입력 시트(0124)'!T108</f>
        <v>0</v>
      </c>
      <c r="S109" s="2213">
        <f>+'[5]입력 시트(0124)'!U108</f>
        <v>0</v>
      </c>
      <c r="T109" s="2213">
        <f>+'[5]입력 시트(0124)'!V108</f>
        <v>0</v>
      </c>
      <c r="U109" s="2213">
        <f>+'[5]입력 시트(0124)'!W108</f>
        <v>0</v>
      </c>
      <c r="V109" s="2213">
        <f>+'[5]입력 시트(0124)'!X108</f>
        <v>0</v>
      </c>
      <c r="W109" s="2213" t="s">
        <v>1394</v>
      </c>
    </row>
    <row r="110" spans="2:23" ht="16.5" customHeight="1" outlineLevel="1">
      <c r="B110" s="2242" t="s">
        <v>2720</v>
      </c>
      <c r="C110" s="2211" t="s">
        <v>2715</v>
      </c>
      <c r="D110" s="2212"/>
      <c r="E110" s="2213">
        <f>+E19</f>
        <v>46296</v>
      </c>
      <c r="F110" s="2213">
        <f>+F19</f>
        <v>46296</v>
      </c>
      <c r="G110" s="2213">
        <f>+G19</f>
        <v>46296</v>
      </c>
      <c r="H110" s="2213">
        <f t="shared" ref="H110:O110" si="19">+H19</f>
        <v>46296</v>
      </c>
      <c r="I110" s="2213">
        <f t="shared" si="19"/>
        <v>46296</v>
      </c>
      <c r="J110" s="2213">
        <f t="shared" si="19"/>
        <v>46296</v>
      </c>
      <c r="K110" s="2213">
        <f t="shared" si="19"/>
        <v>46419</v>
      </c>
      <c r="L110" s="2213">
        <f t="shared" si="19"/>
        <v>46419</v>
      </c>
      <c r="M110" s="2213">
        <f t="shared" si="19"/>
        <v>46419</v>
      </c>
      <c r="N110" s="2213">
        <f t="shared" si="19"/>
        <v>46419</v>
      </c>
      <c r="O110" s="2213">
        <f t="shared" si="19"/>
        <v>46203</v>
      </c>
      <c r="R110" s="2213">
        <f t="shared" ref="R110:W110" si="20">R19</f>
        <v>46203</v>
      </c>
      <c r="S110" s="2213">
        <f t="shared" si="20"/>
        <v>46173</v>
      </c>
      <c r="T110" s="2213">
        <f t="shared" si="20"/>
        <v>46173</v>
      </c>
      <c r="U110" s="2213">
        <f t="shared" si="20"/>
        <v>46173</v>
      </c>
      <c r="V110" s="2213">
        <f t="shared" si="20"/>
        <v>46173</v>
      </c>
      <c r="W110" s="2213">
        <f t="shared" si="20"/>
        <v>46203</v>
      </c>
    </row>
    <row r="111" spans="2:23" ht="16.5" customHeight="1" outlineLevel="1">
      <c r="B111" s="2242" t="s">
        <v>2721</v>
      </c>
      <c r="C111" s="2495" t="s">
        <v>2738</v>
      </c>
      <c r="D111" s="2495"/>
      <c r="E111" s="2227"/>
      <c r="F111" s="2227"/>
      <c r="G111" s="2227"/>
      <c r="H111" s="2227"/>
      <c r="I111" s="2227"/>
      <c r="J111" s="2227"/>
      <c r="K111" s="2227"/>
      <c r="L111" s="2227"/>
      <c r="M111" s="2227"/>
      <c r="N111" s="2227"/>
      <c r="O111" s="2227"/>
      <c r="R111" s="2227"/>
      <c r="S111" s="2227"/>
      <c r="T111" s="2227"/>
      <c r="U111" s="2227"/>
      <c r="V111" s="2227"/>
      <c r="W111" s="2227"/>
    </row>
    <row r="112" spans="2:23" ht="16.5" customHeight="1" outlineLevel="1">
      <c r="B112" s="2242"/>
      <c r="E112" s="2282"/>
      <c r="F112" s="2282"/>
      <c r="G112" s="2282"/>
      <c r="H112" s="2282"/>
      <c r="I112" s="2282"/>
      <c r="J112" s="2282"/>
      <c r="K112" s="2282"/>
      <c r="L112" s="2282"/>
      <c r="M112" s="2282"/>
      <c r="N112" s="2282"/>
      <c r="O112" s="2282"/>
      <c r="R112" s="2283"/>
      <c r="S112" s="2283"/>
      <c r="T112" s="2283"/>
      <c r="U112" s="2283"/>
      <c r="V112" s="2283"/>
      <c r="W112" s="2283"/>
    </row>
    <row r="113" spans="2:23" ht="16.5" hidden="1" customHeight="1" outlineLevel="1">
      <c r="B113" s="2235" t="s">
        <v>2739</v>
      </c>
      <c r="C113" s="2259"/>
      <c r="D113" s="2270"/>
      <c r="E113" s="2271"/>
      <c r="F113" s="2271"/>
      <c r="G113" s="2271"/>
      <c r="H113" s="2271"/>
      <c r="I113" s="2271"/>
      <c r="J113" s="2271"/>
      <c r="K113" s="2271"/>
      <c r="L113" s="2271"/>
      <c r="M113" s="2271"/>
      <c r="N113" s="2271"/>
      <c r="O113" s="2271"/>
      <c r="R113" s="2272"/>
      <c r="S113" s="2272"/>
      <c r="T113" s="2272"/>
      <c r="U113" s="2272"/>
      <c r="V113" s="2272"/>
      <c r="W113" s="2272"/>
    </row>
    <row r="114" spans="2:23" ht="16.5" hidden="1" customHeight="1" outlineLevel="1">
      <c r="B114" s="2242" t="s">
        <v>2665</v>
      </c>
      <c r="E114" s="2221"/>
      <c r="F114" s="2221"/>
      <c r="G114" s="2221"/>
      <c r="H114" s="2221"/>
      <c r="I114" s="2221"/>
      <c r="J114" s="2221"/>
      <c r="K114" s="2221"/>
      <c r="L114" s="2221"/>
      <c r="M114" s="2221"/>
      <c r="N114" s="2221"/>
      <c r="O114" s="2221"/>
      <c r="R114" s="2221"/>
      <c r="S114" s="2221"/>
      <c r="T114" s="2221"/>
      <c r="U114" s="2221"/>
      <c r="V114" s="2221"/>
      <c r="W114" s="2221"/>
    </row>
    <row r="115" spans="2:23" ht="16.5" hidden="1" customHeight="1" outlineLevel="1">
      <c r="B115" s="2242" t="s">
        <v>2708</v>
      </c>
      <c r="C115" s="2214" t="s">
        <v>2710</v>
      </c>
      <c r="D115" s="2263" t="s">
        <v>2734</v>
      </c>
      <c r="E115" s="2284"/>
      <c r="F115" s="2284"/>
      <c r="G115" s="2284"/>
      <c r="H115" s="2284"/>
      <c r="I115" s="2284"/>
      <c r="J115" s="2284"/>
      <c r="K115" s="2284"/>
      <c r="L115" s="2284"/>
      <c r="M115" s="2284"/>
      <c r="N115" s="2284"/>
      <c r="O115" s="2284"/>
      <c r="R115" s="2284"/>
      <c r="S115" s="2284"/>
      <c r="T115" s="2284"/>
      <c r="U115" s="2284"/>
      <c r="V115" s="2284"/>
      <c r="W115" s="2284"/>
    </row>
    <row r="116" spans="2:23" ht="16.5" hidden="1" customHeight="1" outlineLevel="1">
      <c r="B116" s="2242" t="s">
        <v>2724</v>
      </c>
      <c r="C116" s="2211" t="s">
        <v>2713</v>
      </c>
      <c r="D116" s="2212"/>
      <c r="E116" s="2267" t="s">
        <v>515</v>
      </c>
      <c r="F116" s="2267" t="s">
        <v>515</v>
      </c>
      <c r="G116" s="2267" t="s">
        <v>515</v>
      </c>
      <c r="H116" s="2267" t="s">
        <v>515</v>
      </c>
      <c r="I116" s="2267" t="s">
        <v>515</v>
      </c>
      <c r="J116" s="2267" t="s">
        <v>515</v>
      </c>
      <c r="K116" s="2267" t="s">
        <v>515</v>
      </c>
      <c r="L116" s="2267" t="s">
        <v>515</v>
      </c>
      <c r="M116" s="2267" t="s">
        <v>515</v>
      </c>
      <c r="N116" s="2267" t="s">
        <v>515</v>
      </c>
      <c r="O116" s="2267" t="s">
        <v>515</v>
      </c>
      <c r="R116" s="2267" t="s">
        <v>515</v>
      </c>
      <c r="S116" s="2267" t="s">
        <v>515</v>
      </c>
      <c r="T116" s="2267" t="s">
        <v>515</v>
      </c>
      <c r="U116" s="2267" t="s">
        <v>515</v>
      </c>
      <c r="V116" s="2267" t="s">
        <v>515</v>
      </c>
      <c r="W116" s="2267" t="s">
        <v>515</v>
      </c>
    </row>
    <row r="117" spans="2:23" ht="16.5" hidden="1" customHeight="1" outlineLevel="1">
      <c r="B117" s="2242" t="s">
        <v>2725</v>
      </c>
      <c r="C117" s="2211" t="s">
        <v>2715</v>
      </c>
      <c r="D117" s="2212" t="s">
        <v>2716</v>
      </c>
      <c r="E117" s="2213" t="s">
        <v>2726</v>
      </c>
      <c r="F117" s="2213" t="s">
        <v>2726</v>
      </c>
      <c r="G117" s="2213" t="s">
        <v>2726</v>
      </c>
      <c r="H117" s="2213">
        <f>+'[5]입력 시트(0124)'!H116</f>
        <v>45901</v>
      </c>
      <c r="I117" s="2213">
        <f>+'[5]입력 시트(0124)'!I116</f>
        <v>45931</v>
      </c>
      <c r="J117" s="2213">
        <v>45931</v>
      </c>
      <c r="K117" s="2213">
        <v>45931</v>
      </c>
      <c r="L117" s="2213">
        <v>45931</v>
      </c>
      <c r="M117" s="2213">
        <v>45931</v>
      </c>
      <c r="N117" s="2213">
        <f>+'[5]입력 시트(0124)'!N116</f>
        <v>0</v>
      </c>
      <c r="O117" s="2213">
        <f>+'[5]입력 시트(0124)'!Q116</f>
        <v>0</v>
      </c>
      <c r="R117" s="2213">
        <f>+'[5]입력 시트(0124)'!T116</f>
        <v>0</v>
      </c>
      <c r="S117" s="2213">
        <f>+'[5]입력 시트(0124)'!U116</f>
        <v>0</v>
      </c>
      <c r="T117" s="2213">
        <f>+'[5]입력 시트(0124)'!V116</f>
        <v>0</v>
      </c>
      <c r="U117" s="2213">
        <f>+'[5]입력 시트(0124)'!W116</f>
        <v>0</v>
      </c>
      <c r="V117" s="2213">
        <f>+'[5]입력 시트(0124)'!X116</f>
        <v>0</v>
      </c>
      <c r="W117" s="2213">
        <v>45931</v>
      </c>
    </row>
    <row r="118" spans="2:23" ht="16.5" hidden="1" customHeight="1" outlineLevel="1">
      <c r="B118" s="2242" t="s">
        <v>2717</v>
      </c>
      <c r="C118" s="2211" t="s">
        <v>2691</v>
      </c>
      <c r="D118" s="2212" t="s">
        <v>2718</v>
      </c>
      <c r="E118" s="2213" t="str">
        <f>+'[5]입력 시트(0124)'!E117</f>
        <v>N/A</v>
      </c>
      <c r="F118" s="2213" t="str">
        <f>+'[5]입력 시트(0124)'!F117</f>
        <v>N/A</v>
      </c>
      <c r="G118" s="2213" t="str">
        <f>+'[5]입력 시트(0124)'!G117</f>
        <v>N/A</v>
      </c>
      <c r="H118" s="2213" t="str">
        <f>+'[5]입력 시트(0124)'!H117</f>
        <v>N/A</v>
      </c>
      <c r="I118" s="2213" t="str">
        <f>+'[5]입력 시트(0124)'!I117</f>
        <v>N/A</v>
      </c>
      <c r="J118" s="2213" t="s">
        <v>1394</v>
      </c>
      <c r="K118" s="2213" t="s">
        <v>1394</v>
      </c>
      <c r="L118" s="2213" t="s">
        <v>1394</v>
      </c>
      <c r="M118" s="2213" t="s">
        <v>1394</v>
      </c>
      <c r="N118" s="2213" t="s">
        <v>1394</v>
      </c>
      <c r="O118" s="2213" t="s">
        <v>1394</v>
      </c>
      <c r="R118" s="2213">
        <f>+'[5]입력 시트(0124)'!T117</f>
        <v>0</v>
      </c>
      <c r="S118" s="2213">
        <f>+'[5]입력 시트(0124)'!U117</f>
        <v>0</v>
      </c>
      <c r="T118" s="2213">
        <f>+'[5]입력 시트(0124)'!V117</f>
        <v>0</v>
      </c>
      <c r="U118" s="2213">
        <f>+'[5]입력 시트(0124)'!W117</f>
        <v>0</v>
      </c>
      <c r="V118" s="2213">
        <f>+'[5]입력 시트(0124)'!X117</f>
        <v>0</v>
      </c>
      <c r="W118" s="2213" t="s">
        <v>1394</v>
      </c>
    </row>
    <row r="119" spans="2:23" ht="16.5" hidden="1" customHeight="1" outlineLevel="1">
      <c r="B119" s="2242" t="s">
        <v>2720</v>
      </c>
      <c r="C119" s="2211" t="s">
        <v>2715</v>
      </c>
      <c r="D119" s="2212"/>
      <c r="E119" s="2213" t="s">
        <v>2726</v>
      </c>
      <c r="F119" s="2213" t="s">
        <v>2726</v>
      </c>
      <c r="G119" s="2213" t="s">
        <v>2726</v>
      </c>
      <c r="H119" s="2213">
        <f>+'[5]입력 시트(0124)'!H118</f>
        <v>45901</v>
      </c>
      <c r="I119" s="2213">
        <f>+'[5]입력 시트(0124)'!I118</f>
        <v>45931</v>
      </c>
      <c r="J119" s="2213">
        <v>45931</v>
      </c>
      <c r="K119" s="2213">
        <v>45931</v>
      </c>
      <c r="L119" s="2213">
        <v>45931</v>
      </c>
      <c r="M119" s="2213">
        <v>45931</v>
      </c>
      <c r="N119" s="2213">
        <f>+'[5]입력 시트(0124)'!N118</f>
        <v>0</v>
      </c>
      <c r="O119" s="2213">
        <f>+'[5]입력 시트(0124)'!Q118</f>
        <v>0</v>
      </c>
      <c r="R119" s="2213">
        <f>+'[5]입력 시트(0124)'!T118</f>
        <v>0</v>
      </c>
      <c r="S119" s="2213">
        <f>+'[5]입력 시트(0124)'!U118</f>
        <v>0</v>
      </c>
      <c r="T119" s="2213">
        <f>+'[5]입력 시트(0124)'!V118</f>
        <v>0</v>
      </c>
      <c r="U119" s="2213">
        <f>+'[5]입력 시트(0124)'!W118</f>
        <v>0</v>
      </c>
      <c r="V119" s="2213">
        <f>+'[5]입력 시트(0124)'!X118</f>
        <v>0</v>
      </c>
      <c r="W119" s="2213">
        <v>45931</v>
      </c>
    </row>
    <row r="120" spans="2:23" ht="16.5" hidden="1" customHeight="1" outlineLevel="1">
      <c r="B120" s="2242" t="s">
        <v>2721</v>
      </c>
      <c r="C120" s="2495" t="s">
        <v>2740</v>
      </c>
      <c r="D120" s="2495"/>
      <c r="E120" s="2227"/>
      <c r="F120" s="2227"/>
      <c r="G120" s="2227"/>
      <c r="H120" s="2227"/>
      <c r="I120" s="2227"/>
      <c r="J120" s="2227"/>
      <c r="K120" s="2227"/>
      <c r="L120" s="2227"/>
      <c r="M120" s="2227"/>
      <c r="N120" s="2227"/>
      <c r="O120" s="2227"/>
      <c r="R120" s="2227"/>
      <c r="S120" s="2227"/>
      <c r="T120" s="2227"/>
      <c r="U120" s="2227"/>
      <c r="V120" s="2227"/>
      <c r="W120" s="2227"/>
    </row>
    <row r="121" spans="2:23" ht="16.5" hidden="1" customHeight="1" outlineLevel="1">
      <c r="B121" s="2242"/>
      <c r="D121" s="2255"/>
      <c r="E121" s="2285"/>
      <c r="F121" s="2285"/>
      <c r="G121" s="2285"/>
      <c r="H121" s="2285"/>
      <c r="I121" s="2285"/>
      <c r="J121" s="2285"/>
      <c r="K121" s="2285"/>
      <c r="L121" s="2285"/>
      <c r="M121" s="2285"/>
      <c r="N121" s="2285"/>
      <c r="O121" s="2285"/>
      <c r="R121" s="2286"/>
      <c r="S121" s="2286"/>
      <c r="T121" s="2286"/>
      <c r="U121" s="2286"/>
      <c r="V121" s="2286"/>
      <c r="W121" s="2286"/>
    </row>
    <row r="122" spans="2:23" ht="16.5" hidden="1" customHeight="1" outlineLevel="1">
      <c r="B122" s="2235" t="s">
        <v>2741</v>
      </c>
      <c r="C122" s="2259"/>
      <c r="D122" s="2270"/>
      <c r="E122" s="2287">
        <f>+E125/E24</f>
        <v>0</v>
      </c>
      <c r="F122" s="2287"/>
      <c r="G122" s="2287"/>
      <c r="H122" s="2287"/>
      <c r="I122" s="2287"/>
      <c r="J122" s="2287">
        <f>+J125/J24</f>
        <v>0</v>
      </c>
      <c r="K122" s="2287">
        <f>+K125/K24</f>
        <v>0</v>
      </c>
      <c r="L122" s="2287">
        <f t="shared" ref="L122:M122" si="21">+L125/L24</f>
        <v>0</v>
      </c>
      <c r="M122" s="2287">
        <f t="shared" si="21"/>
        <v>0</v>
      </c>
      <c r="N122" s="2287">
        <f>+N125/N24</f>
        <v>0</v>
      </c>
      <c r="O122" s="2287" t="e">
        <f>+O125/O24</f>
        <v>#DIV/0!</v>
      </c>
      <c r="R122" s="2288" t="e">
        <f>+R125/R24</f>
        <v>#REF!</v>
      </c>
      <c r="S122" s="2288"/>
      <c r="T122" s="2288"/>
      <c r="U122" s="2288"/>
      <c r="V122" s="2288"/>
      <c r="W122" s="2288" t="e">
        <f>+W125/W24</f>
        <v>#REF!</v>
      </c>
    </row>
    <row r="123" spans="2:23" ht="16.5" hidden="1" customHeight="1" outlineLevel="1">
      <c r="B123" s="2242" t="s">
        <v>2665</v>
      </c>
      <c r="E123" s="2221"/>
      <c r="F123" s="2221"/>
      <c r="G123" s="2221"/>
      <c r="H123" s="2221"/>
      <c r="I123" s="2221"/>
      <c r="J123" s="2221"/>
      <c r="K123" s="2221"/>
      <c r="L123" s="2221"/>
      <c r="M123" s="2221"/>
      <c r="N123" s="2221"/>
      <c r="O123" s="2221"/>
      <c r="R123" s="2221"/>
      <c r="S123" s="2221"/>
      <c r="T123" s="2221"/>
      <c r="U123" s="2221"/>
      <c r="V123" s="2221"/>
      <c r="W123" s="2221"/>
    </row>
    <row r="124" spans="2:23" ht="16.5" hidden="1" customHeight="1" outlineLevel="1">
      <c r="B124" s="2242" t="s">
        <v>2742</v>
      </c>
      <c r="E124" s="2289">
        <v>0</v>
      </c>
      <c r="F124" s="2289">
        <v>0</v>
      </c>
      <c r="G124" s="2289">
        <v>0</v>
      </c>
      <c r="H124" s="2289">
        <v>0</v>
      </c>
      <c r="I124" s="2289">
        <v>0</v>
      </c>
      <c r="J124" s="2289">
        <v>0</v>
      </c>
      <c r="K124" s="2289">
        <v>0</v>
      </c>
      <c r="L124" s="2289">
        <v>0</v>
      </c>
      <c r="M124" s="2289">
        <v>0</v>
      </c>
      <c r="N124" s="2289">
        <v>0</v>
      </c>
      <c r="O124" s="2289">
        <v>0</v>
      </c>
      <c r="R124" s="2289">
        <v>0</v>
      </c>
      <c r="S124" s="2289">
        <v>0</v>
      </c>
      <c r="T124" s="2289">
        <v>0</v>
      </c>
      <c r="U124" s="2289">
        <v>0</v>
      </c>
      <c r="V124" s="2289">
        <v>0</v>
      </c>
      <c r="W124" s="2289">
        <v>0</v>
      </c>
    </row>
    <row r="125" spans="2:23" ht="16.5" hidden="1" customHeight="1" outlineLevel="1">
      <c r="B125" s="2242" t="s">
        <v>2708</v>
      </c>
      <c r="C125" s="2214" t="s">
        <v>2710</v>
      </c>
      <c r="D125" s="2263" t="s">
        <v>2711</v>
      </c>
      <c r="E125" s="2290"/>
      <c r="F125" s="2290"/>
      <c r="G125" s="2290"/>
      <c r="H125" s="2290"/>
      <c r="I125" s="2290"/>
      <c r="J125" s="2290"/>
      <c r="K125" s="2290"/>
      <c r="L125" s="2290"/>
      <c r="M125" s="2290"/>
      <c r="N125" s="2290"/>
      <c r="O125" s="2290"/>
      <c r="R125" s="2290" t="e">
        <f>+'Input 기초'!#REF!</f>
        <v>#REF!</v>
      </c>
      <c r="S125" s="2290" t="e">
        <f>+'Input 기초'!#REF!</f>
        <v>#REF!</v>
      </c>
      <c r="T125" s="2290" t="e">
        <f>+'Input 기초'!#REF!</f>
        <v>#REF!</v>
      </c>
      <c r="U125" s="2290" t="e">
        <f>+'Input 기초'!#REF!</f>
        <v>#REF!</v>
      </c>
      <c r="V125" s="2290" t="e">
        <f>+'Input 기초'!#REF!</f>
        <v>#REF!</v>
      </c>
      <c r="W125" s="2290" t="e">
        <f>+'Input 기초'!#REF!</f>
        <v>#REF!</v>
      </c>
    </row>
    <row r="126" spans="2:23" ht="16.5" hidden="1" customHeight="1" outlineLevel="1">
      <c r="B126" s="2242" t="s">
        <v>2724</v>
      </c>
      <c r="C126" s="2211" t="s">
        <v>2713</v>
      </c>
      <c r="D126" s="2212"/>
      <c r="E126" s="2267" t="s">
        <v>515</v>
      </c>
      <c r="F126" s="2267" t="s">
        <v>515</v>
      </c>
      <c r="G126" s="2267" t="s">
        <v>515</v>
      </c>
      <c r="H126" s="2267" t="s">
        <v>515</v>
      </c>
      <c r="I126" s="2267" t="s">
        <v>515</v>
      </c>
      <c r="J126" s="2267" t="s">
        <v>515</v>
      </c>
      <c r="K126" s="2267" t="s">
        <v>515</v>
      </c>
      <c r="L126" s="2267" t="s">
        <v>515</v>
      </c>
      <c r="M126" s="2267" t="s">
        <v>515</v>
      </c>
      <c r="N126" s="2267" t="s">
        <v>515</v>
      </c>
      <c r="O126" s="2267" t="s">
        <v>515</v>
      </c>
      <c r="R126" s="2267" t="s">
        <v>515</v>
      </c>
      <c r="S126" s="2267" t="s">
        <v>515</v>
      </c>
      <c r="T126" s="2267" t="s">
        <v>515</v>
      </c>
      <c r="U126" s="2267" t="s">
        <v>515</v>
      </c>
      <c r="V126" s="2267" t="s">
        <v>515</v>
      </c>
      <c r="W126" s="2267" t="s">
        <v>515</v>
      </c>
    </row>
    <row r="127" spans="2:23" ht="16.5" hidden="1" customHeight="1" outlineLevel="1">
      <c r="B127" s="2242" t="s">
        <v>2725</v>
      </c>
      <c r="C127" s="2211" t="s">
        <v>2715</v>
      </c>
      <c r="D127" s="2212" t="s">
        <v>2716</v>
      </c>
      <c r="E127" s="2213">
        <f>+E18</f>
        <v>46204</v>
      </c>
      <c r="F127" s="2213">
        <f>+F18</f>
        <v>46204</v>
      </c>
      <c r="G127" s="2213">
        <f>+G18</f>
        <v>46204</v>
      </c>
      <c r="H127" s="2213">
        <f t="shared" ref="H127:O127" si="22">H19</f>
        <v>46296</v>
      </c>
      <c r="I127" s="2213">
        <f t="shared" si="22"/>
        <v>46296</v>
      </c>
      <c r="J127" s="2213">
        <f t="shared" si="22"/>
        <v>46296</v>
      </c>
      <c r="K127" s="2213">
        <f t="shared" si="22"/>
        <v>46419</v>
      </c>
      <c r="L127" s="2213">
        <f t="shared" si="22"/>
        <v>46419</v>
      </c>
      <c r="M127" s="2213">
        <f t="shared" si="22"/>
        <v>46419</v>
      </c>
      <c r="N127" s="2213">
        <f t="shared" si="22"/>
        <v>46419</v>
      </c>
      <c r="O127" s="2213">
        <f t="shared" si="22"/>
        <v>46203</v>
      </c>
      <c r="R127" s="2213">
        <f t="shared" ref="R127:W127" si="23">R19</f>
        <v>46203</v>
      </c>
      <c r="S127" s="2213">
        <f t="shared" si="23"/>
        <v>46173</v>
      </c>
      <c r="T127" s="2213">
        <f t="shared" si="23"/>
        <v>46173</v>
      </c>
      <c r="U127" s="2213">
        <f t="shared" si="23"/>
        <v>46173</v>
      </c>
      <c r="V127" s="2213">
        <f t="shared" si="23"/>
        <v>46173</v>
      </c>
      <c r="W127" s="2213">
        <f t="shared" si="23"/>
        <v>46203</v>
      </c>
    </row>
    <row r="128" spans="2:23" ht="16.5" hidden="1" customHeight="1" outlineLevel="1">
      <c r="B128" s="2242" t="s">
        <v>2717</v>
      </c>
      <c r="C128" s="2211" t="s">
        <v>2691</v>
      </c>
      <c r="D128" s="2212" t="s">
        <v>2718</v>
      </c>
      <c r="E128" s="2213" t="str">
        <f>+'[5]입력 시트(0124)'!E127</f>
        <v>N/A</v>
      </c>
      <c r="F128" s="2213" t="s">
        <v>1394</v>
      </c>
      <c r="G128" s="2213" t="s">
        <v>1394</v>
      </c>
      <c r="H128" s="2213" t="s">
        <v>1394</v>
      </c>
      <c r="I128" s="2213" t="s">
        <v>1394</v>
      </c>
      <c r="J128" s="2213" t="s">
        <v>1394</v>
      </c>
      <c r="K128" s="2213" t="s">
        <v>1394</v>
      </c>
      <c r="L128" s="2213" t="s">
        <v>1394</v>
      </c>
      <c r="M128" s="2213" t="s">
        <v>1394</v>
      </c>
      <c r="N128" s="2213" t="s">
        <v>1394</v>
      </c>
      <c r="O128" s="2213" t="s">
        <v>1394</v>
      </c>
      <c r="R128" s="2213">
        <f>+'[5]입력 시트(0124)'!T127</f>
        <v>0</v>
      </c>
      <c r="S128" s="2213" t="s">
        <v>1394</v>
      </c>
      <c r="T128" s="2213" t="s">
        <v>1394</v>
      </c>
      <c r="U128" s="2213" t="s">
        <v>1394</v>
      </c>
      <c r="V128" s="2213" t="s">
        <v>1394</v>
      </c>
      <c r="W128" s="2213" t="s">
        <v>1394</v>
      </c>
    </row>
    <row r="129" spans="2:23" ht="16.5" hidden="1" customHeight="1" outlineLevel="1">
      <c r="B129" s="2242" t="s">
        <v>2720</v>
      </c>
      <c r="C129" s="2211" t="s">
        <v>2715</v>
      </c>
      <c r="D129" s="2212"/>
      <c r="E129" s="2213">
        <f>+E19</f>
        <v>46296</v>
      </c>
      <c r="F129" s="2213">
        <f>+F19</f>
        <v>46296</v>
      </c>
      <c r="G129" s="2213">
        <f>+G19</f>
        <v>46296</v>
      </c>
      <c r="H129" s="2213">
        <f t="shared" ref="H129:O129" si="24">H19</f>
        <v>46296</v>
      </c>
      <c r="I129" s="2213">
        <f t="shared" si="24"/>
        <v>46296</v>
      </c>
      <c r="J129" s="2213">
        <f t="shared" si="24"/>
        <v>46296</v>
      </c>
      <c r="K129" s="2213">
        <f t="shared" si="24"/>
        <v>46419</v>
      </c>
      <c r="L129" s="2213">
        <f t="shared" si="24"/>
        <v>46419</v>
      </c>
      <c r="M129" s="2213">
        <f t="shared" si="24"/>
        <v>46419</v>
      </c>
      <c r="N129" s="2213">
        <f t="shared" si="24"/>
        <v>46419</v>
      </c>
      <c r="O129" s="2213">
        <f t="shared" si="24"/>
        <v>46203</v>
      </c>
      <c r="R129" s="2213">
        <f t="shared" ref="R129:W129" si="25">R19</f>
        <v>46203</v>
      </c>
      <c r="S129" s="2213">
        <f t="shared" si="25"/>
        <v>46173</v>
      </c>
      <c r="T129" s="2213">
        <f t="shared" si="25"/>
        <v>46173</v>
      </c>
      <c r="U129" s="2213">
        <f t="shared" si="25"/>
        <v>46173</v>
      </c>
      <c r="V129" s="2213">
        <f t="shared" si="25"/>
        <v>46173</v>
      </c>
      <c r="W129" s="2213">
        <f t="shared" si="25"/>
        <v>46203</v>
      </c>
    </row>
    <row r="130" spans="2:23" ht="16.5" hidden="1" customHeight="1" outlineLevel="1">
      <c r="B130" s="2242" t="s">
        <v>2721</v>
      </c>
      <c r="C130" s="2489"/>
      <c r="D130" s="2490"/>
      <c r="E130" s="2227"/>
      <c r="F130" s="2227"/>
      <c r="G130" s="2227"/>
      <c r="H130" s="2227"/>
      <c r="I130" s="2227"/>
      <c r="J130" s="2227"/>
      <c r="K130" s="2227"/>
      <c r="L130" s="2227"/>
      <c r="M130" s="2227"/>
      <c r="N130" s="2227"/>
      <c r="O130" s="2227"/>
      <c r="R130" s="2227"/>
      <c r="S130" s="2227"/>
      <c r="T130" s="2227"/>
      <c r="U130" s="2227"/>
      <c r="V130" s="2227"/>
      <c r="W130" s="2227"/>
    </row>
    <row r="131" spans="2:23" ht="16.5" hidden="1" customHeight="1" outlineLevel="1">
      <c r="B131" s="2242"/>
      <c r="E131" s="2291"/>
      <c r="F131" s="2291"/>
      <c r="G131" s="2291"/>
      <c r="H131" s="2291"/>
      <c r="I131" s="2291"/>
      <c r="J131" s="2291"/>
      <c r="K131" s="2291"/>
      <c r="L131" s="2291"/>
      <c r="M131" s="2291"/>
      <c r="N131" s="2291"/>
      <c r="O131" s="2291"/>
      <c r="R131" s="2292"/>
      <c r="S131" s="2292"/>
      <c r="T131" s="2292"/>
      <c r="U131" s="2292"/>
      <c r="V131" s="2292"/>
      <c r="W131" s="2292"/>
    </row>
    <row r="132" spans="2:23" ht="16.5" hidden="1" customHeight="1" outlineLevel="1">
      <c r="B132" s="2235" t="s">
        <v>2743</v>
      </c>
      <c r="C132" s="2259"/>
      <c r="D132" s="2270"/>
      <c r="E132" s="2271"/>
      <c r="F132" s="2271"/>
      <c r="G132" s="2271"/>
      <c r="H132" s="2271"/>
      <c r="I132" s="2271"/>
      <c r="J132" s="2271"/>
      <c r="K132" s="2271"/>
      <c r="L132" s="2271"/>
      <c r="M132" s="2271"/>
      <c r="N132" s="2271"/>
      <c r="O132" s="2271"/>
      <c r="R132" s="2272"/>
      <c r="S132" s="2272"/>
      <c r="T132" s="2272"/>
      <c r="U132" s="2272"/>
      <c r="V132" s="2272"/>
      <c r="W132" s="2272"/>
    </row>
    <row r="133" spans="2:23" ht="16.5" hidden="1" customHeight="1" outlineLevel="1">
      <c r="B133" s="2242" t="s">
        <v>2665</v>
      </c>
      <c r="E133" s="2221" t="s">
        <v>2728</v>
      </c>
      <c r="F133" s="2221" t="s">
        <v>2728</v>
      </c>
      <c r="G133" s="2221" t="s">
        <v>2728</v>
      </c>
      <c r="H133" s="2221" t="s">
        <v>2728</v>
      </c>
      <c r="I133" s="2221" t="s">
        <v>2728</v>
      </c>
      <c r="J133" s="2221" t="s">
        <v>2728</v>
      </c>
      <c r="K133" s="2221" t="s">
        <v>2728</v>
      </c>
      <c r="L133" s="2221" t="s">
        <v>2728</v>
      </c>
      <c r="M133" s="2221" t="s">
        <v>2728</v>
      </c>
      <c r="N133" s="2221" t="s">
        <v>2728</v>
      </c>
      <c r="O133" s="2221" t="s">
        <v>2728</v>
      </c>
      <c r="R133" s="2221" t="s">
        <v>2728</v>
      </c>
      <c r="S133" s="2221" t="s">
        <v>2728</v>
      </c>
      <c r="T133" s="2221" t="s">
        <v>2728</v>
      </c>
      <c r="U133" s="2221" t="s">
        <v>2728</v>
      </c>
      <c r="V133" s="2221" t="s">
        <v>2728</v>
      </c>
      <c r="W133" s="2221" t="s">
        <v>2728</v>
      </c>
    </row>
    <row r="134" spans="2:23" ht="16.5" hidden="1" customHeight="1" outlineLevel="1">
      <c r="B134" s="2242" t="s">
        <v>2708</v>
      </c>
      <c r="C134" s="2214" t="s">
        <v>2710</v>
      </c>
      <c r="D134" s="2263" t="s">
        <v>2711</v>
      </c>
      <c r="E134" s="2293"/>
      <c r="F134" s="2293"/>
      <c r="G134" s="2293"/>
      <c r="H134" s="2293"/>
      <c r="I134" s="2293"/>
      <c r="J134" s="2293"/>
      <c r="K134" s="2293"/>
      <c r="L134" s="2293"/>
      <c r="M134" s="2293"/>
      <c r="N134" s="2293"/>
      <c r="O134" s="2293"/>
      <c r="R134" s="2293"/>
      <c r="S134" s="2293"/>
      <c r="T134" s="2293"/>
      <c r="U134" s="2293"/>
      <c r="V134" s="2293"/>
      <c r="W134" s="2293"/>
    </row>
    <row r="135" spans="2:23" ht="16.5" hidden="1" customHeight="1" outlineLevel="1">
      <c r="B135" s="2242" t="s">
        <v>2724</v>
      </c>
      <c r="C135" s="2211" t="s">
        <v>2713</v>
      </c>
      <c r="D135" s="2212"/>
      <c r="E135" s="2267">
        <v>1</v>
      </c>
      <c r="F135" s="2267">
        <v>1</v>
      </c>
      <c r="G135" s="2267">
        <v>1</v>
      </c>
      <c r="H135" s="2267">
        <v>1</v>
      </c>
      <c r="I135" s="2267">
        <v>1</v>
      </c>
      <c r="J135" s="2267">
        <v>1</v>
      </c>
      <c r="K135" s="2267">
        <v>1</v>
      </c>
      <c r="L135" s="2267">
        <v>1</v>
      </c>
      <c r="M135" s="2267">
        <v>1</v>
      </c>
      <c r="N135" s="2267">
        <v>1</v>
      </c>
      <c r="O135" s="2267">
        <v>1</v>
      </c>
      <c r="R135" s="2267">
        <v>1</v>
      </c>
      <c r="S135" s="2267">
        <v>1</v>
      </c>
      <c r="T135" s="2267">
        <v>1</v>
      </c>
      <c r="U135" s="2267">
        <v>1</v>
      </c>
      <c r="V135" s="2267">
        <v>1</v>
      </c>
      <c r="W135" s="2267">
        <v>1</v>
      </c>
    </row>
    <row r="136" spans="2:23" ht="16.5" hidden="1" customHeight="1" outlineLevel="1">
      <c r="B136" s="2242" t="s">
        <v>2725</v>
      </c>
      <c r="C136" s="2211" t="s">
        <v>2715</v>
      </c>
      <c r="D136" s="2212" t="s">
        <v>2716</v>
      </c>
      <c r="E136" s="2213"/>
      <c r="F136" s="2213"/>
      <c r="G136" s="2213"/>
      <c r="H136" s="2213"/>
      <c r="I136" s="2213"/>
      <c r="J136" s="2213"/>
      <c r="K136" s="2213"/>
      <c r="L136" s="2213"/>
      <c r="M136" s="2213"/>
      <c r="N136" s="2213"/>
      <c r="O136" s="2213"/>
      <c r="R136" s="2213"/>
      <c r="S136" s="2213"/>
      <c r="T136" s="2213"/>
      <c r="U136" s="2213"/>
      <c r="V136" s="2213"/>
      <c r="W136" s="2213"/>
    </row>
    <row r="137" spans="2:23" ht="16.5" hidden="1" customHeight="1" outlineLevel="1">
      <c r="B137" s="2242" t="s">
        <v>2717</v>
      </c>
      <c r="C137" s="2211" t="s">
        <v>2691</v>
      </c>
      <c r="D137" s="2212" t="s">
        <v>2718</v>
      </c>
      <c r="E137" s="2213"/>
      <c r="F137" s="2213"/>
      <c r="G137" s="2213"/>
      <c r="H137" s="2213"/>
      <c r="I137" s="2213"/>
      <c r="J137" s="2213"/>
      <c r="K137" s="2213"/>
      <c r="L137" s="2213"/>
      <c r="M137" s="2213"/>
      <c r="N137" s="2213"/>
      <c r="O137" s="2213"/>
      <c r="R137" s="2213"/>
      <c r="S137" s="2213"/>
      <c r="T137" s="2213"/>
      <c r="U137" s="2213"/>
      <c r="V137" s="2213"/>
      <c r="W137" s="2213"/>
    </row>
    <row r="138" spans="2:23" ht="16.5" hidden="1" customHeight="1" outlineLevel="1">
      <c r="B138" s="2242" t="s">
        <v>2720</v>
      </c>
      <c r="C138" s="2211" t="s">
        <v>2715</v>
      </c>
      <c r="D138" s="2212"/>
      <c r="E138" s="2213"/>
      <c r="F138" s="2213"/>
      <c r="G138" s="2213"/>
      <c r="H138" s="2213"/>
      <c r="I138" s="2213"/>
      <c r="J138" s="2213"/>
      <c r="K138" s="2213"/>
      <c r="L138" s="2213"/>
      <c r="M138" s="2213"/>
      <c r="N138" s="2213"/>
      <c r="O138" s="2213"/>
      <c r="R138" s="2213"/>
      <c r="S138" s="2213"/>
      <c r="T138" s="2213"/>
      <c r="U138" s="2213"/>
      <c r="V138" s="2213"/>
      <c r="W138" s="2213"/>
    </row>
    <row r="139" spans="2:23" ht="16.5" hidden="1" customHeight="1" outlineLevel="1">
      <c r="B139" s="2242" t="s">
        <v>2721</v>
      </c>
      <c r="C139" s="2254" t="s">
        <v>2680</v>
      </c>
      <c r="E139" s="2227"/>
      <c r="F139" s="2227"/>
      <c r="G139" s="2227"/>
      <c r="H139" s="2227"/>
      <c r="I139" s="2227"/>
      <c r="J139" s="2227"/>
      <c r="K139" s="2227"/>
      <c r="L139" s="2227"/>
      <c r="M139" s="2227"/>
      <c r="N139" s="2227"/>
      <c r="O139" s="2227"/>
      <c r="R139" s="2227"/>
      <c r="S139" s="2227"/>
      <c r="T139" s="2227"/>
      <c r="U139" s="2227"/>
      <c r="V139" s="2227"/>
      <c r="W139" s="2227"/>
    </row>
    <row r="140" spans="2:23" ht="16.5" hidden="1" customHeight="1" outlineLevel="1">
      <c r="B140" s="2242"/>
      <c r="R140" s="2269"/>
      <c r="S140" s="2269"/>
      <c r="T140" s="2269"/>
      <c r="U140" s="2269"/>
      <c r="V140" s="2269"/>
      <c r="W140" s="2269"/>
    </row>
    <row r="141" spans="2:23" ht="16.5" hidden="1" customHeight="1" outlineLevel="1">
      <c r="B141" s="2235" t="s">
        <v>2744</v>
      </c>
      <c r="C141" s="2259"/>
      <c r="D141" s="2270"/>
      <c r="E141" s="2271"/>
      <c r="F141" s="2271"/>
      <c r="G141" s="2271"/>
      <c r="H141" s="2271"/>
      <c r="I141" s="2271"/>
      <c r="J141" s="2271"/>
      <c r="K141" s="2271"/>
      <c r="L141" s="2271"/>
      <c r="M141" s="2271"/>
      <c r="N141" s="2271"/>
      <c r="O141" s="2271"/>
      <c r="R141" s="2272"/>
      <c r="S141" s="2272"/>
      <c r="T141" s="2272"/>
      <c r="U141" s="2272"/>
      <c r="V141" s="2272"/>
      <c r="W141" s="2272"/>
    </row>
    <row r="142" spans="2:23" ht="16.5" hidden="1" customHeight="1" outlineLevel="1">
      <c r="B142" s="2242" t="s">
        <v>2665</v>
      </c>
      <c r="E142" s="2221" t="s">
        <v>2728</v>
      </c>
      <c r="F142" s="2221" t="s">
        <v>2728</v>
      </c>
      <c r="G142" s="2221" t="s">
        <v>2728</v>
      </c>
      <c r="H142" s="2221" t="s">
        <v>2728</v>
      </c>
      <c r="I142" s="2221" t="s">
        <v>2728</v>
      </c>
      <c r="J142" s="2221" t="s">
        <v>2728</v>
      </c>
      <c r="K142" s="2221" t="s">
        <v>2728</v>
      </c>
      <c r="L142" s="2221" t="s">
        <v>2728</v>
      </c>
      <c r="M142" s="2221" t="s">
        <v>2728</v>
      </c>
      <c r="N142" s="2221" t="s">
        <v>2728</v>
      </c>
      <c r="O142" s="2221" t="s">
        <v>2728</v>
      </c>
      <c r="R142" s="2221" t="s">
        <v>2728</v>
      </c>
      <c r="S142" s="2221" t="s">
        <v>2728</v>
      </c>
      <c r="T142" s="2221" t="s">
        <v>2728</v>
      </c>
      <c r="U142" s="2221" t="s">
        <v>2728</v>
      </c>
      <c r="V142" s="2221" t="s">
        <v>2728</v>
      </c>
      <c r="W142" s="2221" t="s">
        <v>2728</v>
      </c>
    </row>
    <row r="143" spans="2:23" ht="16.5" hidden="1" customHeight="1" outlineLevel="1">
      <c r="B143" s="2242" t="s">
        <v>2708</v>
      </c>
      <c r="C143" s="2214" t="s">
        <v>2710</v>
      </c>
      <c r="D143" s="2263" t="s">
        <v>2711</v>
      </c>
      <c r="E143" s="2293"/>
      <c r="F143" s="2293"/>
      <c r="G143" s="2293"/>
      <c r="H143" s="2293"/>
      <c r="I143" s="2293"/>
      <c r="J143" s="2293"/>
      <c r="K143" s="2293"/>
      <c r="L143" s="2293"/>
      <c r="M143" s="2293"/>
      <c r="N143" s="2293"/>
      <c r="O143" s="2293"/>
      <c r="R143" s="2293"/>
      <c r="S143" s="2293"/>
      <c r="T143" s="2293"/>
      <c r="U143" s="2293"/>
      <c r="V143" s="2293"/>
      <c r="W143" s="2293"/>
    </row>
    <row r="144" spans="2:23" ht="16.5" hidden="1" customHeight="1" outlineLevel="1">
      <c r="B144" s="2242" t="s">
        <v>2724</v>
      </c>
      <c r="C144" s="2211" t="s">
        <v>2713</v>
      </c>
      <c r="D144" s="2212"/>
      <c r="E144" s="2267">
        <v>1</v>
      </c>
      <c r="F144" s="2267">
        <v>1</v>
      </c>
      <c r="G144" s="2267">
        <v>1</v>
      </c>
      <c r="H144" s="2267">
        <v>1</v>
      </c>
      <c r="I144" s="2267">
        <v>1</v>
      </c>
      <c r="J144" s="2267">
        <v>1</v>
      </c>
      <c r="K144" s="2267">
        <v>1</v>
      </c>
      <c r="L144" s="2267">
        <v>1</v>
      </c>
      <c r="M144" s="2267">
        <v>1</v>
      </c>
      <c r="N144" s="2267">
        <v>1</v>
      </c>
      <c r="O144" s="2267">
        <v>1</v>
      </c>
      <c r="R144" s="2267">
        <v>1</v>
      </c>
      <c r="S144" s="2267">
        <v>1</v>
      </c>
      <c r="T144" s="2267">
        <v>1</v>
      </c>
      <c r="U144" s="2267">
        <v>1</v>
      </c>
      <c r="V144" s="2267">
        <v>1</v>
      </c>
      <c r="W144" s="2267">
        <v>1</v>
      </c>
    </row>
    <row r="145" spans="2:23" ht="16.5" hidden="1" customHeight="1" outlineLevel="1">
      <c r="B145" s="2242" t="s">
        <v>2725</v>
      </c>
      <c r="C145" s="2211" t="s">
        <v>2715</v>
      </c>
      <c r="D145" s="2212" t="s">
        <v>2716</v>
      </c>
      <c r="E145" s="2213"/>
      <c r="F145" s="2213"/>
      <c r="G145" s="2213"/>
      <c r="H145" s="2213"/>
      <c r="I145" s="2213"/>
      <c r="J145" s="2213"/>
      <c r="K145" s="2213"/>
      <c r="L145" s="2213"/>
      <c r="M145" s="2213"/>
      <c r="N145" s="2213"/>
      <c r="O145" s="2213"/>
      <c r="R145" s="2213"/>
      <c r="S145" s="2213"/>
      <c r="T145" s="2213"/>
      <c r="U145" s="2213"/>
      <c r="V145" s="2213"/>
      <c r="W145" s="2213"/>
    </row>
    <row r="146" spans="2:23" ht="16.5" hidden="1" customHeight="1" outlineLevel="1">
      <c r="B146" s="2242" t="s">
        <v>2717</v>
      </c>
      <c r="C146" s="2211" t="s">
        <v>2691</v>
      </c>
      <c r="D146" s="2212" t="s">
        <v>2718</v>
      </c>
      <c r="E146" s="2213"/>
      <c r="F146" s="2213"/>
      <c r="G146" s="2213"/>
      <c r="H146" s="2213"/>
      <c r="I146" s="2213"/>
      <c r="J146" s="2213"/>
      <c r="K146" s="2213"/>
      <c r="L146" s="2213"/>
      <c r="M146" s="2213"/>
      <c r="N146" s="2213"/>
      <c r="O146" s="2213"/>
      <c r="R146" s="2213"/>
      <c r="S146" s="2213"/>
      <c r="T146" s="2213"/>
      <c r="U146" s="2213"/>
      <c r="V146" s="2213"/>
      <c r="W146" s="2213"/>
    </row>
    <row r="147" spans="2:23" ht="16.5" hidden="1" customHeight="1" outlineLevel="1">
      <c r="B147" s="2242" t="s">
        <v>2720</v>
      </c>
      <c r="C147" s="2211" t="s">
        <v>2715</v>
      </c>
      <c r="D147" s="2212"/>
      <c r="E147" s="2213"/>
      <c r="F147" s="2213"/>
      <c r="G147" s="2213"/>
      <c r="H147" s="2213"/>
      <c r="I147" s="2213"/>
      <c r="J147" s="2213"/>
      <c r="K147" s="2213"/>
      <c r="L147" s="2213"/>
      <c r="M147" s="2213"/>
      <c r="N147" s="2213"/>
      <c r="O147" s="2213"/>
      <c r="R147" s="2213"/>
      <c r="S147" s="2213"/>
      <c r="T147" s="2213"/>
      <c r="U147" s="2213"/>
      <c r="V147" s="2213"/>
      <c r="W147" s="2213"/>
    </row>
    <row r="148" spans="2:23" ht="16.5" hidden="1" customHeight="1" outlineLevel="1">
      <c r="B148" s="2242" t="s">
        <v>2721</v>
      </c>
      <c r="C148" s="2254" t="s">
        <v>2680</v>
      </c>
      <c r="E148" s="2227"/>
      <c r="F148" s="2227"/>
      <c r="G148" s="2227"/>
      <c r="H148" s="2227"/>
      <c r="I148" s="2227"/>
      <c r="J148" s="2227"/>
      <c r="K148" s="2227"/>
      <c r="L148" s="2227"/>
      <c r="M148" s="2227"/>
      <c r="N148" s="2227"/>
      <c r="O148" s="2227"/>
      <c r="R148" s="2227"/>
      <c r="S148" s="2227"/>
      <c r="T148" s="2227"/>
      <c r="U148" s="2227"/>
      <c r="V148" s="2227"/>
      <c r="W148" s="2227"/>
    </row>
    <row r="149" spans="2:23" ht="16.5" hidden="1" customHeight="1" outlineLevel="1">
      <c r="B149" s="2242"/>
      <c r="R149" s="2269"/>
      <c r="S149" s="2269"/>
      <c r="T149" s="2269"/>
      <c r="U149" s="2269"/>
      <c r="V149" s="2269"/>
      <c r="W149" s="2269"/>
    </row>
    <row r="150" spans="2:23" ht="16.5" customHeight="1" outlineLevel="1">
      <c r="B150" s="2235" t="s">
        <v>2745</v>
      </c>
      <c r="C150" s="2259"/>
      <c r="D150" s="2270"/>
      <c r="E150" s="2271"/>
      <c r="F150" s="2271"/>
      <c r="G150" s="2271"/>
      <c r="H150" s="2271"/>
      <c r="I150" s="2271"/>
      <c r="J150" s="2271"/>
      <c r="K150" s="2271"/>
      <c r="L150" s="2271"/>
      <c r="M150" s="2271"/>
      <c r="N150" s="2271"/>
      <c r="O150" s="2271"/>
      <c r="R150" s="2272"/>
      <c r="S150" s="2272"/>
      <c r="T150" s="2272"/>
      <c r="U150" s="2272"/>
      <c r="V150" s="2272"/>
      <c r="W150" s="2272"/>
    </row>
    <row r="151" spans="2:23" ht="16.5" customHeight="1" outlineLevel="1">
      <c r="B151" s="2242" t="s">
        <v>2665</v>
      </c>
      <c r="E151" s="2221"/>
      <c r="F151" s="2221"/>
      <c r="G151" s="2221"/>
      <c r="H151" s="2221"/>
      <c r="I151" s="2221"/>
      <c r="J151" s="2221"/>
      <c r="K151" s="2221"/>
      <c r="L151" s="2221"/>
      <c r="M151" s="2221"/>
      <c r="N151" s="2221"/>
      <c r="O151" s="2221"/>
      <c r="R151" s="2221"/>
      <c r="S151" s="2221"/>
      <c r="T151" s="2221"/>
      <c r="U151" s="2221"/>
      <c r="V151" s="2221"/>
      <c r="W151" s="2221"/>
    </row>
    <row r="152" spans="2:23" ht="16.5" customHeight="1" outlineLevel="1">
      <c r="B152" s="2242" t="s">
        <v>2708</v>
      </c>
      <c r="C152" s="2214" t="s">
        <v>2710</v>
      </c>
      <c r="D152" s="2263" t="s">
        <v>2711</v>
      </c>
      <c r="E152" s="2290">
        <f>+'Input 기초'!F26</f>
        <v>2149056</v>
      </c>
      <c r="F152" s="2290">
        <f>+'Input 기초'!G26</f>
        <v>1556256</v>
      </c>
      <c r="G152" s="2290">
        <f>+'Input 기초'!H26</f>
        <v>1949844</v>
      </c>
      <c r="H152" s="2290">
        <f>+'Input 기초'!I26</f>
        <v>1949844</v>
      </c>
      <c r="I152" s="2290">
        <f>+'Input 기초'!J26</f>
        <v>583596</v>
      </c>
      <c r="J152" s="2290">
        <f>+'Input 기초'!K26</f>
        <v>1167192</v>
      </c>
      <c r="K152" s="2290">
        <f>+'Input 기초'!L26</f>
        <v>2409264</v>
      </c>
      <c r="L152" s="2290">
        <f>+'Input 기초'!M26</f>
        <v>2203344</v>
      </c>
      <c r="M152" s="2290">
        <f>+'Input 기초'!N26</f>
        <v>2476188</v>
      </c>
      <c r="N152" s="2290">
        <f>+'Input 기초'!O26</f>
        <v>2440152</v>
      </c>
      <c r="O152" s="2294"/>
      <c r="R152" s="2294" t="e">
        <f>+'Input 기초'!#REF!</f>
        <v>#REF!</v>
      </c>
      <c r="S152" s="2294" t="e">
        <f>+'Input 기초'!#REF!</f>
        <v>#REF!</v>
      </c>
      <c r="T152" s="2294" t="e">
        <f>+'Input 기초'!#REF!</f>
        <v>#REF!</v>
      </c>
      <c r="U152" s="2294" t="e">
        <f>+'Input 기초'!#REF!</f>
        <v>#REF!</v>
      </c>
      <c r="V152" s="2294" t="e">
        <f>+'Input 기초'!#REF!</f>
        <v>#REF!</v>
      </c>
      <c r="W152" s="2294" t="e">
        <f>+'Input 기초'!#REF!</f>
        <v>#REF!</v>
      </c>
    </row>
    <row r="153" spans="2:23" ht="16.5" customHeight="1" outlineLevel="1">
      <c r="B153" s="2242" t="s">
        <v>2724</v>
      </c>
      <c r="C153" s="2211" t="s">
        <v>2713</v>
      </c>
      <c r="D153" s="2212"/>
      <c r="E153" s="2267">
        <v>1</v>
      </c>
      <c r="F153" s="2267">
        <v>1</v>
      </c>
      <c r="G153" s="2267">
        <v>1</v>
      </c>
      <c r="H153" s="2267">
        <v>1</v>
      </c>
      <c r="I153" s="2267">
        <v>1</v>
      </c>
      <c r="J153" s="2267">
        <v>1</v>
      </c>
      <c r="K153" s="2267">
        <v>1</v>
      </c>
      <c r="L153" s="2267">
        <v>1</v>
      </c>
      <c r="M153" s="2267">
        <v>1</v>
      </c>
      <c r="N153" s="2267">
        <v>1</v>
      </c>
      <c r="O153" s="2267">
        <v>1</v>
      </c>
      <c r="R153" s="2267">
        <v>1</v>
      </c>
      <c r="S153" s="2267">
        <v>1</v>
      </c>
      <c r="T153" s="2267">
        <v>1</v>
      </c>
      <c r="U153" s="2267">
        <v>1</v>
      </c>
      <c r="V153" s="2267">
        <v>1</v>
      </c>
      <c r="W153" s="2267">
        <v>1</v>
      </c>
    </row>
    <row r="154" spans="2:23" ht="16.5" customHeight="1" outlineLevel="1">
      <c r="B154" s="2242" t="s">
        <v>2725</v>
      </c>
      <c r="C154" s="2211" t="s">
        <v>2715</v>
      </c>
      <c r="D154" s="2212" t="s">
        <v>2716</v>
      </c>
      <c r="E154" s="2213">
        <f>+E18</f>
        <v>46204</v>
      </c>
      <c r="F154" s="2213">
        <f>+F18</f>
        <v>46204</v>
      </c>
      <c r="G154" s="2213">
        <f>+G18</f>
        <v>46204</v>
      </c>
      <c r="H154" s="2213">
        <f t="shared" ref="H154:O154" si="26">H19</f>
        <v>46296</v>
      </c>
      <c r="I154" s="2213">
        <f t="shared" si="26"/>
        <v>46296</v>
      </c>
      <c r="J154" s="2213">
        <f t="shared" si="26"/>
        <v>46296</v>
      </c>
      <c r="K154" s="2213">
        <f t="shared" si="26"/>
        <v>46419</v>
      </c>
      <c r="L154" s="2213">
        <f t="shared" si="26"/>
        <v>46419</v>
      </c>
      <c r="M154" s="2213">
        <f t="shared" si="26"/>
        <v>46419</v>
      </c>
      <c r="N154" s="2213">
        <f t="shared" si="26"/>
        <v>46419</v>
      </c>
      <c r="O154" s="2213">
        <f t="shared" si="26"/>
        <v>46203</v>
      </c>
      <c r="R154" s="2213">
        <f t="shared" ref="R154:W154" si="27">R19</f>
        <v>46203</v>
      </c>
      <c r="S154" s="2213">
        <f t="shared" si="27"/>
        <v>46173</v>
      </c>
      <c r="T154" s="2213">
        <f t="shared" si="27"/>
        <v>46173</v>
      </c>
      <c r="U154" s="2213">
        <f t="shared" si="27"/>
        <v>46173</v>
      </c>
      <c r="V154" s="2213">
        <f t="shared" si="27"/>
        <v>46173</v>
      </c>
      <c r="W154" s="2213">
        <f t="shared" si="27"/>
        <v>46203</v>
      </c>
    </row>
    <row r="155" spans="2:23" ht="16.5" customHeight="1" outlineLevel="1">
      <c r="B155" s="2242" t="s">
        <v>2717</v>
      </c>
      <c r="C155" s="2211" t="s">
        <v>2691</v>
      </c>
      <c r="D155" s="2212" t="s">
        <v>2718</v>
      </c>
      <c r="E155" s="2213" t="str">
        <f>+'[5]입력 시트(0124)'!E154</f>
        <v>CPI</v>
      </c>
      <c r="F155" s="2213" t="str">
        <f>+'[5]입력 시트(0124)'!F154</f>
        <v>CPI</v>
      </c>
      <c r="G155" s="2213" t="str">
        <f>+'[5]입력 시트(0124)'!G154</f>
        <v>CPI</v>
      </c>
      <c r="H155" s="2213" t="str">
        <f>+'[5]입력 시트(0124)'!H154</f>
        <v>CPI</v>
      </c>
      <c r="I155" s="2213" t="str">
        <f>+'[5]입력 시트(0124)'!I154</f>
        <v>CPI</v>
      </c>
      <c r="J155" s="2213" t="s">
        <v>2719</v>
      </c>
      <c r="K155" s="2213" t="s">
        <v>2719</v>
      </c>
      <c r="L155" s="2213" t="s">
        <v>2719</v>
      </c>
      <c r="M155" s="2213" t="s">
        <v>2719</v>
      </c>
      <c r="N155" s="2213" t="s">
        <v>2719</v>
      </c>
      <c r="O155" s="2213" t="s">
        <v>2719</v>
      </c>
      <c r="R155" s="2213">
        <f>+'[5]입력 시트(0124)'!T154</f>
        <v>0</v>
      </c>
      <c r="S155" s="2213">
        <f>+'[5]입력 시트(0124)'!U154</f>
        <v>0</v>
      </c>
      <c r="T155" s="2213">
        <f>+'[5]입력 시트(0124)'!V154</f>
        <v>0</v>
      </c>
      <c r="U155" s="2213">
        <f>+'[5]입력 시트(0124)'!W154</f>
        <v>0</v>
      </c>
      <c r="V155" s="2213">
        <f>+'[5]입력 시트(0124)'!X154</f>
        <v>0</v>
      </c>
      <c r="W155" s="2213" t="s">
        <v>2719</v>
      </c>
    </row>
    <row r="156" spans="2:23" ht="16.5" customHeight="1" outlineLevel="1">
      <c r="B156" s="2242" t="s">
        <v>2720</v>
      </c>
      <c r="C156" s="2211" t="s">
        <v>2715</v>
      </c>
      <c r="D156" s="2212"/>
      <c r="E156" s="2213">
        <f>+E19</f>
        <v>46296</v>
      </c>
      <c r="F156" s="2213">
        <f>+F19</f>
        <v>46296</v>
      </c>
      <c r="G156" s="2213">
        <f>+G19</f>
        <v>46296</v>
      </c>
      <c r="H156" s="2213">
        <f t="shared" ref="H156:O156" si="28">H19</f>
        <v>46296</v>
      </c>
      <c r="I156" s="2213">
        <f t="shared" si="28"/>
        <v>46296</v>
      </c>
      <c r="J156" s="2213">
        <f t="shared" si="28"/>
        <v>46296</v>
      </c>
      <c r="K156" s="2213">
        <f t="shared" si="28"/>
        <v>46419</v>
      </c>
      <c r="L156" s="2213">
        <f t="shared" si="28"/>
        <v>46419</v>
      </c>
      <c r="M156" s="2213">
        <f t="shared" si="28"/>
        <v>46419</v>
      </c>
      <c r="N156" s="2213">
        <f t="shared" si="28"/>
        <v>46419</v>
      </c>
      <c r="O156" s="2213">
        <f t="shared" si="28"/>
        <v>46203</v>
      </c>
      <c r="R156" s="2213">
        <f t="shared" ref="R156:W156" si="29">R19</f>
        <v>46203</v>
      </c>
      <c r="S156" s="2213">
        <f t="shared" si="29"/>
        <v>46173</v>
      </c>
      <c r="T156" s="2213">
        <f t="shared" si="29"/>
        <v>46173</v>
      </c>
      <c r="U156" s="2213">
        <f t="shared" si="29"/>
        <v>46173</v>
      </c>
      <c r="V156" s="2213">
        <f t="shared" si="29"/>
        <v>46173</v>
      </c>
      <c r="W156" s="2213">
        <f t="shared" si="29"/>
        <v>46203</v>
      </c>
    </row>
    <row r="157" spans="2:23" ht="34.9" customHeight="1" outlineLevel="1">
      <c r="B157" s="2242" t="s">
        <v>2721</v>
      </c>
      <c r="C157" s="2495" t="s">
        <v>2746</v>
      </c>
      <c r="D157" s="2495"/>
      <c r="E157" s="2227"/>
      <c r="F157" s="2227"/>
      <c r="G157" s="2227"/>
      <c r="H157" s="2227"/>
      <c r="I157" s="2227"/>
      <c r="J157" s="2227"/>
      <c r="K157" s="2227"/>
      <c r="L157" s="2227"/>
      <c r="M157" s="2227"/>
      <c r="N157" s="2227"/>
      <c r="O157" s="2227"/>
      <c r="R157" s="2227"/>
      <c r="S157" s="2227"/>
      <c r="T157" s="2227"/>
      <c r="U157" s="2227"/>
      <c r="V157" s="2227"/>
      <c r="W157" s="2227"/>
    </row>
    <row r="158" spans="2:23" ht="16.5" customHeight="1" outlineLevel="1">
      <c r="B158" s="2242"/>
      <c r="R158" s="2269"/>
      <c r="S158" s="2269"/>
      <c r="T158" s="2269"/>
      <c r="U158" s="2269"/>
      <c r="V158" s="2269"/>
      <c r="W158" s="2269"/>
    </row>
    <row r="159" spans="2:23" s="2194" customFormat="1" ht="15">
      <c r="C159" s="2195"/>
      <c r="E159" s="2295"/>
      <c r="F159" s="2296"/>
      <c r="G159" s="2296"/>
      <c r="H159" s="2296"/>
      <c r="I159" s="2296"/>
      <c r="J159" s="2296"/>
      <c r="K159" s="2296"/>
      <c r="L159" s="2296"/>
      <c r="M159" s="2296"/>
      <c r="N159" s="2296"/>
      <c r="O159" s="2297" t="s">
        <v>2747</v>
      </c>
      <c r="P159" s="2298"/>
      <c r="Q159" s="2299"/>
      <c r="R159" s="2296"/>
      <c r="S159" s="2296"/>
      <c r="T159" s="2296"/>
      <c r="U159" s="2296"/>
      <c r="V159" s="2296"/>
      <c r="W159" s="2296"/>
    </row>
    <row r="160" spans="2:23" s="2194" customFormat="1" ht="27.75" customHeight="1">
      <c r="B160" s="2202" t="s">
        <v>2748</v>
      </c>
      <c r="C160" s="2203"/>
      <c r="D160" s="2203" t="s">
        <v>2707</v>
      </c>
      <c r="E160" s="2204" t="s">
        <v>2708</v>
      </c>
      <c r="F160" s="2204" t="s">
        <v>2708</v>
      </c>
      <c r="G160" s="2204" t="s">
        <v>2708</v>
      </c>
      <c r="H160" s="2204" t="s">
        <v>2708</v>
      </c>
      <c r="I160" s="2204" t="s">
        <v>2708</v>
      </c>
      <c r="J160" s="2204" t="s">
        <v>2708</v>
      </c>
      <c r="K160" s="2204" t="s">
        <v>2708</v>
      </c>
      <c r="L160" s="2204" t="s">
        <v>2708</v>
      </c>
      <c r="M160" s="2204" t="s">
        <v>2708</v>
      </c>
      <c r="N160" s="2204" t="s">
        <v>2708</v>
      </c>
      <c r="O160" s="2204" t="s">
        <v>2708</v>
      </c>
      <c r="P160" s="2300"/>
      <c r="Q160" s="2196"/>
      <c r="R160" s="2205" t="s">
        <v>2708</v>
      </c>
      <c r="S160" s="2205" t="s">
        <v>2708</v>
      </c>
      <c r="T160" s="2205" t="s">
        <v>2708</v>
      </c>
      <c r="U160" s="2205" t="s">
        <v>2708</v>
      </c>
      <c r="V160" s="2205" t="s">
        <v>2708</v>
      </c>
      <c r="W160" s="2205" t="s">
        <v>2708</v>
      </c>
    </row>
    <row r="161" spans="2:23" s="2301" customFormat="1" ht="16.5" outlineLevel="1">
      <c r="D161" s="2302"/>
      <c r="E161" s="2303"/>
      <c r="F161" s="2303"/>
      <c r="G161" s="2303"/>
      <c r="H161" s="2304"/>
      <c r="I161" s="2304"/>
      <c r="J161" s="2304">
        <f t="shared" ref="J161:O161" si="30">+J183+J219</f>
        <v>158618399.99999997</v>
      </c>
      <c r="K161" s="2304">
        <f t="shared" si="30"/>
        <v>335017770</v>
      </c>
      <c r="L161" s="2304">
        <f t="shared" si="30"/>
        <v>212110840</v>
      </c>
      <c r="M161" s="2304">
        <f t="shared" si="30"/>
        <v>223058870</v>
      </c>
      <c r="N161" s="2304">
        <f t="shared" si="30"/>
        <v>571102120</v>
      </c>
      <c r="O161" s="2305">
        <f t="shared" si="30"/>
        <v>0</v>
      </c>
      <c r="P161" s="2306"/>
      <c r="R161" s="2305" t="e">
        <f>+R183+R219</f>
        <v>#REF!</v>
      </c>
      <c r="S161" s="2305"/>
      <c r="T161" s="2305"/>
      <c r="U161" s="2305"/>
      <c r="V161" s="2305"/>
      <c r="W161" s="2305" t="e">
        <f>+W183+W219</f>
        <v>#REF!</v>
      </c>
    </row>
    <row r="162" spans="2:23" s="2308" customFormat="1" ht="16.5" outlineLevel="1">
      <c r="B162" s="2341"/>
      <c r="C162" s="2341"/>
      <c r="D162" s="2341"/>
      <c r="E162" s="2342"/>
      <c r="F162" s="2343"/>
      <c r="G162" s="2343"/>
      <c r="H162" s="2343"/>
      <c r="I162" s="2343"/>
      <c r="J162" s="2343"/>
      <c r="K162" s="2343"/>
      <c r="L162" s="2343"/>
      <c r="M162" s="2343"/>
      <c r="N162" s="2343"/>
      <c r="O162" s="2307">
        <f t="shared" ref="O162" si="31">O165+O183+O201</f>
        <v>0</v>
      </c>
      <c r="P162" s="2306"/>
      <c r="R162" s="2307" t="e">
        <f t="shared" ref="R162:W162" si="32">R165+R183+R201</f>
        <v>#REF!</v>
      </c>
      <c r="S162" s="2307" t="e">
        <f t="shared" si="32"/>
        <v>#REF!</v>
      </c>
      <c r="T162" s="2307" t="e">
        <f t="shared" si="32"/>
        <v>#REF!</v>
      </c>
      <c r="U162" s="2307" t="e">
        <f t="shared" si="32"/>
        <v>#REF!</v>
      </c>
      <c r="V162" s="2307" t="e">
        <f t="shared" si="32"/>
        <v>#REF!</v>
      </c>
      <c r="W162" s="2307" t="e">
        <f t="shared" si="32"/>
        <v>#REF!</v>
      </c>
    </row>
    <row r="163" spans="2:23" outlineLevel="1">
      <c r="B163" s="2227" t="s">
        <v>2749</v>
      </c>
      <c r="C163" s="2269"/>
      <c r="E163" s="2261" t="b">
        <f>+E165+E183+E201+E219+E236+E268='Input 기초'!F28</f>
        <v>1</v>
      </c>
      <c r="F163" s="2261" t="b">
        <f>+F165+F183+F201+F219+F236+F268='Input 기초'!G28</f>
        <v>1</v>
      </c>
      <c r="G163" s="2261" t="b">
        <f>+G165+G183+G201+G219+G236+G268='Input 기초'!H28</f>
        <v>1</v>
      </c>
      <c r="H163" s="2261" t="b">
        <f>+H165+H183+H201+H219+H236+H268='Input 기초'!I28</f>
        <v>1</v>
      </c>
      <c r="I163" s="2261" t="b">
        <f>+I165+I183+I201+I219+I236+I268='Input 기초'!J28</f>
        <v>1</v>
      </c>
      <c r="J163" s="2261" t="b">
        <f>+J165+J183+J201+J219+J236+J268='Input 기초'!K28</f>
        <v>1</v>
      </c>
      <c r="K163" s="2261" t="b">
        <f>+K165+K183+K201+K219+K236+K268='Input 기초'!L28</f>
        <v>1</v>
      </c>
      <c r="L163" s="2261" t="b">
        <f>+L165+L183+L201+L219+L236+L268='Input 기초'!M28</f>
        <v>1</v>
      </c>
      <c r="M163" s="2261" t="b">
        <f>+M165+M183+M201+M219+M236+M268='Input 기초'!N28</f>
        <v>1</v>
      </c>
      <c r="N163" s="2261" t="b">
        <f>+N165+N183+N201+N219+N236+N268='Input 기초'!O28</f>
        <v>1</v>
      </c>
      <c r="O163" s="2261"/>
      <c r="R163" s="2262" t="e">
        <f>+R165+R183+R201+R219='Input 기초'!#REF!+'Input 기초'!#REF!</f>
        <v>#REF!</v>
      </c>
      <c r="S163" s="2262" t="e">
        <f>+S165+S183+S201+S219='Input 기초'!#REF!+'Input 기초'!#REF!</f>
        <v>#REF!</v>
      </c>
      <c r="T163" s="2262" t="e">
        <f>+T165+T183+T201+T219='Input 기초'!#REF!+'Input 기초'!#REF!</f>
        <v>#REF!</v>
      </c>
      <c r="U163" s="2262" t="e">
        <f>+U165+U183+U201+U219='Input 기초'!#REF!+'Input 기초'!#REF!</f>
        <v>#REF!</v>
      </c>
      <c r="V163" s="2262" t="e">
        <f>+V165+V183+V201+V219='Input 기초'!#REF!+'Input 기초'!#REF!</f>
        <v>#REF!</v>
      </c>
      <c r="W163" s="2262" t="e">
        <f>+W165+W183+W201+W219='Input 기초'!#REF!+'Input 기초'!#REF!</f>
        <v>#REF!</v>
      </c>
    </row>
    <row r="164" spans="2:23" ht="16.5" customHeight="1" outlineLevel="1">
      <c r="B164" s="2242" t="s">
        <v>2665</v>
      </c>
      <c r="C164" s="2269"/>
      <c r="D164" s="2269"/>
      <c r="E164" s="2221"/>
      <c r="F164" s="2221"/>
      <c r="G164" s="2221"/>
      <c r="H164" s="2221"/>
      <c r="I164" s="2221"/>
      <c r="J164" s="2221"/>
      <c r="K164" s="2221"/>
      <c r="L164" s="2221"/>
      <c r="M164" s="2221"/>
      <c r="N164" s="2221"/>
      <c r="O164" s="2221"/>
      <c r="R164" s="2221"/>
      <c r="S164" s="2221"/>
      <c r="T164" s="2221"/>
      <c r="U164" s="2221"/>
      <c r="V164" s="2221"/>
      <c r="W164" s="2221"/>
    </row>
    <row r="165" spans="2:23" outlineLevel="1">
      <c r="B165" s="2242" t="s">
        <v>2708</v>
      </c>
      <c r="D165" s="2263" t="s">
        <v>2750</v>
      </c>
      <c r="E165" s="2264">
        <f>+'Input 기초'!F30</f>
        <v>440832000</v>
      </c>
      <c r="F165" s="2264">
        <f>+'Input 기초'!G30</f>
        <v>319232000</v>
      </c>
      <c r="G165" s="2264">
        <f>+'Input 기초'!H30</f>
        <v>399968000</v>
      </c>
      <c r="H165" s="2264">
        <f>+'Input 기초'!I30</f>
        <v>399968000</v>
      </c>
      <c r="I165" s="2264">
        <f>+'Input 기초'!J30</f>
        <v>119711999.99999999</v>
      </c>
      <c r="J165" s="2264">
        <f>+'Input 기초'!K30</f>
        <v>239423999.99999997</v>
      </c>
      <c r="K165" s="2264">
        <f>+'Input 기초'!L30</f>
        <v>494208000</v>
      </c>
      <c r="L165" s="2264">
        <f>+'Input 기초'!M30</f>
        <v>451968000</v>
      </c>
      <c r="M165" s="2264">
        <f>+'Input 기초'!N30</f>
        <v>507935999.99999994</v>
      </c>
      <c r="N165" s="2264">
        <f>+'Input 기초'!O30</f>
        <v>500543999.99999994</v>
      </c>
      <c r="O165" s="2294"/>
      <c r="R165" s="2294" t="e">
        <f>+'Input 기초'!#REF!</f>
        <v>#REF!</v>
      </c>
      <c r="S165" s="2294" t="e">
        <f>+'Input 기초'!#REF!</f>
        <v>#REF!</v>
      </c>
      <c r="T165" s="2294" t="e">
        <f>+'Input 기초'!#REF!</f>
        <v>#REF!</v>
      </c>
      <c r="U165" s="2294" t="e">
        <f>+'Input 기초'!#REF!</f>
        <v>#REF!</v>
      </c>
      <c r="V165" s="2294" t="e">
        <f>+'Input 기초'!#REF!</f>
        <v>#REF!</v>
      </c>
      <c r="W165" s="2294" t="e">
        <f>+'Input 기초'!#REF!</f>
        <v>#REF!</v>
      </c>
    </row>
    <row r="166" spans="2:23" ht="16.5" customHeight="1" outlineLevel="1">
      <c r="B166" s="2242" t="s">
        <v>2724</v>
      </c>
      <c r="D166" s="2212" t="s">
        <v>2713</v>
      </c>
      <c r="E166" s="2309">
        <v>1</v>
      </c>
      <c r="F166" s="2309">
        <v>1</v>
      </c>
      <c r="G166" s="2309">
        <v>1</v>
      </c>
      <c r="H166" s="2309">
        <v>1</v>
      </c>
      <c r="I166" s="2309">
        <v>1</v>
      </c>
      <c r="J166" s="2309">
        <v>1</v>
      </c>
      <c r="K166" s="2309">
        <v>1</v>
      </c>
      <c r="L166" s="2309">
        <v>1</v>
      </c>
      <c r="M166" s="2309">
        <v>1</v>
      </c>
      <c r="N166" s="2309">
        <v>1</v>
      </c>
      <c r="O166" s="2309">
        <v>1</v>
      </c>
      <c r="R166" s="2309">
        <v>1</v>
      </c>
      <c r="S166" s="2309">
        <v>1</v>
      </c>
      <c r="T166" s="2309">
        <v>1</v>
      </c>
      <c r="U166" s="2309">
        <v>1</v>
      </c>
      <c r="V166" s="2309">
        <v>1</v>
      </c>
      <c r="W166" s="2309">
        <v>1</v>
      </c>
    </row>
    <row r="167" spans="2:23" ht="16.5" customHeight="1" outlineLevel="1">
      <c r="B167" s="2242" t="s">
        <v>2725</v>
      </c>
      <c r="D167" s="2212" t="s">
        <v>2715</v>
      </c>
      <c r="E167" s="2310">
        <f>+E18</f>
        <v>46204</v>
      </c>
      <c r="F167" s="2310">
        <f>+F18</f>
        <v>46204</v>
      </c>
      <c r="G167" s="2310">
        <f>+G18</f>
        <v>46204</v>
      </c>
      <c r="H167" s="2310">
        <f t="shared" ref="H167:N167" si="33">+H18</f>
        <v>46204</v>
      </c>
      <c r="I167" s="2310">
        <f t="shared" si="33"/>
        <v>46204</v>
      </c>
      <c r="J167" s="2310">
        <f t="shared" si="33"/>
        <v>46204</v>
      </c>
      <c r="K167" s="2310">
        <f t="shared" si="33"/>
        <v>46327</v>
      </c>
      <c r="L167" s="2310">
        <f t="shared" si="33"/>
        <v>46327</v>
      </c>
      <c r="M167" s="2310">
        <f t="shared" si="33"/>
        <v>46327</v>
      </c>
      <c r="N167" s="2310">
        <f t="shared" si="33"/>
        <v>46327</v>
      </c>
      <c r="O167" s="2310"/>
      <c r="R167" s="2310"/>
      <c r="S167" s="2310"/>
      <c r="T167" s="2310"/>
      <c r="U167" s="2310"/>
      <c r="V167" s="2310"/>
      <c r="W167" s="2310"/>
    </row>
    <row r="168" spans="2:23" ht="16.5" customHeight="1" outlineLevel="1">
      <c r="B168" s="2242" t="s">
        <v>2717</v>
      </c>
      <c r="D168" s="2212" t="s">
        <v>2691</v>
      </c>
      <c r="E168" s="2311"/>
      <c r="F168" s="2311"/>
      <c r="G168" s="2311"/>
      <c r="H168" s="2311"/>
      <c r="I168" s="2311"/>
      <c r="J168" s="2311"/>
      <c r="K168" s="2311"/>
      <c r="L168" s="2311"/>
      <c r="M168" s="2311"/>
      <c r="N168" s="2311"/>
      <c r="O168" s="2311"/>
      <c r="R168" s="2311"/>
      <c r="S168" s="2311"/>
      <c r="T168" s="2311"/>
      <c r="U168" s="2311"/>
      <c r="V168" s="2311"/>
      <c r="W168" s="2311"/>
    </row>
    <row r="169" spans="2:23" outlineLevel="1">
      <c r="B169" s="2242" t="s">
        <v>2751</v>
      </c>
      <c r="C169" s="2254" t="s">
        <v>2752</v>
      </c>
      <c r="D169" s="2209">
        <v>1</v>
      </c>
      <c r="E169" s="2312">
        <v>0.5</v>
      </c>
      <c r="F169" s="2312">
        <v>0.5</v>
      </c>
      <c r="G169" s="2312">
        <v>0.5</v>
      </c>
      <c r="H169" s="2312">
        <v>0.5</v>
      </c>
      <c r="I169" s="2312">
        <v>0.5</v>
      </c>
      <c r="J169" s="2312">
        <v>0.5</v>
      </c>
      <c r="K169" s="2312">
        <v>0.5</v>
      </c>
      <c r="L169" s="2312">
        <v>0.5</v>
      </c>
      <c r="M169" s="2312">
        <v>0.5</v>
      </c>
      <c r="N169" s="2312">
        <v>0.5</v>
      </c>
      <c r="O169" s="2312">
        <v>0.5</v>
      </c>
      <c r="R169" s="2312">
        <v>0.5</v>
      </c>
      <c r="S169" s="2312">
        <v>0.5</v>
      </c>
      <c r="T169" s="2312">
        <v>0.5</v>
      </c>
      <c r="U169" s="2312">
        <v>0.5</v>
      </c>
      <c r="V169" s="2312">
        <v>0.5</v>
      </c>
      <c r="W169" s="2312">
        <v>0.5</v>
      </c>
    </row>
    <row r="170" spans="2:23" outlineLevel="1">
      <c r="B170" s="2242"/>
      <c r="C170" s="2254" t="s">
        <v>2691</v>
      </c>
      <c r="D170" s="2209">
        <f t="shared" ref="D170:D178" si="34">+D169+1</f>
        <v>2</v>
      </c>
      <c r="E170" s="2312">
        <v>0</v>
      </c>
      <c r="F170" s="2312">
        <v>0</v>
      </c>
      <c r="G170" s="2312">
        <v>0</v>
      </c>
      <c r="H170" s="2312">
        <v>0</v>
      </c>
      <c r="I170" s="2312">
        <v>0</v>
      </c>
      <c r="J170" s="2312">
        <v>0</v>
      </c>
      <c r="K170" s="2312">
        <v>0</v>
      </c>
      <c r="L170" s="2312">
        <v>0</v>
      </c>
      <c r="M170" s="2312">
        <v>0</v>
      </c>
      <c r="N170" s="2312">
        <v>0</v>
      </c>
      <c r="O170" s="2312">
        <v>0</v>
      </c>
      <c r="R170" s="2312">
        <v>0</v>
      </c>
      <c r="S170" s="2312">
        <v>0</v>
      </c>
      <c r="T170" s="2312">
        <v>0</v>
      </c>
      <c r="U170" s="2312">
        <v>0</v>
      </c>
      <c r="V170" s="2312">
        <v>0</v>
      </c>
      <c r="W170" s="2312">
        <v>0</v>
      </c>
    </row>
    <row r="171" spans="2:23" outlineLevel="1">
      <c r="B171" s="2242"/>
      <c r="C171" s="2254" t="s">
        <v>2691</v>
      </c>
      <c r="D171" s="2209">
        <f t="shared" si="34"/>
        <v>3</v>
      </c>
      <c r="E171" s="2312">
        <v>0.4</v>
      </c>
      <c r="F171" s="2312">
        <v>0.4</v>
      </c>
      <c r="G171" s="2312">
        <v>0.4</v>
      </c>
      <c r="H171" s="2312">
        <v>0.4</v>
      </c>
      <c r="I171" s="2312">
        <v>0.4</v>
      </c>
      <c r="J171" s="2312">
        <v>0.4</v>
      </c>
      <c r="K171" s="2312">
        <v>0.4</v>
      </c>
      <c r="L171" s="2312">
        <v>0.4</v>
      </c>
      <c r="M171" s="2312">
        <v>0.4</v>
      </c>
      <c r="N171" s="2312">
        <v>0.4</v>
      </c>
      <c r="O171" s="2312">
        <v>0</v>
      </c>
      <c r="R171" s="2312">
        <v>0</v>
      </c>
      <c r="S171" s="2312">
        <v>0</v>
      </c>
      <c r="T171" s="2312">
        <v>0</v>
      </c>
      <c r="U171" s="2312">
        <v>0</v>
      </c>
      <c r="V171" s="2312">
        <v>0</v>
      </c>
      <c r="W171" s="2312">
        <v>0</v>
      </c>
    </row>
    <row r="172" spans="2:23" outlineLevel="1">
      <c r="B172" s="2242"/>
      <c r="C172" s="2254" t="s">
        <v>2691</v>
      </c>
      <c r="D172" s="2209">
        <f t="shared" si="34"/>
        <v>4</v>
      </c>
      <c r="E172" s="2312">
        <v>0.1</v>
      </c>
      <c r="F172" s="2312">
        <v>0.1</v>
      </c>
      <c r="G172" s="2312">
        <v>0.1</v>
      </c>
      <c r="H172" s="2312">
        <v>0.1</v>
      </c>
      <c r="I172" s="2312">
        <v>0.1</v>
      </c>
      <c r="J172" s="2312">
        <v>0.1</v>
      </c>
      <c r="K172" s="2312">
        <v>0.1</v>
      </c>
      <c r="L172" s="2312">
        <v>0.1</v>
      </c>
      <c r="M172" s="2312">
        <v>0.1</v>
      </c>
      <c r="N172" s="2312">
        <v>0.1</v>
      </c>
      <c r="O172" s="2312">
        <v>0.4</v>
      </c>
      <c r="R172" s="2312">
        <v>0.4</v>
      </c>
      <c r="S172" s="2312">
        <v>0.4</v>
      </c>
      <c r="T172" s="2312">
        <v>0.4</v>
      </c>
      <c r="U172" s="2312">
        <v>0.4</v>
      </c>
      <c r="V172" s="2312">
        <v>0.4</v>
      </c>
      <c r="W172" s="2312">
        <v>0.4</v>
      </c>
    </row>
    <row r="173" spans="2:23" outlineLevel="1">
      <c r="B173" s="2242"/>
      <c r="C173" s="2254" t="s">
        <v>2691</v>
      </c>
      <c r="D173" s="2209">
        <f t="shared" si="34"/>
        <v>5</v>
      </c>
      <c r="E173" s="2312">
        <v>0</v>
      </c>
      <c r="F173" s="2312">
        <v>0</v>
      </c>
      <c r="G173" s="2312">
        <v>0</v>
      </c>
      <c r="H173" s="2312">
        <v>0</v>
      </c>
      <c r="I173" s="2312">
        <v>0</v>
      </c>
      <c r="J173" s="2312">
        <v>0</v>
      </c>
      <c r="K173" s="2312">
        <v>0</v>
      </c>
      <c r="L173" s="2312">
        <v>0</v>
      </c>
      <c r="M173" s="2312">
        <v>0</v>
      </c>
      <c r="N173" s="2312">
        <v>0</v>
      </c>
      <c r="O173" s="2312">
        <v>0.1</v>
      </c>
      <c r="R173" s="2312">
        <v>0.1</v>
      </c>
      <c r="S173" s="2312">
        <v>0.1</v>
      </c>
      <c r="T173" s="2312">
        <v>0.1</v>
      </c>
      <c r="U173" s="2312">
        <v>0.1</v>
      </c>
      <c r="V173" s="2312">
        <v>0.1</v>
      </c>
      <c r="W173" s="2312">
        <v>0.1</v>
      </c>
    </row>
    <row r="174" spans="2:23" outlineLevel="1">
      <c r="B174" s="2242"/>
      <c r="C174" s="2254" t="s">
        <v>2691</v>
      </c>
      <c r="D174" s="2209">
        <f t="shared" si="34"/>
        <v>6</v>
      </c>
      <c r="E174" s="2312">
        <v>0</v>
      </c>
      <c r="F174" s="2312">
        <v>0</v>
      </c>
      <c r="G174" s="2312">
        <v>0</v>
      </c>
      <c r="H174" s="2312">
        <v>0</v>
      </c>
      <c r="I174" s="2312">
        <v>0</v>
      </c>
      <c r="J174" s="2312">
        <v>0</v>
      </c>
      <c r="K174" s="2312">
        <v>0</v>
      </c>
      <c r="L174" s="2312">
        <v>0</v>
      </c>
      <c r="M174" s="2312">
        <v>0</v>
      </c>
      <c r="N174" s="2312">
        <v>0</v>
      </c>
      <c r="O174" s="2312">
        <v>0</v>
      </c>
      <c r="R174" s="2312">
        <v>0</v>
      </c>
      <c r="S174" s="2312">
        <v>0</v>
      </c>
      <c r="T174" s="2312">
        <v>0</v>
      </c>
      <c r="U174" s="2312">
        <v>0</v>
      </c>
      <c r="V174" s="2312">
        <v>0</v>
      </c>
      <c r="W174" s="2312">
        <v>0</v>
      </c>
    </row>
    <row r="175" spans="2:23" outlineLevel="1">
      <c r="B175" s="2242"/>
      <c r="C175" s="2254" t="s">
        <v>2691</v>
      </c>
      <c r="D175" s="2209">
        <f t="shared" si="34"/>
        <v>7</v>
      </c>
      <c r="E175" s="2312">
        <v>0</v>
      </c>
      <c r="F175" s="2312">
        <v>0</v>
      </c>
      <c r="G175" s="2312">
        <v>0</v>
      </c>
      <c r="H175" s="2312">
        <v>0</v>
      </c>
      <c r="I175" s="2312">
        <v>0</v>
      </c>
      <c r="J175" s="2312">
        <v>0</v>
      </c>
      <c r="K175" s="2312">
        <v>0</v>
      </c>
      <c r="L175" s="2312">
        <v>0</v>
      </c>
      <c r="M175" s="2312">
        <v>0</v>
      </c>
      <c r="N175" s="2312">
        <v>0</v>
      </c>
      <c r="O175" s="2312">
        <v>0</v>
      </c>
      <c r="R175" s="2312">
        <v>0</v>
      </c>
      <c r="S175" s="2312">
        <v>0</v>
      </c>
      <c r="T175" s="2312">
        <v>0</v>
      </c>
      <c r="U175" s="2312">
        <v>0</v>
      </c>
      <c r="V175" s="2312">
        <v>0</v>
      </c>
      <c r="W175" s="2312">
        <v>0</v>
      </c>
    </row>
    <row r="176" spans="2:23" outlineLevel="2">
      <c r="B176" s="2242"/>
      <c r="C176" s="2254" t="s">
        <v>2691</v>
      </c>
      <c r="D176" s="2209">
        <f t="shared" si="34"/>
        <v>8</v>
      </c>
      <c r="E176" s="2312"/>
      <c r="F176" s="2312"/>
      <c r="G176" s="2312"/>
      <c r="H176" s="2312"/>
      <c r="I176" s="2312"/>
      <c r="J176" s="2312"/>
      <c r="K176" s="2312"/>
      <c r="L176" s="2312"/>
      <c r="M176" s="2312"/>
      <c r="N176" s="2312"/>
      <c r="O176" s="2312"/>
      <c r="R176" s="2312"/>
      <c r="S176" s="2312"/>
      <c r="T176" s="2312"/>
      <c r="U176" s="2312"/>
      <c r="V176" s="2312"/>
      <c r="W176" s="2312"/>
    </row>
    <row r="177" spans="2:23" outlineLevel="2">
      <c r="B177" s="2242"/>
      <c r="C177" s="2254" t="s">
        <v>2691</v>
      </c>
      <c r="D177" s="2209">
        <f t="shared" si="34"/>
        <v>9</v>
      </c>
      <c r="E177" s="2312"/>
      <c r="F177" s="2312"/>
      <c r="G177" s="2312"/>
      <c r="H177" s="2312"/>
      <c r="I177" s="2312"/>
      <c r="J177" s="2312"/>
      <c r="K177" s="2312"/>
      <c r="L177" s="2312"/>
      <c r="M177" s="2312"/>
      <c r="N177" s="2312"/>
      <c r="O177" s="2312"/>
      <c r="R177" s="2312"/>
      <c r="S177" s="2312"/>
      <c r="T177" s="2312"/>
      <c r="U177" s="2312"/>
      <c r="V177" s="2312"/>
      <c r="W177" s="2312"/>
    </row>
    <row r="178" spans="2:23" outlineLevel="2">
      <c r="B178" s="2242"/>
      <c r="C178" s="2254" t="s">
        <v>2691</v>
      </c>
      <c r="D178" s="2209">
        <f t="shared" si="34"/>
        <v>10</v>
      </c>
      <c r="E178" s="2312"/>
      <c r="F178" s="2312"/>
      <c r="G178" s="2312"/>
      <c r="H178" s="2312"/>
      <c r="I178" s="2312"/>
      <c r="J178" s="2312"/>
      <c r="K178" s="2312"/>
      <c r="L178" s="2312"/>
      <c r="M178" s="2312"/>
      <c r="N178" s="2312"/>
      <c r="O178" s="2312"/>
      <c r="R178" s="2312"/>
      <c r="S178" s="2312"/>
      <c r="T178" s="2312"/>
      <c r="U178" s="2312"/>
      <c r="V178" s="2312"/>
      <c r="W178" s="2312"/>
    </row>
    <row r="179" spans="2:23" ht="13.5" outlineLevel="1">
      <c r="B179" s="2242" t="s">
        <v>2721</v>
      </c>
      <c r="C179" s="2495" t="s">
        <v>2753</v>
      </c>
      <c r="D179" s="2495"/>
      <c r="E179" s="2313"/>
      <c r="F179" s="2313"/>
      <c r="G179" s="2313"/>
      <c r="H179" s="2313"/>
      <c r="I179" s="2313"/>
      <c r="J179" s="2313"/>
      <c r="K179" s="2313"/>
      <c r="L179" s="2313"/>
      <c r="M179" s="2313"/>
      <c r="N179" s="2313"/>
      <c r="O179" s="2313"/>
      <c r="R179" s="2313"/>
      <c r="S179" s="2313"/>
      <c r="T179" s="2313"/>
      <c r="U179" s="2313"/>
      <c r="V179" s="2313"/>
      <c r="W179" s="2313"/>
    </row>
    <row r="180" spans="2:23" outlineLevel="1">
      <c r="E180" s="2285"/>
      <c r="F180" s="2285"/>
      <c r="G180" s="2285"/>
      <c r="H180" s="2285"/>
      <c r="I180" s="2285"/>
      <c r="J180" s="2285"/>
      <c r="K180" s="2285"/>
      <c r="L180" s="2285"/>
      <c r="M180" s="2285"/>
      <c r="N180" s="2285"/>
      <c r="O180" s="2285"/>
      <c r="R180" s="2286"/>
      <c r="S180" s="2286"/>
      <c r="T180" s="2286"/>
      <c r="U180" s="2286"/>
      <c r="V180" s="2286"/>
      <c r="W180" s="2286"/>
    </row>
    <row r="181" spans="2:23" outlineLevel="1">
      <c r="B181" s="2227" t="s">
        <v>2754</v>
      </c>
      <c r="D181" s="2270"/>
      <c r="E181" s="2287">
        <f>+E183/E24</f>
        <v>180000000</v>
      </c>
      <c r="F181" s="2287"/>
      <c r="G181" s="2287"/>
      <c r="H181" s="2287"/>
      <c r="I181" s="2287"/>
      <c r="J181" s="2287">
        <f t="shared" ref="J181:O181" si="35">+J183/J24</f>
        <v>179999999.99999997</v>
      </c>
      <c r="K181" s="2287">
        <f t="shared" si="35"/>
        <v>180000000</v>
      </c>
      <c r="L181" s="2287">
        <f t="shared" si="35"/>
        <v>180000000</v>
      </c>
      <c r="M181" s="2287">
        <f t="shared" si="35"/>
        <v>180000000.00000003</v>
      </c>
      <c r="N181" s="2287">
        <f t="shared" si="35"/>
        <v>180000000</v>
      </c>
      <c r="O181" s="2287" t="e">
        <f t="shared" si="35"/>
        <v>#DIV/0!</v>
      </c>
      <c r="R181" s="2288" t="e">
        <f>+R183/R24</f>
        <v>#REF!</v>
      </c>
      <c r="S181" s="2288"/>
      <c r="T181" s="2288"/>
      <c r="U181" s="2288"/>
      <c r="V181" s="2288"/>
      <c r="W181" s="2288" t="e">
        <f>+W183/W24</f>
        <v>#REF!</v>
      </c>
    </row>
    <row r="182" spans="2:23" ht="16.5" customHeight="1" outlineLevel="1">
      <c r="B182" s="2242" t="s">
        <v>2665</v>
      </c>
      <c r="C182" s="2314"/>
      <c r="D182" s="2315"/>
      <c r="E182" s="2221"/>
      <c r="F182" s="2221"/>
      <c r="G182" s="2221"/>
      <c r="H182" s="2221"/>
      <c r="I182" s="2221"/>
      <c r="J182" s="2221"/>
      <c r="K182" s="2221"/>
      <c r="L182" s="2221"/>
      <c r="M182" s="2221"/>
      <c r="N182" s="2221"/>
      <c r="O182" s="2221"/>
      <c r="P182" s="2265"/>
      <c r="R182" s="2221"/>
      <c r="S182" s="2221"/>
      <c r="T182" s="2221"/>
      <c r="U182" s="2221"/>
      <c r="V182" s="2221"/>
      <c r="W182" s="2221"/>
    </row>
    <row r="183" spans="2:23" outlineLevel="1">
      <c r="B183" s="2242" t="s">
        <v>2708</v>
      </c>
      <c r="D183" s="2263" t="s">
        <v>2755</v>
      </c>
      <c r="E183" s="2264">
        <f>+'Input 기초'!F31</f>
        <v>99187200</v>
      </c>
      <c r="F183" s="2264">
        <f>+'Input 기초'!G31</f>
        <v>71827200</v>
      </c>
      <c r="G183" s="2264">
        <f>+'Input 기초'!H31</f>
        <v>89992800</v>
      </c>
      <c r="H183" s="2264">
        <f>+'Input 기초'!I31</f>
        <v>89992800</v>
      </c>
      <c r="I183" s="2264">
        <f>+'Input 기초'!J31</f>
        <v>26935199.999999996</v>
      </c>
      <c r="J183" s="2264">
        <f>+'Input 기초'!K31</f>
        <v>53870399.999999993</v>
      </c>
      <c r="K183" s="2264">
        <f>+'Input 기초'!L31</f>
        <v>111196800</v>
      </c>
      <c r="L183" s="2264">
        <f>+'Input 기초'!M31</f>
        <v>101692800</v>
      </c>
      <c r="M183" s="2264">
        <f>+'Input 기초'!N31</f>
        <v>114285600</v>
      </c>
      <c r="N183" s="2264">
        <f>+'Input 기초'!O31</f>
        <v>112622399.99999999</v>
      </c>
      <c r="O183" s="2294"/>
      <c r="P183" s="2316"/>
      <c r="R183" s="2294" t="e">
        <f>+'Input 기초'!#REF!</f>
        <v>#REF!</v>
      </c>
      <c r="S183" s="2294" t="e">
        <f>+'Input 기초'!#REF!</f>
        <v>#REF!</v>
      </c>
      <c r="T183" s="2294" t="e">
        <f>+'Input 기초'!#REF!</f>
        <v>#REF!</v>
      </c>
      <c r="U183" s="2294" t="e">
        <f>+'Input 기초'!#REF!</f>
        <v>#REF!</v>
      </c>
      <c r="V183" s="2294" t="e">
        <f>+'Input 기초'!#REF!</f>
        <v>#REF!</v>
      </c>
      <c r="W183" s="2294" t="e">
        <f>+'Input 기초'!#REF!</f>
        <v>#REF!</v>
      </c>
    </row>
    <row r="184" spans="2:23" ht="16.5" customHeight="1" outlineLevel="1">
      <c r="B184" s="2242" t="s">
        <v>2724</v>
      </c>
      <c r="D184" s="2212" t="s">
        <v>2713</v>
      </c>
      <c r="E184" s="2309">
        <v>1</v>
      </c>
      <c r="F184" s="2309">
        <v>1</v>
      </c>
      <c r="G184" s="2309">
        <v>1</v>
      </c>
      <c r="H184" s="2309">
        <v>1</v>
      </c>
      <c r="I184" s="2309">
        <v>1</v>
      </c>
      <c r="J184" s="2309">
        <v>1</v>
      </c>
      <c r="K184" s="2309">
        <v>1</v>
      </c>
      <c r="L184" s="2309">
        <v>1</v>
      </c>
      <c r="M184" s="2309">
        <v>1</v>
      </c>
      <c r="N184" s="2309">
        <v>1</v>
      </c>
      <c r="O184" s="2309">
        <v>1</v>
      </c>
      <c r="R184" s="2309">
        <v>1</v>
      </c>
      <c r="S184" s="2309">
        <v>1</v>
      </c>
      <c r="T184" s="2309">
        <v>1</v>
      </c>
      <c r="U184" s="2309">
        <v>1</v>
      </c>
      <c r="V184" s="2309">
        <v>1</v>
      </c>
      <c r="W184" s="2309">
        <v>1</v>
      </c>
    </row>
    <row r="185" spans="2:23" ht="16.5" customHeight="1" outlineLevel="1">
      <c r="B185" s="2242" t="s">
        <v>2725</v>
      </c>
      <c r="C185" s="2254" t="s">
        <v>2756</v>
      </c>
      <c r="D185" s="2212" t="s">
        <v>2715</v>
      </c>
      <c r="E185" s="2310">
        <f>+E18</f>
        <v>46204</v>
      </c>
      <c r="F185" s="2310">
        <f>+F18</f>
        <v>46204</v>
      </c>
      <c r="G185" s="2310">
        <f>+G18</f>
        <v>46204</v>
      </c>
      <c r="H185" s="2310">
        <f t="shared" ref="H185:O185" si="36">+H18</f>
        <v>46204</v>
      </c>
      <c r="I185" s="2310">
        <f t="shared" si="36"/>
        <v>46204</v>
      </c>
      <c r="J185" s="2310">
        <f t="shared" si="36"/>
        <v>46204</v>
      </c>
      <c r="K185" s="2310">
        <f t="shared" si="36"/>
        <v>46327</v>
      </c>
      <c r="L185" s="2310">
        <f t="shared" si="36"/>
        <v>46327</v>
      </c>
      <c r="M185" s="2310">
        <f t="shared" si="36"/>
        <v>46327</v>
      </c>
      <c r="N185" s="2310">
        <f t="shared" si="36"/>
        <v>46327</v>
      </c>
      <c r="O185" s="2310">
        <f t="shared" si="36"/>
        <v>0</v>
      </c>
      <c r="R185" s="2310"/>
      <c r="S185" s="2310"/>
      <c r="T185" s="2310"/>
      <c r="U185" s="2310"/>
      <c r="V185" s="2310"/>
      <c r="W185" s="2310"/>
    </row>
    <row r="186" spans="2:23" ht="16.5" customHeight="1" outlineLevel="1">
      <c r="B186" s="2242" t="s">
        <v>2717</v>
      </c>
      <c r="D186" s="2212" t="s">
        <v>2691</v>
      </c>
      <c r="E186" s="2311"/>
      <c r="F186" s="2311"/>
      <c r="G186" s="2311"/>
      <c r="H186" s="2311"/>
      <c r="I186" s="2311"/>
      <c r="J186" s="2311"/>
      <c r="K186" s="2311"/>
      <c r="L186" s="2311"/>
      <c r="M186" s="2311"/>
      <c r="N186" s="2311"/>
      <c r="O186" s="2311"/>
      <c r="R186" s="2311"/>
      <c r="S186" s="2311"/>
      <c r="T186" s="2311"/>
      <c r="U186" s="2311"/>
      <c r="V186" s="2311"/>
      <c r="W186" s="2311"/>
    </row>
    <row r="187" spans="2:23" outlineLevel="1">
      <c r="B187" s="2242" t="s">
        <v>2751</v>
      </c>
      <c r="C187" s="2254" t="s">
        <v>2752</v>
      </c>
      <c r="D187" s="2209">
        <v>1</v>
      </c>
      <c r="E187" s="2312">
        <v>1</v>
      </c>
      <c r="F187" s="2312">
        <v>1</v>
      </c>
      <c r="G187" s="2312">
        <v>1</v>
      </c>
      <c r="H187" s="2312">
        <v>1</v>
      </c>
      <c r="I187" s="2312">
        <v>1</v>
      </c>
      <c r="J187" s="2312">
        <v>1</v>
      </c>
      <c r="K187" s="2312">
        <v>1</v>
      </c>
      <c r="L187" s="2312">
        <v>1</v>
      </c>
      <c r="M187" s="2312">
        <v>1</v>
      </c>
      <c r="N187" s="2312">
        <v>1</v>
      </c>
      <c r="O187" s="2312">
        <v>1</v>
      </c>
      <c r="R187" s="2312">
        <v>1</v>
      </c>
      <c r="S187" s="2312">
        <v>1</v>
      </c>
      <c r="T187" s="2312">
        <v>1</v>
      </c>
      <c r="U187" s="2312">
        <v>1</v>
      </c>
      <c r="V187" s="2312">
        <v>1</v>
      </c>
      <c r="W187" s="2312">
        <v>1</v>
      </c>
    </row>
    <row r="188" spans="2:23" outlineLevel="1">
      <c r="B188" s="2242"/>
      <c r="C188" s="2254" t="s">
        <v>2691</v>
      </c>
      <c r="D188" s="2209">
        <f t="shared" ref="D188:D196" si="37">+D187+1</f>
        <v>2</v>
      </c>
      <c r="E188" s="2312">
        <f>+'[5]입력 시트(0124)'!E200</f>
        <v>0</v>
      </c>
      <c r="F188" s="2312">
        <f>+'[5]입력 시트(0124)'!F200</f>
        <v>0</v>
      </c>
      <c r="G188" s="2312">
        <f>+'[5]입력 시트(0124)'!G200</f>
        <v>0</v>
      </c>
      <c r="H188" s="2312">
        <f>+'[5]입력 시트(0124)'!H200</f>
        <v>0</v>
      </c>
      <c r="I188" s="2312">
        <f>+'[5]입력 시트(0124)'!I200</f>
        <v>0</v>
      </c>
      <c r="J188" s="2312">
        <v>0</v>
      </c>
      <c r="K188" s="2312">
        <v>0</v>
      </c>
      <c r="L188" s="2312">
        <v>0</v>
      </c>
      <c r="M188" s="2312">
        <v>0</v>
      </c>
      <c r="N188" s="2312">
        <v>0</v>
      </c>
      <c r="O188" s="2312">
        <v>0</v>
      </c>
      <c r="R188" s="2312">
        <f>+'[5]입력 시트(0124)'!T200</f>
        <v>0</v>
      </c>
      <c r="S188" s="2312">
        <f>+'[5]입력 시트(0124)'!U200</f>
        <v>0</v>
      </c>
      <c r="T188" s="2312">
        <f>+'[5]입력 시트(0124)'!V200</f>
        <v>0</v>
      </c>
      <c r="U188" s="2312">
        <f>+'[5]입력 시트(0124)'!W200</f>
        <v>0</v>
      </c>
      <c r="V188" s="2312">
        <f>+'[5]입력 시트(0124)'!X200</f>
        <v>0</v>
      </c>
      <c r="W188" s="2312">
        <v>0</v>
      </c>
    </row>
    <row r="189" spans="2:23" outlineLevel="1">
      <c r="B189" s="2242"/>
      <c r="C189" s="2254" t="s">
        <v>2691</v>
      </c>
      <c r="D189" s="2209">
        <f t="shared" si="37"/>
        <v>3</v>
      </c>
      <c r="E189" s="2312">
        <f>+'[5]입력 시트(0124)'!E201</f>
        <v>0</v>
      </c>
      <c r="F189" s="2312">
        <f>+'[5]입력 시트(0124)'!F201</f>
        <v>0</v>
      </c>
      <c r="G189" s="2312">
        <f>+'[5]입력 시트(0124)'!G201</f>
        <v>0</v>
      </c>
      <c r="H189" s="2312">
        <f>+'[5]입력 시트(0124)'!H201</f>
        <v>0</v>
      </c>
      <c r="I189" s="2312">
        <f>+'[5]입력 시트(0124)'!I201</f>
        <v>0</v>
      </c>
      <c r="J189" s="2312">
        <v>0</v>
      </c>
      <c r="K189" s="2312">
        <v>0</v>
      </c>
      <c r="L189" s="2312">
        <v>0</v>
      </c>
      <c r="M189" s="2312">
        <v>0</v>
      </c>
      <c r="N189" s="2312">
        <v>0</v>
      </c>
      <c r="O189" s="2312">
        <v>0</v>
      </c>
      <c r="R189" s="2312">
        <f>+'[5]입력 시트(0124)'!T201</f>
        <v>0</v>
      </c>
      <c r="S189" s="2312">
        <f>+'[5]입력 시트(0124)'!U201</f>
        <v>0</v>
      </c>
      <c r="T189" s="2312">
        <f>+'[5]입력 시트(0124)'!V201</f>
        <v>0</v>
      </c>
      <c r="U189" s="2312">
        <f>+'[5]입력 시트(0124)'!W201</f>
        <v>0</v>
      </c>
      <c r="V189" s="2312">
        <f>+'[5]입력 시트(0124)'!X201</f>
        <v>0</v>
      </c>
      <c r="W189" s="2312">
        <v>0</v>
      </c>
    </row>
    <row r="190" spans="2:23" outlineLevel="1">
      <c r="B190" s="2242"/>
      <c r="C190" s="2254" t="s">
        <v>2691</v>
      </c>
      <c r="D190" s="2209">
        <f t="shared" si="37"/>
        <v>4</v>
      </c>
      <c r="E190" s="2312">
        <f>+'[5]입력 시트(0124)'!E202</f>
        <v>0</v>
      </c>
      <c r="F190" s="2312">
        <f>+'[5]입력 시트(0124)'!F202</f>
        <v>0</v>
      </c>
      <c r="G190" s="2312">
        <f>+'[5]입력 시트(0124)'!G202</f>
        <v>0</v>
      </c>
      <c r="H190" s="2312">
        <f>+'[5]입력 시트(0124)'!H202</f>
        <v>0</v>
      </c>
      <c r="I190" s="2312">
        <f>+'[5]입력 시트(0124)'!I202</f>
        <v>0</v>
      </c>
      <c r="J190" s="2312">
        <v>0</v>
      </c>
      <c r="K190" s="2312">
        <v>0</v>
      </c>
      <c r="L190" s="2312">
        <v>0</v>
      </c>
      <c r="M190" s="2312">
        <v>0</v>
      </c>
      <c r="N190" s="2312">
        <v>0</v>
      </c>
      <c r="O190" s="2312">
        <v>0</v>
      </c>
      <c r="R190" s="2312">
        <f>+'[5]입력 시트(0124)'!T202</f>
        <v>0</v>
      </c>
      <c r="S190" s="2312">
        <f>+'[5]입력 시트(0124)'!U202</f>
        <v>0</v>
      </c>
      <c r="T190" s="2312">
        <f>+'[5]입력 시트(0124)'!V202</f>
        <v>0</v>
      </c>
      <c r="U190" s="2312">
        <f>+'[5]입력 시트(0124)'!W202</f>
        <v>0</v>
      </c>
      <c r="V190" s="2312">
        <f>+'[5]입력 시트(0124)'!X202</f>
        <v>0</v>
      </c>
      <c r="W190" s="2312">
        <v>0</v>
      </c>
    </row>
    <row r="191" spans="2:23" outlineLevel="1">
      <c r="B191" s="2242"/>
      <c r="C191" s="2254" t="s">
        <v>2691</v>
      </c>
      <c r="D191" s="2209">
        <f t="shared" si="37"/>
        <v>5</v>
      </c>
      <c r="E191" s="2312">
        <v>0</v>
      </c>
      <c r="F191" s="2312">
        <v>0</v>
      </c>
      <c r="G191" s="2312">
        <v>0</v>
      </c>
      <c r="H191" s="2312">
        <v>0</v>
      </c>
      <c r="I191" s="2312">
        <v>0</v>
      </c>
      <c r="J191" s="2312">
        <v>0</v>
      </c>
      <c r="K191" s="2312">
        <v>0</v>
      </c>
      <c r="L191" s="2312">
        <v>0</v>
      </c>
      <c r="M191" s="2312">
        <v>0</v>
      </c>
      <c r="N191" s="2312">
        <v>0</v>
      </c>
      <c r="O191" s="2312">
        <v>0</v>
      </c>
      <c r="R191" s="2312">
        <v>0</v>
      </c>
      <c r="S191" s="2312">
        <v>0</v>
      </c>
      <c r="T191" s="2312">
        <v>0</v>
      </c>
      <c r="U191" s="2312">
        <v>0</v>
      </c>
      <c r="V191" s="2312">
        <v>0</v>
      </c>
      <c r="W191" s="2312">
        <v>0</v>
      </c>
    </row>
    <row r="192" spans="2:23" outlineLevel="1">
      <c r="B192" s="2242"/>
      <c r="C192" s="2254" t="s">
        <v>2691</v>
      </c>
      <c r="D192" s="2209">
        <f t="shared" si="37"/>
        <v>6</v>
      </c>
      <c r="E192" s="2312">
        <f>+'[5]입력 시트(0124)'!E204</f>
        <v>0</v>
      </c>
      <c r="F192" s="2312">
        <f>+'[5]입력 시트(0124)'!F204</f>
        <v>0</v>
      </c>
      <c r="G192" s="2312">
        <f>+'[5]입력 시트(0124)'!G204</f>
        <v>0</v>
      </c>
      <c r="H192" s="2312">
        <f>+'[5]입력 시트(0124)'!H204</f>
        <v>0</v>
      </c>
      <c r="I192" s="2312">
        <f>+'[5]입력 시트(0124)'!I204</f>
        <v>0</v>
      </c>
      <c r="J192" s="2312">
        <v>0</v>
      </c>
      <c r="K192" s="2312">
        <v>0</v>
      </c>
      <c r="L192" s="2312">
        <v>0</v>
      </c>
      <c r="M192" s="2312">
        <v>0</v>
      </c>
      <c r="N192" s="2312">
        <v>0</v>
      </c>
      <c r="O192" s="2312">
        <v>0</v>
      </c>
      <c r="R192" s="2312">
        <f>+'[5]입력 시트(0124)'!T204</f>
        <v>0</v>
      </c>
      <c r="S192" s="2312">
        <f>+'[5]입력 시트(0124)'!U204</f>
        <v>0</v>
      </c>
      <c r="T192" s="2312">
        <f>+'[5]입력 시트(0124)'!V204</f>
        <v>0</v>
      </c>
      <c r="U192" s="2312">
        <f>+'[5]입력 시트(0124)'!W204</f>
        <v>0</v>
      </c>
      <c r="V192" s="2312">
        <f>+'[5]입력 시트(0124)'!X204</f>
        <v>0</v>
      </c>
      <c r="W192" s="2312">
        <v>0</v>
      </c>
    </row>
    <row r="193" spans="2:23" outlineLevel="1">
      <c r="B193" s="2242"/>
      <c r="C193" s="2254" t="s">
        <v>2691</v>
      </c>
      <c r="D193" s="2209">
        <f t="shared" si="37"/>
        <v>7</v>
      </c>
      <c r="E193" s="2312">
        <f>+'[5]입력 시트(0124)'!E205</f>
        <v>0</v>
      </c>
      <c r="F193" s="2312">
        <f>+'[5]입력 시트(0124)'!F205</f>
        <v>0</v>
      </c>
      <c r="G193" s="2312">
        <f>+'[5]입력 시트(0124)'!G205</f>
        <v>0</v>
      </c>
      <c r="H193" s="2312">
        <f>+'[5]입력 시트(0124)'!H205</f>
        <v>0</v>
      </c>
      <c r="I193" s="2312">
        <f>+'[5]입력 시트(0124)'!I205</f>
        <v>0</v>
      </c>
      <c r="J193" s="2312">
        <v>0</v>
      </c>
      <c r="K193" s="2312">
        <v>0</v>
      </c>
      <c r="L193" s="2312">
        <v>0</v>
      </c>
      <c r="M193" s="2312">
        <v>0</v>
      </c>
      <c r="N193" s="2312">
        <v>0</v>
      </c>
      <c r="O193" s="2312">
        <v>0</v>
      </c>
      <c r="R193" s="2312">
        <f>+'[5]입력 시트(0124)'!T205</f>
        <v>0</v>
      </c>
      <c r="S193" s="2312">
        <f>+'[5]입력 시트(0124)'!U205</f>
        <v>0</v>
      </c>
      <c r="T193" s="2312">
        <f>+'[5]입력 시트(0124)'!V205</f>
        <v>0</v>
      </c>
      <c r="U193" s="2312">
        <f>+'[5]입력 시트(0124)'!W205</f>
        <v>0</v>
      </c>
      <c r="V193" s="2312">
        <f>+'[5]입력 시트(0124)'!X205</f>
        <v>0</v>
      </c>
      <c r="W193" s="2312">
        <v>0</v>
      </c>
    </row>
    <row r="194" spans="2:23" outlineLevel="1">
      <c r="B194" s="2242"/>
      <c r="C194" s="2254" t="s">
        <v>2691</v>
      </c>
      <c r="D194" s="2209">
        <f t="shared" si="37"/>
        <v>8</v>
      </c>
      <c r="E194" s="2312">
        <f>+'[5]입력 시트(0124)'!E206</f>
        <v>0</v>
      </c>
      <c r="F194" s="2312">
        <f>+'[5]입력 시트(0124)'!F206</f>
        <v>0</v>
      </c>
      <c r="G194" s="2312">
        <f>+'[5]입력 시트(0124)'!G206</f>
        <v>0</v>
      </c>
      <c r="H194" s="2312">
        <f>+'[5]입력 시트(0124)'!H206</f>
        <v>0</v>
      </c>
      <c r="I194" s="2312">
        <f>+'[5]입력 시트(0124)'!I206</f>
        <v>0</v>
      </c>
      <c r="J194" s="2312">
        <v>0</v>
      </c>
      <c r="K194" s="2312">
        <v>0</v>
      </c>
      <c r="L194" s="2312">
        <v>0</v>
      </c>
      <c r="M194" s="2312">
        <v>0</v>
      </c>
      <c r="N194" s="2312">
        <v>0</v>
      </c>
      <c r="O194" s="2312">
        <v>0</v>
      </c>
      <c r="R194" s="2312">
        <f>+'[5]입력 시트(0124)'!T206</f>
        <v>0</v>
      </c>
      <c r="S194" s="2312">
        <f>+'[5]입력 시트(0124)'!U206</f>
        <v>0</v>
      </c>
      <c r="T194" s="2312">
        <f>+'[5]입력 시트(0124)'!V206</f>
        <v>0</v>
      </c>
      <c r="U194" s="2312">
        <f>+'[5]입력 시트(0124)'!W206</f>
        <v>0</v>
      </c>
      <c r="V194" s="2312">
        <f>+'[5]입력 시트(0124)'!X206</f>
        <v>0</v>
      </c>
      <c r="W194" s="2312">
        <v>0</v>
      </c>
    </row>
    <row r="195" spans="2:23" outlineLevel="1">
      <c r="B195" s="2242"/>
      <c r="C195" s="2254" t="s">
        <v>2691</v>
      </c>
      <c r="D195" s="2209">
        <f t="shared" si="37"/>
        <v>9</v>
      </c>
      <c r="E195" s="2312">
        <f>+'[5]입력 시트(0124)'!E207</f>
        <v>0</v>
      </c>
      <c r="F195" s="2312">
        <f>+'[5]입력 시트(0124)'!F207</f>
        <v>0</v>
      </c>
      <c r="G195" s="2312">
        <f>+'[5]입력 시트(0124)'!G207</f>
        <v>0</v>
      </c>
      <c r="H195" s="2312">
        <f>+'[5]입력 시트(0124)'!H207</f>
        <v>0</v>
      </c>
      <c r="I195" s="2312">
        <f>+'[5]입력 시트(0124)'!I207</f>
        <v>0</v>
      </c>
      <c r="J195" s="2312">
        <v>0</v>
      </c>
      <c r="K195" s="2312">
        <v>0</v>
      </c>
      <c r="L195" s="2312">
        <v>0</v>
      </c>
      <c r="M195" s="2312">
        <v>0</v>
      </c>
      <c r="N195" s="2312">
        <v>0</v>
      </c>
      <c r="O195" s="2312">
        <v>0</v>
      </c>
      <c r="R195" s="2312">
        <f>+'[5]입력 시트(0124)'!T207</f>
        <v>0</v>
      </c>
      <c r="S195" s="2312">
        <f>+'[5]입력 시트(0124)'!U207</f>
        <v>0</v>
      </c>
      <c r="T195" s="2312">
        <f>+'[5]입력 시트(0124)'!V207</f>
        <v>0</v>
      </c>
      <c r="U195" s="2312">
        <f>+'[5]입력 시트(0124)'!W207</f>
        <v>0</v>
      </c>
      <c r="V195" s="2312">
        <f>+'[5]입력 시트(0124)'!X207</f>
        <v>0</v>
      </c>
      <c r="W195" s="2312">
        <v>0</v>
      </c>
    </row>
    <row r="196" spans="2:23" outlineLevel="1">
      <c r="B196" s="2242"/>
      <c r="C196" s="2254" t="s">
        <v>2691</v>
      </c>
      <c r="D196" s="2209">
        <f t="shared" si="37"/>
        <v>10</v>
      </c>
      <c r="E196" s="2312">
        <f>+'[5]입력 시트(0124)'!E208</f>
        <v>0</v>
      </c>
      <c r="F196" s="2312">
        <f>+'[5]입력 시트(0124)'!F208</f>
        <v>0</v>
      </c>
      <c r="G196" s="2312">
        <f>+'[5]입력 시트(0124)'!G208</f>
        <v>0</v>
      </c>
      <c r="H196" s="2312">
        <f>+'[5]입력 시트(0124)'!H208</f>
        <v>0</v>
      </c>
      <c r="I196" s="2312">
        <f>+'[5]입력 시트(0124)'!I208</f>
        <v>0</v>
      </c>
      <c r="J196" s="2312">
        <v>0</v>
      </c>
      <c r="K196" s="2312">
        <v>0</v>
      </c>
      <c r="L196" s="2312">
        <v>0</v>
      </c>
      <c r="M196" s="2312">
        <v>0</v>
      </c>
      <c r="N196" s="2312">
        <v>0</v>
      </c>
      <c r="O196" s="2312">
        <v>0</v>
      </c>
      <c r="R196" s="2312">
        <f>+'[5]입력 시트(0124)'!T208</f>
        <v>0</v>
      </c>
      <c r="S196" s="2312">
        <f>+'[5]입력 시트(0124)'!U208</f>
        <v>0</v>
      </c>
      <c r="T196" s="2312">
        <f>+'[5]입력 시트(0124)'!V208</f>
        <v>0</v>
      </c>
      <c r="U196" s="2312">
        <f>+'[5]입력 시트(0124)'!W208</f>
        <v>0</v>
      </c>
      <c r="V196" s="2312">
        <f>+'[5]입력 시트(0124)'!X208</f>
        <v>0</v>
      </c>
      <c r="W196" s="2312">
        <v>0</v>
      </c>
    </row>
    <row r="197" spans="2:23" outlineLevel="1">
      <c r="B197" s="2242" t="s">
        <v>2721</v>
      </c>
      <c r="C197" s="2317"/>
      <c r="E197" s="2313"/>
      <c r="F197" s="2313"/>
      <c r="G197" s="2313"/>
      <c r="H197" s="2313"/>
      <c r="I197" s="2313"/>
      <c r="J197" s="2313"/>
      <c r="K197" s="2313"/>
      <c r="L197" s="2313"/>
      <c r="M197" s="2313"/>
      <c r="N197" s="2313"/>
      <c r="O197" s="2313"/>
      <c r="R197" s="2313"/>
      <c r="S197" s="2313"/>
      <c r="T197" s="2313"/>
      <c r="U197" s="2313"/>
      <c r="V197" s="2313"/>
      <c r="W197" s="2313"/>
    </row>
    <row r="198" spans="2:23" outlineLevel="1">
      <c r="R198" s="2269"/>
      <c r="S198" s="2269"/>
      <c r="T198" s="2269"/>
      <c r="U198" s="2269"/>
      <c r="V198" s="2269"/>
      <c r="W198" s="2269"/>
    </row>
    <row r="199" spans="2:23" outlineLevel="1">
      <c r="B199" s="2227" t="s">
        <v>2757</v>
      </c>
      <c r="D199" s="2270"/>
      <c r="E199" s="2271"/>
      <c r="F199" s="2271"/>
      <c r="G199" s="2271"/>
      <c r="H199" s="2271"/>
      <c r="I199" s="2271"/>
      <c r="J199" s="2271"/>
      <c r="K199" s="2271"/>
      <c r="L199" s="2271"/>
      <c r="M199" s="2271"/>
      <c r="N199" s="2271"/>
      <c r="O199" s="2271"/>
      <c r="R199" s="2272"/>
      <c r="S199" s="2272"/>
      <c r="T199" s="2272"/>
      <c r="U199" s="2272"/>
      <c r="V199" s="2272"/>
      <c r="W199" s="2272"/>
    </row>
    <row r="200" spans="2:23" ht="16.5" customHeight="1" outlineLevel="1">
      <c r="B200" s="2242" t="s">
        <v>2665</v>
      </c>
      <c r="C200" s="2314"/>
      <c r="D200" s="2315"/>
      <c r="E200" s="2221"/>
      <c r="F200" s="2221"/>
      <c r="G200" s="2221"/>
      <c r="H200" s="2221"/>
      <c r="I200" s="2221"/>
      <c r="J200" s="2221"/>
      <c r="K200" s="2221"/>
      <c r="L200" s="2221"/>
      <c r="M200" s="2221"/>
      <c r="N200" s="2221"/>
      <c r="O200" s="2221"/>
      <c r="R200" s="2221"/>
      <c r="S200" s="2221"/>
      <c r="T200" s="2221"/>
      <c r="U200" s="2221"/>
      <c r="V200" s="2221"/>
      <c r="W200" s="2221"/>
    </row>
    <row r="201" spans="2:23" outlineLevel="1">
      <c r="B201" s="2242" t="s">
        <v>2708</v>
      </c>
      <c r="D201" s="2263" t="s">
        <v>2755</v>
      </c>
      <c r="E201" s="2264">
        <f>+'Input 기초'!F32</f>
        <v>38572800</v>
      </c>
      <c r="F201" s="2264">
        <f>+'Input 기초'!G32</f>
        <v>27932800</v>
      </c>
      <c r="G201" s="2264">
        <f>+'Input 기초'!H32</f>
        <v>34997200</v>
      </c>
      <c r="H201" s="2264">
        <f>+'Input 기초'!I32</f>
        <v>34997200</v>
      </c>
      <c r="I201" s="2264">
        <f>+'Input 기초'!J32</f>
        <v>10474799.999999998</v>
      </c>
      <c r="J201" s="2264">
        <f>+'Input 기초'!K32</f>
        <v>20949599.999999996</v>
      </c>
      <c r="K201" s="2264">
        <f>+'Input 기초'!L32</f>
        <v>43243200</v>
      </c>
      <c r="L201" s="2264">
        <f>+'Input 기초'!M32</f>
        <v>39547200</v>
      </c>
      <c r="M201" s="2264">
        <f>+'Input 기초'!N32</f>
        <v>44444400</v>
      </c>
      <c r="N201" s="2264">
        <f>+'Input 기초'!O32</f>
        <v>43797600</v>
      </c>
      <c r="O201" s="2294"/>
      <c r="R201" s="2294" t="e">
        <f>+'Input 기초'!#REF!</f>
        <v>#REF!</v>
      </c>
      <c r="S201" s="2294" t="e">
        <f>+'Input 기초'!#REF!</f>
        <v>#REF!</v>
      </c>
      <c r="T201" s="2294" t="e">
        <f>+'Input 기초'!#REF!</f>
        <v>#REF!</v>
      </c>
      <c r="U201" s="2294" t="e">
        <f>+'Input 기초'!#REF!</f>
        <v>#REF!</v>
      </c>
      <c r="V201" s="2294" t="e">
        <f>+'Input 기초'!#REF!</f>
        <v>#REF!</v>
      </c>
      <c r="W201" s="2294" t="e">
        <f>+'Input 기초'!#REF!</f>
        <v>#REF!</v>
      </c>
    </row>
    <row r="202" spans="2:23" ht="16.5" customHeight="1" outlineLevel="1">
      <c r="B202" s="2242" t="s">
        <v>2724</v>
      </c>
      <c r="D202" s="2212" t="s">
        <v>2713</v>
      </c>
      <c r="E202" s="2318" t="s">
        <v>2758</v>
      </c>
      <c r="F202" s="2318" t="s">
        <v>2758</v>
      </c>
      <c r="G202" s="2318" t="s">
        <v>2758</v>
      </c>
      <c r="H202" s="2318" t="s">
        <v>2758</v>
      </c>
      <c r="I202" s="2318" t="s">
        <v>2758</v>
      </c>
      <c r="J202" s="2318" t="s">
        <v>2758</v>
      </c>
      <c r="K202" s="2318" t="s">
        <v>2758</v>
      </c>
      <c r="L202" s="2318" t="s">
        <v>2758</v>
      </c>
      <c r="M202" s="2318" t="s">
        <v>2758</v>
      </c>
      <c r="N202" s="2318" t="s">
        <v>2758</v>
      </c>
      <c r="O202" s="2318" t="s">
        <v>2758</v>
      </c>
      <c r="R202" s="2319" t="s">
        <v>2758</v>
      </c>
      <c r="S202" s="2319" t="s">
        <v>2758</v>
      </c>
      <c r="T202" s="2319" t="s">
        <v>2758</v>
      </c>
      <c r="U202" s="2319" t="s">
        <v>2758</v>
      </c>
      <c r="V202" s="2319" t="s">
        <v>2758</v>
      </c>
      <c r="W202" s="2319" t="s">
        <v>2758</v>
      </c>
    </row>
    <row r="203" spans="2:23" ht="16.5" customHeight="1" outlineLevel="1">
      <c r="B203" s="2242" t="s">
        <v>2725</v>
      </c>
      <c r="D203" s="2212" t="s">
        <v>2715</v>
      </c>
      <c r="E203" s="2310">
        <f t="shared" ref="E203:O203" si="38">E18</f>
        <v>46204</v>
      </c>
      <c r="F203" s="2310">
        <f t="shared" si="38"/>
        <v>46204</v>
      </c>
      <c r="G203" s="2310">
        <f t="shared" si="38"/>
        <v>46204</v>
      </c>
      <c r="H203" s="2310">
        <f t="shared" si="38"/>
        <v>46204</v>
      </c>
      <c r="I203" s="2310">
        <f t="shared" si="38"/>
        <v>46204</v>
      </c>
      <c r="J203" s="2310">
        <f t="shared" si="38"/>
        <v>46204</v>
      </c>
      <c r="K203" s="2310">
        <f t="shared" si="38"/>
        <v>46327</v>
      </c>
      <c r="L203" s="2310">
        <f t="shared" si="38"/>
        <v>46327</v>
      </c>
      <c r="M203" s="2310">
        <f t="shared" si="38"/>
        <v>46327</v>
      </c>
      <c r="N203" s="2310">
        <f t="shared" si="38"/>
        <v>46327</v>
      </c>
      <c r="O203" s="2310">
        <f t="shared" si="38"/>
        <v>0</v>
      </c>
      <c r="R203" s="2310">
        <f t="shared" ref="R203:W203" si="39">R18</f>
        <v>46053</v>
      </c>
      <c r="S203" s="2310">
        <f t="shared" si="39"/>
        <v>46022</v>
      </c>
      <c r="T203" s="2310">
        <f t="shared" si="39"/>
        <v>46022</v>
      </c>
      <c r="U203" s="2310">
        <f t="shared" si="39"/>
        <v>46022</v>
      </c>
      <c r="V203" s="2310">
        <f t="shared" si="39"/>
        <v>46022</v>
      </c>
      <c r="W203" s="2310">
        <f t="shared" si="39"/>
        <v>46053</v>
      </c>
    </row>
    <row r="204" spans="2:23" ht="16.5" customHeight="1" outlineLevel="1">
      <c r="B204" s="2242" t="s">
        <v>2717</v>
      </c>
      <c r="D204" s="2212" t="s">
        <v>2691</v>
      </c>
      <c r="E204" s="2311"/>
      <c r="F204" s="2311"/>
      <c r="G204" s="2311"/>
      <c r="H204" s="2311"/>
      <c r="I204" s="2311"/>
      <c r="J204" s="2311"/>
      <c r="K204" s="2311"/>
      <c r="L204" s="2311"/>
      <c r="M204" s="2311"/>
      <c r="N204" s="2311"/>
      <c r="O204" s="2311"/>
      <c r="R204" s="2311"/>
      <c r="S204" s="2311"/>
      <c r="T204" s="2311"/>
      <c r="U204" s="2311"/>
      <c r="V204" s="2311"/>
      <c r="W204" s="2311"/>
    </row>
    <row r="205" spans="2:23" outlineLevel="1">
      <c r="B205" s="2242" t="s">
        <v>2751</v>
      </c>
      <c r="C205" s="2254" t="s">
        <v>2752</v>
      </c>
      <c r="D205" s="2209">
        <v>1</v>
      </c>
      <c r="E205" s="2312">
        <v>1</v>
      </c>
      <c r="F205" s="2312">
        <v>1</v>
      </c>
      <c r="G205" s="2312">
        <v>1</v>
      </c>
      <c r="H205" s="2312">
        <v>1</v>
      </c>
      <c r="I205" s="2312">
        <v>1</v>
      </c>
      <c r="J205" s="2312">
        <v>1</v>
      </c>
      <c r="K205" s="2312">
        <v>1</v>
      </c>
      <c r="L205" s="2312">
        <v>1</v>
      </c>
      <c r="M205" s="2312">
        <v>1</v>
      </c>
      <c r="N205" s="2312">
        <v>1</v>
      </c>
      <c r="O205" s="2312">
        <v>1</v>
      </c>
      <c r="R205" s="2312">
        <v>1</v>
      </c>
      <c r="S205" s="2312">
        <v>1</v>
      </c>
      <c r="T205" s="2312">
        <v>1</v>
      </c>
      <c r="U205" s="2312">
        <v>1</v>
      </c>
      <c r="V205" s="2312">
        <v>1</v>
      </c>
      <c r="W205" s="2312">
        <v>1</v>
      </c>
    </row>
    <row r="206" spans="2:23" outlineLevel="1">
      <c r="B206" s="2242"/>
      <c r="C206" s="2254" t="s">
        <v>2691</v>
      </c>
      <c r="D206" s="2209">
        <f t="shared" ref="D206:D214" si="40">+D205+1</f>
        <v>2</v>
      </c>
      <c r="E206" s="2312">
        <f>+'[5]입력 시트(0124)'!E232</f>
        <v>0</v>
      </c>
      <c r="F206" s="2312">
        <f>+'[5]입력 시트(0124)'!F232</f>
        <v>0</v>
      </c>
      <c r="G206" s="2312">
        <f>+'[5]입력 시트(0124)'!G232</f>
        <v>0</v>
      </c>
      <c r="H206" s="2312">
        <f>+'[5]입력 시트(0124)'!H232</f>
        <v>0</v>
      </c>
      <c r="I206" s="2312">
        <f>+'[5]입력 시트(0124)'!I232</f>
        <v>0</v>
      </c>
      <c r="J206" s="2312">
        <v>0</v>
      </c>
      <c r="K206" s="2312">
        <v>0</v>
      </c>
      <c r="L206" s="2312">
        <v>0</v>
      </c>
      <c r="M206" s="2312">
        <v>0</v>
      </c>
      <c r="N206" s="2312">
        <v>0</v>
      </c>
      <c r="O206" s="2312">
        <v>0</v>
      </c>
      <c r="R206" s="2312">
        <f>+'[5]입력 시트(0124)'!T232</f>
        <v>0</v>
      </c>
      <c r="S206" s="2312">
        <f>+'[5]입력 시트(0124)'!U232</f>
        <v>0</v>
      </c>
      <c r="T206" s="2312">
        <f>+'[5]입력 시트(0124)'!V232</f>
        <v>0</v>
      </c>
      <c r="U206" s="2312">
        <f>+'[5]입력 시트(0124)'!W232</f>
        <v>0</v>
      </c>
      <c r="V206" s="2312">
        <f>+'[5]입력 시트(0124)'!X232</f>
        <v>0</v>
      </c>
      <c r="W206" s="2312">
        <v>0</v>
      </c>
    </row>
    <row r="207" spans="2:23" outlineLevel="1">
      <c r="B207" s="2242"/>
      <c r="C207" s="2254" t="s">
        <v>2691</v>
      </c>
      <c r="D207" s="2209">
        <f t="shared" si="40"/>
        <v>3</v>
      </c>
      <c r="E207" s="2312">
        <f>+'[5]입력 시트(0124)'!E233</f>
        <v>0</v>
      </c>
      <c r="F207" s="2312">
        <f>+'[5]입력 시트(0124)'!F233</f>
        <v>0</v>
      </c>
      <c r="G207" s="2312">
        <f>+'[5]입력 시트(0124)'!G233</f>
        <v>0</v>
      </c>
      <c r="H207" s="2312">
        <f>+'[5]입력 시트(0124)'!H233</f>
        <v>0</v>
      </c>
      <c r="I207" s="2312">
        <f>+'[5]입력 시트(0124)'!I233</f>
        <v>0</v>
      </c>
      <c r="J207" s="2312">
        <v>0</v>
      </c>
      <c r="K207" s="2312">
        <v>0</v>
      </c>
      <c r="L207" s="2312">
        <v>0</v>
      </c>
      <c r="M207" s="2312">
        <v>0</v>
      </c>
      <c r="N207" s="2312">
        <v>0</v>
      </c>
      <c r="O207" s="2312">
        <v>0</v>
      </c>
      <c r="R207" s="2312">
        <f>+'[5]입력 시트(0124)'!T233</f>
        <v>0</v>
      </c>
      <c r="S207" s="2312">
        <f>+'[5]입력 시트(0124)'!U233</f>
        <v>0</v>
      </c>
      <c r="T207" s="2312">
        <f>+'[5]입력 시트(0124)'!V233</f>
        <v>0</v>
      </c>
      <c r="U207" s="2312">
        <f>+'[5]입력 시트(0124)'!W233</f>
        <v>0</v>
      </c>
      <c r="V207" s="2312">
        <f>+'[5]입력 시트(0124)'!X233</f>
        <v>0</v>
      </c>
      <c r="W207" s="2312">
        <v>0</v>
      </c>
    </row>
    <row r="208" spans="2:23" outlineLevel="1">
      <c r="B208" s="2242"/>
      <c r="C208" s="2254" t="s">
        <v>2691</v>
      </c>
      <c r="D208" s="2209">
        <f t="shared" si="40"/>
        <v>4</v>
      </c>
      <c r="E208" s="2312">
        <f>+'[5]입력 시트(0124)'!E234</f>
        <v>0</v>
      </c>
      <c r="F208" s="2312">
        <f>+'[5]입력 시트(0124)'!F234</f>
        <v>0</v>
      </c>
      <c r="G208" s="2312">
        <f>+'[5]입력 시트(0124)'!G234</f>
        <v>0</v>
      </c>
      <c r="H208" s="2312">
        <f>+'[5]입력 시트(0124)'!H234</f>
        <v>0</v>
      </c>
      <c r="I208" s="2312">
        <f>+'[5]입력 시트(0124)'!I234</f>
        <v>0</v>
      </c>
      <c r="J208" s="2312">
        <v>0</v>
      </c>
      <c r="K208" s="2312">
        <v>0</v>
      </c>
      <c r="L208" s="2312">
        <v>0</v>
      </c>
      <c r="M208" s="2312">
        <v>0</v>
      </c>
      <c r="N208" s="2312">
        <v>0</v>
      </c>
      <c r="O208" s="2312">
        <v>0</v>
      </c>
      <c r="R208" s="2312">
        <f>+'[5]입력 시트(0124)'!T234</f>
        <v>0</v>
      </c>
      <c r="S208" s="2312">
        <f>+'[5]입력 시트(0124)'!U234</f>
        <v>0</v>
      </c>
      <c r="T208" s="2312">
        <f>+'[5]입력 시트(0124)'!V234</f>
        <v>0</v>
      </c>
      <c r="U208" s="2312">
        <f>+'[5]입력 시트(0124)'!W234</f>
        <v>0</v>
      </c>
      <c r="V208" s="2312">
        <f>+'[5]입력 시트(0124)'!X234</f>
        <v>0</v>
      </c>
      <c r="W208" s="2312">
        <v>0</v>
      </c>
    </row>
    <row r="209" spans="2:23" outlineLevel="1">
      <c r="B209" s="2242"/>
      <c r="C209" s="2254" t="s">
        <v>2691</v>
      </c>
      <c r="D209" s="2209">
        <f t="shared" si="40"/>
        <v>5</v>
      </c>
      <c r="E209" s="2312">
        <f>+'[5]입력 시트(0124)'!E235</f>
        <v>0</v>
      </c>
      <c r="F209" s="2312">
        <f>+'[5]입력 시트(0124)'!F235</f>
        <v>0</v>
      </c>
      <c r="G209" s="2312">
        <f>+'[5]입력 시트(0124)'!G235</f>
        <v>0</v>
      </c>
      <c r="H209" s="2312">
        <f>+'[5]입력 시트(0124)'!H235</f>
        <v>0</v>
      </c>
      <c r="I209" s="2312">
        <f>+'[5]입력 시트(0124)'!I235</f>
        <v>0</v>
      </c>
      <c r="J209" s="2312">
        <v>0</v>
      </c>
      <c r="K209" s="2312">
        <v>0</v>
      </c>
      <c r="L209" s="2312">
        <v>0</v>
      </c>
      <c r="M209" s="2312">
        <v>0</v>
      </c>
      <c r="N209" s="2312">
        <v>0</v>
      </c>
      <c r="O209" s="2312">
        <v>0</v>
      </c>
      <c r="R209" s="2312">
        <f>+'[5]입력 시트(0124)'!T235</f>
        <v>0</v>
      </c>
      <c r="S209" s="2312">
        <f>+'[5]입력 시트(0124)'!U235</f>
        <v>0</v>
      </c>
      <c r="T209" s="2312">
        <f>+'[5]입력 시트(0124)'!V235</f>
        <v>0</v>
      </c>
      <c r="U209" s="2312">
        <f>+'[5]입력 시트(0124)'!W235</f>
        <v>0</v>
      </c>
      <c r="V209" s="2312">
        <f>+'[5]입력 시트(0124)'!X235</f>
        <v>0</v>
      </c>
      <c r="W209" s="2312">
        <v>0</v>
      </c>
    </row>
    <row r="210" spans="2:23" outlineLevel="1">
      <c r="B210" s="2242"/>
      <c r="C210" s="2254" t="s">
        <v>2691</v>
      </c>
      <c r="D210" s="2209">
        <f t="shared" si="40"/>
        <v>6</v>
      </c>
      <c r="E210" s="2312">
        <f>+'[5]입력 시트(0124)'!E236</f>
        <v>0</v>
      </c>
      <c r="F210" s="2312">
        <f>+'[5]입력 시트(0124)'!F236</f>
        <v>0</v>
      </c>
      <c r="G210" s="2312">
        <f>+'[5]입력 시트(0124)'!G236</f>
        <v>0</v>
      </c>
      <c r="H210" s="2312">
        <f>+'[5]입력 시트(0124)'!H236</f>
        <v>0</v>
      </c>
      <c r="I210" s="2312">
        <f>+'[5]입력 시트(0124)'!I236</f>
        <v>0</v>
      </c>
      <c r="J210" s="2312">
        <v>0</v>
      </c>
      <c r="K210" s="2312">
        <v>0</v>
      </c>
      <c r="L210" s="2312">
        <v>0</v>
      </c>
      <c r="M210" s="2312">
        <v>0</v>
      </c>
      <c r="N210" s="2312">
        <v>0</v>
      </c>
      <c r="O210" s="2312">
        <v>0</v>
      </c>
      <c r="R210" s="2312">
        <f>+'[5]입력 시트(0124)'!T236</f>
        <v>0</v>
      </c>
      <c r="S210" s="2312">
        <f>+'[5]입력 시트(0124)'!U236</f>
        <v>0</v>
      </c>
      <c r="T210" s="2312">
        <f>+'[5]입력 시트(0124)'!V236</f>
        <v>0</v>
      </c>
      <c r="U210" s="2312">
        <f>+'[5]입력 시트(0124)'!W236</f>
        <v>0</v>
      </c>
      <c r="V210" s="2312">
        <f>+'[5]입력 시트(0124)'!X236</f>
        <v>0</v>
      </c>
      <c r="W210" s="2312">
        <v>0</v>
      </c>
    </row>
    <row r="211" spans="2:23" outlineLevel="1">
      <c r="B211" s="2242"/>
      <c r="C211" s="2254" t="s">
        <v>2691</v>
      </c>
      <c r="D211" s="2209">
        <f t="shared" si="40"/>
        <v>7</v>
      </c>
      <c r="E211" s="2312">
        <f>+'[5]입력 시트(0124)'!E237</f>
        <v>0</v>
      </c>
      <c r="F211" s="2312">
        <f>+'[5]입력 시트(0124)'!F237</f>
        <v>0</v>
      </c>
      <c r="G211" s="2312">
        <f>+'[5]입력 시트(0124)'!G237</f>
        <v>0</v>
      </c>
      <c r="H211" s="2312">
        <f>+'[5]입력 시트(0124)'!H237</f>
        <v>0</v>
      </c>
      <c r="I211" s="2312">
        <f>+'[5]입력 시트(0124)'!I237</f>
        <v>0</v>
      </c>
      <c r="J211" s="2312">
        <v>0</v>
      </c>
      <c r="K211" s="2312">
        <v>0</v>
      </c>
      <c r="L211" s="2312">
        <v>0</v>
      </c>
      <c r="M211" s="2312">
        <v>0</v>
      </c>
      <c r="N211" s="2312">
        <v>0</v>
      </c>
      <c r="O211" s="2312">
        <v>0</v>
      </c>
      <c r="R211" s="2312">
        <f>+'[5]입력 시트(0124)'!T237</f>
        <v>0</v>
      </c>
      <c r="S211" s="2312">
        <f>+'[5]입력 시트(0124)'!U237</f>
        <v>0</v>
      </c>
      <c r="T211" s="2312">
        <f>+'[5]입력 시트(0124)'!V237</f>
        <v>0</v>
      </c>
      <c r="U211" s="2312">
        <f>+'[5]입력 시트(0124)'!W237</f>
        <v>0</v>
      </c>
      <c r="V211" s="2312">
        <f>+'[5]입력 시트(0124)'!X237</f>
        <v>0</v>
      </c>
      <c r="W211" s="2312">
        <v>0</v>
      </c>
    </row>
    <row r="212" spans="2:23" outlineLevel="1">
      <c r="B212" s="2242"/>
      <c r="C212" s="2254" t="s">
        <v>2691</v>
      </c>
      <c r="D212" s="2209">
        <f t="shared" si="40"/>
        <v>8</v>
      </c>
      <c r="E212" s="2312">
        <f>+'[5]입력 시트(0124)'!E238</f>
        <v>0</v>
      </c>
      <c r="F212" s="2312">
        <f>+'[5]입력 시트(0124)'!F238</f>
        <v>0</v>
      </c>
      <c r="G212" s="2312">
        <f>+'[5]입력 시트(0124)'!G238</f>
        <v>0</v>
      </c>
      <c r="H212" s="2312">
        <f>+'[5]입력 시트(0124)'!H238</f>
        <v>0</v>
      </c>
      <c r="I212" s="2312">
        <f>+'[5]입력 시트(0124)'!I238</f>
        <v>0</v>
      </c>
      <c r="J212" s="2312">
        <v>0</v>
      </c>
      <c r="K212" s="2312">
        <v>0</v>
      </c>
      <c r="L212" s="2312">
        <v>0</v>
      </c>
      <c r="M212" s="2312">
        <v>0</v>
      </c>
      <c r="N212" s="2312">
        <v>0</v>
      </c>
      <c r="O212" s="2312">
        <v>0</v>
      </c>
      <c r="R212" s="2312">
        <f>+'[5]입력 시트(0124)'!T238</f>
        <v>0</v>
      </c>
      <c r="S212" s="2312">
        <f>+'[5]입력 시트(0124)'!U238</f>
        <v>0</v>
      </c>
      <c r="T212" s="2312">
        <f>+'[5]입력 시트(0124)'!V238</f>
        <v>0</v>
      </c>
      <c r="U212" s="2312">
        <f>+'[5]입력 시트(0124)'!W238</f>
        <v>0</v>
      </c>
      <c r="V212" s="2312">
        <f>+'[5]입력 시트(0124)'!X238</f>
        <v>0</v>
      </c>
      <c r="W212" s="2312">
        <v>0</v>
      </c>
    </row>
    <row r="213" spans="2:23" outlineLevel="1">
      <c r="B213" s="2242"/>
      <c r="C213" s="2254" t="s">
        <v>2691</v>
      </c>
      <c r="D213" s="2209">
        <f t="shared" si="40"/>
        <v>9</v>
      </c>
      <c r="E213" s="2312">
        <f>+'[5]입력 시트(0124)'!E239</f>
        <v>0</v>
      </c>
      <c r="F213" s="2312">
        <f>+'[5]입력 시트(0124)'!F239</f>
        <v>0</v>
      </c>
      <c r="G213" s="2312">
        <f>+'[5]입력 시트(0124)'!G239</f>
        <v>0</v>
      </c>
      <c r="H213" s="2312">
        <f>+'[5]입력 시트(0124)'!H239</f>
        <v>0</v>
      </c>
      <c r="I213" s="2312">
        <f>+'[5]입력 시트(0124)'!I239</f>
        <v>0</v>
      </c>
      <c r="J213" s="2312">
        <v>0</v>
      </c>
      <c r="K213" s="2312">
        <v>0</v>
      </c>
      <c r="L213" s="2312">
        <v>0</v>
      </c>
      <c r="M213" s="2312">
        <v>0</v>
      </c>
      <c r="N213" s="2312">
        <v>0</v>
      </c>
      <c r="O213" s="2312">
        <v>0</v>
      </c>
      <c r="R213" s="2312">
        <f>+'[5]입력 시트(0124)'!T239</f>
        <v>0</v>
      </c>
      <c r="S213" s="2312">
        <f>+'[5]입력 시트(0124)'!U239</f>
        <v>0</v>
      </c>
      <c r="T213" s="2312">
        <f>+'[5]입력 시트(0124)'!V239</f>
        <v>0</v>
      </c>
      <c r="U213" s="2312">
        <f>+'[5]입력 시트(0124)'!W239</f>
        <v>0</v>
      </c>
      <c r="V213" s="2312">
        <f>+'[5]입력 시트(0124)'!X239</f>
        <v>0</v>
      </c>
      <c r="W213" s="2312">
        <v>0</v>
      </c>
    </row>
    <row r="214" spans="2:23" outlineLevel="1">
      <c r="B214" s="2242"/>
      <c r="C214" s="2254" t="s">
        <v>2691</v>
      </c>
      <c r="D214" s="2209">
        <f t="shared" si="40"/>
        <v>10</v>
      </c>
      <c r="E214" s="2312">
        <f>+'[5]입력 시트(0124)'!E240</f>
        <v>0</v>
      </c>
      <c r="F214" s="2312">
        <f>+'[5]입력 시트(0124)'!F240</f>
        <v>0</v>
      </c>
      <c r="G214" s="2312">
        <f>+'[5]입력 시트(0124)'!G240</f>
        <v>0</v>
      </c>
      <c r="H214" s="2312">
        <f>+'[5]입력 시트(0124)'!H240</f>
        <v>0</v>
      </c>
      <c r="I214" s="2312">
        <f>+'[5]입력 시트(0124)'!I240</f>
        <v>0</v>
      </c>
      <c r="J214" s="2312">
        <v>0</v>
      </c>
      <c r="K214" s="2312">
        <v>0</v>
      </c>
      <c r="L214" s="2312">
        <v>0</v>
      </c>
      <c r="M214" s="2312">
        <v>0</v>
      </c>
      <c r="N214" s="2312">
        <v>0</v>
      </c>
      <c r="O214" s="2312">
        <v>0</v>
      </c>
      <c r="R214" s="2312">
        <f>+'[5]입력 시트(0124)'!T240</f>
        <v>0</v>
      </c>
      <c r="S214" s="2312">
        <f>+'[5]입력 시트(0124)'!U240</f>
        <v>0</v>
      </c>
      <c r="T214" s="2312">
        <f>+'[5]입력 시트(0124)'!V240</f>
        <v>0</v>
      </c>
      <c r="U214" s="2312">
        <f>+'[5]입력 시트(0124)'!W240</f>
        <v>0</v>
      </c>
      <c r="V214" s="2312">
        <f>+'[5]입력 시트(0124)'!X240</f>
        <v>0</v>
      </c>
      <c r="W214" s="2312">
        <v>0</v>
      </c>
    </row>
    <row r="215" spans="2:23" outlineLevel="1">
      <c r="B215" s="2242" t="s">
        <v>2721</v>
      </c>
      <c r="C215" s="2493"/>
      <c r="D215" s="2494"/>
      <c r="E215" s="2313"/>
      <c r="F215" s="2313"/>
      <c r="G215" s="2313"/>
      <c r="H215" s="2313"/>
      <c r="I215" s="2313"/>
      <c r="J215" s="2313"/>
      <c r="K215" s="2313"/>
      <c r="L215" s="2313"/>
      <c r="M215" s="2313"/>
      <c r="N215" s="2313"/>
      <c r="O215" s="2313"/>
      <c r="R215" s="2313"/>
      <c r="S215" s="2313"/>
      <c r="T215" s="2313"/>
      <c r="U215" s="2313"/>
      <c r="V215" s="2313"/>
      <c r="W215" s="2313"/>
    </row>
    <row r="216" spans="2:23" outlineLevel="1">
      <c r="E216" s="2320" t="e">
        <f>+SUM(#REF!)=E219</f>
        <v>#REF!</v>
      </c>
      <c r="F216" s="2320" t="e">
        <f>+SUM(#REF!)=F219</f>
        <v>#REF!</v>
      </c>
      <c r="G216" s="2320" t="e">
        <f>+SUM(#REF!)=G219</f>
        <v>#REF!</v>
      </c>
      <c r="H216" s="2320" t="e">
        <f>+SUM(#REF!)=H219</f>
        <v>#REF!</v>
      </c>
      <c r="I216" s="2320" t="e">
        <f>+SUM(#REF!)=I219</f>
        <v>#REF!</v>
      </c>
      <c r="J216" s="2320" t="e">
        <f>+SUM(#REF!)=J219</f>
        <v>#REF!</v>
      </c>
      <c r="K216" s="2320" t="e">
        <f>+SUM(#REF!)=K219</f>
        <v>#REF!</v>
      </c>
      <c r="L216" s="2320" t="e">
        <f>+SUM(#REF!)=L219</f>
        <v>#REF!</v>
      </c>
      <c r="M216" s="2320" t="e">
        <f>+SUM(#REF!)=M219</f>
        <v>#REF!</v>
      </c>
      <c r="N216" s="2320" t="e">
        <f>+SUM(#REF!)=N219</f>
        <v>#REF!</v>
      </c>
      <c r="O216" s="2320" t="e">
        <f>+SUM(#REF!)=O219</f>
        <v>#REF!</v>
      </c>
      <c r="R216" s="2321" t="e">
        <f>+SUM(#REF!)=R219</f>
        <v>#REF!</v>
      </c>
      <c r="S216" s="2321" t="e">
        <f>+SUM(#REF!)=S219</f>
        <v>#REF!</v>
      </c>
      <c r="T216" s="2321" t="e">
        <f>+SUM(#REF!)=T219</f>
        <v>#REF!</v>
      </c>
      <c r="U216" s="2321" t="e">
        <f>+SUM(#REF!)=U219</f>
        <v>#REF!</v>
      </c>
      <c r="V216" s="2321" t="e">
        <f>+SUM(#REF!)=V219</f>
        <v>#REF!</v>
      </c>
      <c r="W216" s="2321" t="e">
        <f>+SUM(#REF!)=W219</f>
        <v>#REF!</v>
      </c>
    </row>
    <row r="217" spans="2:23" outlineLevel="1">
      <c r="B217" s="2227" t="s">
        <v>2759</v>
      </c>
      <c r="D217" s="2270"/>
      <c r="E217" s="2287" t="b">
        <f t="shared" ref="E217:O217" si="41">620000000*E24=E219</f>
        <v>0</v>
      </c>
      <c r="F217" s="2287" t="b">
        <f t="shared" si="41"/>
        <v>0</v>
      </c>
      <c r="G217" s="2287" t="b">
        <f t="shared" si="41"/>
        <v>0</v>
      </c>
      <c r="H217" s="2287" t="b">
        <f t="shared" si="41"/>
        <v>0</v>
      </c>
      <c r="I217" s="2287" t="b">
        <f t="shared" si="41"/>
        <v>0</v>
      </c>
      <c r="J217" s="2287" t="b">
        <f t="shared" si="41"/>
        <v>0</v>
      </c>
      <c r="K217" s="2287" t="b">
        <f t="shared" si="41"/>
        <v>0</v>
      </c>
      <c r="L217" s="2287" t="b">
        <f t="shared" si="41"/>
        <v>0</v>
      </c>
      <c r="M217" s="2287" t="b">
        <f t="shared" si="41"/>
        <v>0</v>
      </c>
      <c r="N217" s="2287" t="b">
        <f t="shared" si="41"/>
        <v>0</v>
      </c>
      <c r="O217" s="2287" t="b">
        <f t="shared" si="41"/>
        <v>1</v>
      </c>
      <c r="R217" s="2288" t="e">
        <f t="shared" ref="R217:W217" si="42">620000000*R24=R219</f>
        <v>#REF!</v>
      </c>
      <c r="S217" s="2288" t="e">
        <f t="shared" si="42"/>
        <v>#REF!</v>
      </c>
      <c r="T217" s="2288" t="e">
        <f t="shared" si="42"/>
        <v>#REF!</v>
      </c>
      <c r="U217" s="2288" t="e">
        <f t="shared" si="42"/>
        <v>#REF!</v>
      </c>
      <c r="V217" s="2288" t="e">
        <f t="shared" si="42"/>
        <v>#REF!</v>
      </c>
      <c r="W217" s="2288" t="e">
        <f t="shared" si="42"/>
        <v>#REF!</v>
      </c>
    </row>
    <row r="218" spans="2:23" ht="16.5" customHeight="1" outlineLevel="1">
      <c r="B218" s="2242" t="s">
        <v>2665</v>
      </c>
      <c r="C218" s="2314"/>
      <c r="D218" s="2315"/>
      <c r="E218" s="2221"/>
      <c r="F218" s="2221"/>
      <c r="G218" s="2221"/>
      <c r="H218" s="2221"/>
      <c r="I218" s="2221"/>
      <c r="J218" s="2221"/>
      <c r="K218" s="2221"/>
      <c r="L218" s="2221"/>
      <c r="M218" s="2221"/>
      <c r="N218" s="2221"/>
      <c r="O218" s="2221"/>
      <c r="R218" s="2221"/>
      <c r="S218" s="2221"/>
      <c r="T218" s="2221"/>
      <c r="U218" s="2221"/>
      <c r="V218" s="2221"/>
      <c r="W218" s="2221"/>
    </row>
    <row r="219" spans="2:23" outlineLevel="1">
      <c r="B219" s="2242" t="s">
        <v>2708</v>
      </c>
      <c r="D219" s="2263" t="s">
        <v>2755</v>
      </c>
      <c r="E219" s="2264">
        <f>+'Input 기초'!F35</f>
        <v>192864000</v>
      </c>
      <c r="F219" s="2264">
        <f>+'Input 기초'!G35</f>
        <v>139664000</v>
      </c>
      <c r="G219" s="2264">
        <f>+'Input 기초'!H35</f>
        <v>174986000</v>
      </c>
      <c r="H219" s="2264">
        <f>+'Input 기초'!I35</f>
        <v>174986000</v>
      </c>
      <c r="I219" s="2264">
        <f>+'Input 기초'!J35</f>
        <v>52373999.999999993</v>
      </c>
      <c r="J219" s="2264">
        <f>+'Input 기초'!K35</f>
        <v>104747999.99999999</v>
      </c>
      <c r="K219" s="2264">
        <f>+'Input 기초'!L35</f>
        <v>223820970</v>
      </c>
      <c r="L219" s="2264">
        <f>+'Input 기초'!M35</f>
        <v>110418040</v>
      </c>
      <c r="M219" s="2264">
        <f>+'Input 기초'!N35</f>
        <v>108773270</v>
      </c>
      <c r="N219" s="2264">
        <f>+'Input 기초'!O35</f>
        <v>458479720</v>
      </c>
      <c r="O219" s="2294"/>
      <c r="R219" s="2294" t="e">
        <f>+'Input 기초'!#REF!</f>
        <v>#REF!</v>
      </c>
      <c r="S219" s="2294" t="e">
        <f>+'Input 기초'!#REF!</f>
        <v>#REF!</v>
      </c>
      <c r="T219" s="2294" t="e">
        <f>+'Input 기초'!#REF!</f>
        <v>#REF!</v>
      </c>
      <c r="U219" s="2294" t="e">
        <f>+'Input 기초'!#REF!</f>
        <v>#REF!</v>
      </c>
      <c r="V219" s="2294" t="e">
        <f>+'Input 기초'!#REF!</f>
        <v>#REF!</v>
      </c>
      <c r="W219" s="2294" t="e">
        <f>+'Input 기초'!#REF!</f>
        <v>#REF!</v>
      </c>
    </row>
    <row r="220" spans="2:23" ht="16.5" customHeight="1" outlineLevel="1">
      <c r="B220" s="2242" t="s">
        <v>2724</v>
      </c>
      <c r="C220" s="2322"/>
      <c r="D220" s="2212" t="s">
        <v>2713</v>
      </c>
      <c r="E220" s="2309">
        <v>0</v>
      </c>
      <c r="F220" s="2309">
        <v>0</v>
      </c>
      <c r="G220" s="2309">
        <v>0</v>
      </c>
      <c r="H220" s="2309">
        <v>0</v>
      </c>
      <c r="I220" s="2309">
        <v>0</v>
      </c>
      <c r="J220" s="2309">
        <v>0</v>
      </c>
      <c r="K220" s="2309">
        <v>0</v>
      </c>
      <c r="L220" s="2309">
        <v>0</v>
      </c>
      <c r="M220" s="2309">
        <v>0</v>
      </c>
      <c r="N220" s="2309">
        <v>0</v>
      </c>
      <c r="O220" s="2309">
        <v>0</v>
      </c>
      <c r="R220" s="2309">
        <v>0</v>
      </c>
      <c r="S220" s="2309">
        <v>0</v>
      </c>
      <c r="T220" s="2309">
        <v>0</v>
      </c>
      <c r="U220" s="2309">
        <v>0</v>
      </c>
      <c r="V220" s="2309">
        <v>0</v>
      </c>
      <c r="W220" s="2309">
        <v>0</v>
      </c>
    </row>
    <row r="221" spans="2:23" ht="16.5" customHeight="1" outlineLevel="1">
      <c r="B221" s="2242" t="s">
        <v>2725</v>
      </c>
      <c r="D221" s="2212" t="s">
        <v>2715</v>
      </c>
      <c r="E221" s="2310"/>
      <c r="F221" s="2310"/>
      <c r="G221" s="2310"/>
      <c r="H221" s="2310"/>
      <c r="I221" s="2310"/>
      <c r="J221" s="2310"/>
      <c r="K221" s="2310"/>
      <c r="L221" s="2310"/>
      <c r="M221" s="2310"/>
      <c r="N221" s="2310"/>
      <c r="O221" s="2310"/>
      <c r="R221" s="2310"/>
      <c r="S221" s="2310"/>
      <c r="T221" s="2310"/>
      <c r="U221" s="2310"/>
      <c r="V221" s="2310"/>
      <c r="W221" s="2310"/>
    </row>
    <row r="222" spans="2:23" ht="16.5" customHeight="1" outlineLevel="1">
      <c r="B222" s="2242" t="s">
        <v>2717</v>
      </c>
      <c r="D222" s="2212" t="s">
        <v>2691</v>
      </c>
      <c r="E222" s="2311"/>
      <c r="F222" s="2311"/>
      <c r="G222" s="2311"/>
      <c r="H222" s="2311"/>
      <c r="I222" s="2311"/>
      <c r="J222" s="2311"/>
      <c r="K222" s="2311"/>
      <c r="L222" s="2311"/>
      <c r="M222" s="2311"/>
      <c r="N222" s="2311"/>
      <c r="O222" s="2311"/>
      <c r="R222" s="2311"/>
      <c r="S222" s="2311"/>
      <c r="T222" s="2311"/>
      <c r="U222" s="2311"/>
      <c r="V222" s="2311"/>
      <c r="W222" s="2311"/>
    </row>
    <row r="223" spans="2:23" outlineLevel="1">
      <c r="B223" s="2242" t="s">
        <v>2751</v>
      </c>
      <c r="C223" s="2254" t="s">
        <v>2752</v>
      </c>
      <c r="D223" s="2209">
        <v>1</v>
      </c>
      <c r="E223" s="2312">
        <v>0.2</v>
      </c>
      <c r="F223" s="2312">
        <v>0.2</v>
      </c>
      <c r="G223" s="2312">
        <v>0.2</v>
      </c>
      <c r="H223" s="2312">
        <v>0.2</v>
      </c>
      <c r="I223" s="2312">
        <v>0.3</v>
      </c>
      <c r="J223" s="2312">
        <v>0.3</v>
      </c>
      <c r="K223" s="2312">
        <v>0.3</v>
      </c>
      <c r="L223" s="2312">
        <v>0.3</v>
      </c>
      <c r="M223" s="2312">
        <v>0.3</v>
      </c>
      <c r="N223" s="2312">
        <v>0.3</v>
      </c>
      <c r="O223" s="2312">
        <v>0.3</v>
      </c>
      <c r="R223" s="2312">
        <v>0.3</v>
      </c>
      <c r="S223" s="2312">
        <v>0.3</v>
      </c>
      <c r="T223" s="2312">
        <v>0.3</v>
      </c>
      <c r="U223" s="2312">
        <v>0.3</v>
      </c>
      <c r="V223" s="2312">
        <v>0.3</v>
      </c>
      <c r="W223" s="2312">
        <v>0.3</v>
      </c>
    </row>
    <row r="224" spans="2:23" outlineLevel="1">
      <c r="B224" s="2242"/>
      <c r="C224" s="2254" t="s">
        <v>2691</v>
      </c>
      <c r="D224" s="2209">
        <f>+D223+1</f>
        <v>2</v>
      </c>
      <c r="E224" s="2312">
        <f>+'[5]입력 시트(0124)'!E264</f>
        <v>0</v>
      </c>
      <c r="F224" s="2312">
        <f>+'[5]입력 시트(0124)'!F264</f>
        <v>0</v>
      </c>
      <c r="G224" s="2312">
        <f>+'[5]입력 시트(0124)'!G264</f>
        <v>0</v>
      </c>
      <c r="H224" s="2312">
        <f>+'[5]입력 시트(0124)'!H264</f>
        <v>0</v>
      </c>
      <c r="I224" s="2312">
        <f>+'[5]입력 시트(0124)'!I264</f>
        <v>0</v>
      </c>
      <c r="J224" s="2312">
        <v>0</v>
      </c>
      <c r="K224" s="2312">
        <v>0</v>
      </c>
      <c r="L224" s="2312">
        <v>0</v>
      </c>
      <c r="M224" s="2312">
        <v>0</v>
      </c>
      <c r="N224" s="2312">
        <v>0</v>
      </c>
      <c r="O224" s="2312">
        <v>0</v>
      </c>
      <c r="R224" s="2312">
        <f>+'[5]입력 시트(0124)'!T264</f>
        <v>0</v>
      </c>
      <c r="S224" s="2312">
        <f>+'[5]입력 시트(0124)'!U264</f>
        <v>0</v>
      </c>
      <c r="T224" s="2312">
        <f>+'[5]입력 시트(0124)'!V264</f>
        <v>0</v>
      </c>
      <c r="U224" s="2312">
        <f>+'[5]입력 시트(0124)'!W264</f>
        <v>0</v>
      </c>
      <c r="V224" s="2312">
        <f>+'[5]입력 시트(0124)'!X264</f>
        <v>0</v>
      </c>
      <c r="W224" s="2312">
        <v>0</v>
      </c>
    </row>
    <row r="225" spans="2:23" outlineLevel="1">
      <c r="B225" s="2242"/>
      <c r="C225" s="2254" t="s">
        <v>2691</v>
      </c>
      <c r="D225" s="2209">
        <f t="shared" ref="D225:D232" si="43">+D224+1</f>
        <v>3</v>
      </c>
      <c r="E225" s="2312">
        <v>0.2</v>
      </c>
      <c r="F225" s="2312">
        <v>0.2</v>
      </c>
      <c r="G225" s="2312">
        <v>0.2</v>
      </c>
      <c r="H225" s="2312">
        <v>0.2</v>
      </c>
      <c r="I225" s="2312">
        <v>0.1</v>
      </c>
      <c r="J225" s="2312">
        <v>0.1</v>
      </c>
      <c r="K225" s="2312">
        <v>0.1</v>
      </c>
      <c r="L225" s="2312">
        <v>0.1</v>
      </c>
      <c r="M225" s="2312">
        <v>0.1</v>
      </c>
      <c r="N225" s="2312">
        <v>0.1</v>
      </c>
      <c r="O225" s="2312">
        <v>0.1</v>
      </c>
      <c r="R225" s="2312">
        <v>0.1</v>
      </c>
      <c r="S225" s="2312">
        <v>0.1</v>
      </c>
      <c r="T225" s="2312">
        <v>0.1</v>
      </c>
      <c r="U225" s="2312">
        <v>0.1</v>
      </c>
      <c r="V225" s="2312">
        <v>0.1</v>
      </c>
      <c r="W225" s="2312">
        <v>0.1</v>
      </c>
    </row>
    <row r="226" spans="2:23" outlineLevel="1">
      <c r="B226" s="2242"/>
      <c r="C226" s="2254" t="s">
        <v>2691</v>
      </c>
      <c r="D226" s="2209">
        <f t="shared" si="43"/>
        <v>4</v>
      </c>
      <c r="E226" s="2312">
        <v>0.5</v>
      </c>
      <c r="F226" s="2312">
        <v>0.5</v>
      </c>
      <c r="G226" s="2312">
        <v>0.5</v>
      </c>
      <c r="H226" s="2312">
        <v>0.5</v>
      </c>
      <c r="I226" s="2312">
        <v>0.5</v>
      </c>
      <c r="J226" s="2312">
        <v>0.5</v>
      </c>
      <c r="K226" s="2312">
        <v>0.5</v>
      </c>
      <c r="L226" s="2312">
        <v>0.5</v>
      </c>
      <c r="M226" s="2312">
        <v>0.5</v>
      </c>
      <c r="N226" s="2312">
        <v>0.5</v>
      </c>
      <c r="O226" s="2312">
        <v>0.5</v>
      </c>
      <c r="R226" s="2312">
        <v>0.5</v>
      </c>
      <c r="S226" s="2312">
        <v>0.5</v>
      </c>
      <c r="T226" s="2312">
        <v>0.5</v>
      </c>
      <c r="U226" s="2312">
        <v>0.5</v>
      </c>
      <c r="V226" s="2312">
        <v>0.5</v>
      </c>
      <c r="W226" s="2312">
        <v>0.5</v>
      </c>
    </row>
    <row r="227" spans="2:23" outlineLevel="1">
      <c r="B227" s="2242"/>
      <c r="C227" s="2254" t="s">
        <v>2691</v>
      </c>
      <c r="D227" s="2209">
        <f t="shared" si="43"/>
        <v>5</v>
      </c>
      <c r="E227" s="2312">
        <f>+'[5]입력 시트(0124)'!E267</f>
        <v>0</v>
      </c>
      <c r="F227" s="2312">
        <f>+'[5]입력 시트(0124)'!F267</f>
        <v>0</v>
      </c>
      <c r="G227" s="2312">
        <f>+'[5]입력 시트(0124)'!G267</f>
        <v>0</v>
      </c>
      <c r="H227" s="2312">
        <f>+'[5]입력 시트(0124)'!H267</f>
        <v>0</v>
      </c>
      <c r="I227" s="2312">
        <f>+'[5]입력 시트(0124)'!I267</f>
        <v>0</v>
      </c>
      <c r="J227" s="2312">
        <v>0</v>
      </c>
      <c r="K227" s="2312">
        <v>0</v>
      </c>
      <c r="L227" s="2312">
        <v>0</v>
      </c>
      <c r="M227" s="2312">
        <v>0</v>
      </c>
      <c r="N227" s="2312">
        <v>0</v>
      </c>
      <c r="O227" s="2312">
        <v>0</v>
      </c>
      <c r="R227" s="2312">
        <f>+'[5]입력 시트(0124)'!T267</f>
        <v>0</v>
      </c>
      <c r="S227" s="2312">
        <f>+'[5]입력 시트(0124)'!U267</f>
        <v>0</v>
      </c>
      <c r="T227" s="2312">
        <f>+'[5]입력 시트(0124)'!V267</f>
        <v>0</v>
      </c>
      <c r="U227" s="2312">
        <f>+'[5]입력 시트(0124)'!W267</f>
        <v>0</v>
      </c>
      <c r="V227" s="2312">
        <f>+'[5]입력 시트(0124)'!X267</f>
        <v>0</v>
      </c>
      <c r="W227" s="2312">
        <v>0</v>
      </c>
    </row>
    <row r="228" spans="2:23" outlineLevel="1">
      <c r="B228" s="2242"/>
      <c r="C228" s="2254" t="s">
        <v>2691</v>
      </c>
      <c r="D228" s="2209">
        <f t="shared" si="43"/>
        <v>6</v>
      </c>
      <c r="E228" s="2312">
        <v>0</v>
      </c>
      <c r="F228" s="2312">
        <v>0</v>
      </c>
      <c r="G228" s="2312">
        <v>0</v>
      </c>
      <c r="H228" s="2312">
        <v>0</v>
      </c>
      <c r="I228" s="2312">
        <v>0</v>
      </c>
      <c r="J228" s="2312">
        <v>0</v>
      </c>
      <c r="K228" s="2312">
        <v>0</v>
      </c>
      <c r="L228" s="2312">
        <v>0</v>
      </c>
      <c r="M228" s="2312">
        <v>0</v>
      </c>
      <c r="N228" s="2312">
        <v>0</v>
      </c>
      <c r="O228" s="2312">
        <v>0</v>
      </c>
      <c r="R228" s="2312">
        <v>0</v>
      </c>
      <c r="S228" s="2312">
        <v>0</v>
      </c>
      <c r="T228" s="2312">
        <v>0</v>
      </c>
      <c r="U228" s="2312">
        <v>0</v>
      </c>
      <c r="V228" s="2312">
        <v>0</v>
      </c>
      <c r="W228" s="2312">
        <v>0</v>
      </c>
    </row>
    <row r="229" spans="2:23" outlineLevel="1">
      <c r="B229" s="2242"/>
      <c r="C229" s="2254" t="s">
        <v>2691</v>
      </c>
      <c r="D229" s="2209">
        <f t="shared" si="43"/>
        <v>7</v>
      </c>
      <c r="E229" s="2312">
        <v>0.1</v>
      </c>
      <c r="F229" s="2312">
        <v>0.1</v>
      </c>
      <c r="G229" s="2312">
        <v>0.1</v>
      </c>
      <c r="H229" s="2312">
        <v>0.1</v>
      </c>
      <c r="I229" s="2312">
        <v>0.1</v>
      </c>
      <c r="J229" s="2312">
        <v>0.1</v>
      </c>
      <c r="K229" s="2312">
        <v>0.1</v>
      </c>
      <c r="L229" s="2312">
        <v>0.1</v>
      </c>
      <c r="M229" s="2312">
        <v>0.1</v>
      </c>
      <c r="N229" s="2312">
        <v>0.1</v>
      </c>
      <c r="O229" s="2312">
        <v>0</v>
      </c>
      <c r="R229" s="2312">
        <f>+'[5]입력 시트(0124)'!T269</f>
        <v>0</v>
      </c>
      <c r="S229" s="2312">
        <f>+'[5]입력 시트(0124)'!U269</f>
        <v>0</v>
      </c>
      <c r="T229" s="2312">
        <f>+'[5]입력 시트(0124)'!V269</f>
        <v>0</v>
      </c>
      <c r="U229" s="2312">
        <f>+'[5]입력 시트(0124)'!W269</f>
        <v>0</v>
      </c>
      <c r="V229" s="2312">
        <f>+'[5]입력 시트(0124)'!X269</f>
        <v>0</v>
      </c>
      <c r="W229" s="2312">
        <v>0</v>
      </c>
    </row>
    <row r="230" spans="2:23" outlineLevel="1">
      <c r="B230" s="2242"/>
      <c r="C230" s="2254" t="s">
        <v>2691</v>
      </c>
      <c r="D230" s="2209">
        <f t="shared" si="43"/>
        <v>8</v>
      </c>
      <c r="E230" s="2312">
        <v>0</v>
      </c>
      <c r="F230" s="2312">
        <v>0</v>
      </c>
      <c r="G230" s="2312">
        <v>0</v>
      </c>
      <c r="H230" s="2312">
        <v>0</v>
      </c>
      <c r="I230" s="2312">
        <v>0</v>
      </c>
      <c r="J230" s="2312">
        <v>0</v>
      </c>
      <c r="K230" s="2312">
        <v>0</v>
      </c>
      <c r="L230" s="2312">
        <v>0</v>
      </c>
      <c r="M230" s="2312">
        <v>0</v>
      </c>
      <c r="N230" s="2312">
        <v>0</v>
      </c>
      <c r="O230" s="2312">
        <v>0</v>
      </c>
      <c r="R230" s="2312">
        <f>+'[5]입력 시트(0124)'!T270</f>
        <v>0</v>
      </c>
      <c r="S230" s="2312">
        <f>+'[5]입력 시트(0124)'!U270</f>
        <v>0</v>
      </c>
      <c r="T230" s="2312">
        <f>+'[5]입력 시트(0124)'!V270</f>
        <v>0</v>
      </c>
      <c r="U230" s="2312">
        <f>+'[5]입력 시트(0124)'!W270</f>
        <v>0</v>
      </c>
      <c r="V230" s="2312">
        <f>+'[5]입력 시트(0124)'!X270</f>
        <v>0</v>
      </c>
      <c r="W230" s="2312">
        <v>0</v>
      </c>
    </row>
    <row r="231" spans="2:23" outlineLevel="1">
      <c r="B231" s="2242"/>
      <c r="C231" s="2254" t="s">
        <v>2691</v>
      </c>
      <c r="D231" s="2209">
        <f t="shared" si="43"/>
        <v>9</v>
      </c>
      <c r="E231" s="2312">
        <v>0</v>
      </c>
      <c r="F231" s="2312">
        <v>0</v>
      </c>
      <c r="G231" s="2312">
        <v>0</v>
      </c>
      <c r="H231" s="2312">
        <v>0</v>
      </c>
      <c r="I231" s="2312">
        <v>0</v>
      </c>
      <c r="J231" s="2312">
        <v>0</v>
      </c>
      <c r="K231" s="2312">
        <v>0</v>
      </c>
      <c r="L231" s="2312">
        <v>0</v>
      </c>
      <c r="M231" s="2312">
        <v>0</v>
      </c>
      <c r="N231" s="2312">
        <v>0</v>
      </c>
      <c r="O231" s="2312">
        <v>0.1</v>
      </c>
      <c r="R231" s="2312">
        <v>0.1</v>
      </c>
      <c r="S231" s="2312">
        <v>0.1</v>
      </c>
      <c r="T231" s="2312">
        <v>0.1</v>
      </c>
      <c r="U231" s="2312">
        <v>0.1</v>
      </c>
      <c r="V231" s="2312">
        <v>0.1</v>
      </c>
      <c r="W231" s="2312">
        <v>0.1</v>
      </c>
    </row>
    <row r="232" spans="2:23" outlineLevel="1">
      <c r="B232" s="2242"/>
      <c r="C232" s="2254" t="s">
        <v>2691</v>
      </c>
      <c r="D232" s="2209">
        <f t="shared" si="43"/>
        <v>10</v>
      </c>
      <c r="E232" s="2312">
        <f>+'[5]입력 시트(0124)'!E272</f>
        <v>0</v>
      </c>
      <c r="F232" s="2312">
        <f>+'[5]입력 시트(0124)'!F272</f>
        <v>0</v>
      </c>
      <c r="G232" s="2312">
        <f>+'[5]입력 시트(0124)'!G272</f>
        <v>0</v>
      </c>
      <c r="H232" s="2312">
        <f>+'[5]입력 시트(0124)'!H272</f>
        <v>0</v>
      </c>
      <c r="I232" s="2312">
        <f>+'[5]입력 시트(0124)'!I272</f>
        <v>0</v>
      </c>
      <c r="J232" s="2312">
        <v>0</v>
      </c>
      <c r="K232" s="2312">
        <v>0</v>
      </c>
      <c r="L232" s="2312">
        <v>0</v>
      </c>
      <c r="M232" s="2312">
        <v>0</v>
      </c>
      <c r="N232" s="2312">
        <v>0</v>
      </c>
      <c r="O232" s="2312">
        <v>0</v>
      </c>
      <c r="R232" s="2312">
        <f>+'[5]입력 시트(0124)'!T272</f>
        <v>0</v>
      </c>
      <c r="S232" s="2312">
        <f>+'[5]입력 시트(0124)'!U272</f>
        <v>0</v>
      </c>
      <c r="T232" s="2312">
        <f>+'[5]입력 시트(0124)'!V272</f>
        <v>0</v>
      </c>
      <c r="U232" s="2312">
        <f>+'[5]입력 시트(0124)'!W272</f>
        <v>0</v>
      </c>
      <c r="V232" s="2312">
        <f>+'[5]입력 시트(0124)'!X272</f>
        <v>0</v>
      </c>
      <c r="W232" s="2312">
        <v>0</v>
      </c>
    </row>
    <row r="233" spans="2:23" ht="54" customHeight="1" outlineLevel="1">
      <c r="B233" s="2242" t="s">
        <v>2721</v>
      </c>
      <c r="C233" s="2496"/>
      <c r="D233" s="2497"/>
      <c r="E233" s="2313"/>
      <c r="F233" s="2313"/>
      <c r="G233" s="2313"/>
      <c r="H233" s="2313"/>
      <c r="I233" s="2313"/>
      <c r="J233" s="2313"/>
      <c r="K233" s="2313"/>
      <c r="L233" s="2313"/>
      <c r="M233" s="2313"/>
      <c r="N233" s="2313"/>
      <c r="O233" s="2313"/>
      <c r="R233" s="2313"/>
      <c r="S233" s="2313"/>
      <c r="T233" s="2313"/>
      <c r="U233" s="2313"/>
      <c r="V233" s="2313"/>
      <c r="W233" s="2313"/>
    </row>
    <row r="234" spans="2:23" outlineLevel="1">
      <c r="B234" s="2227" t="s">
        <v>2787</v>
      </c>
      <c r="D234" s="2270"/>
      <c r="E234" s="2271"/>
      <c r="F234" s="2271"/>
      <c r="G234" s="2271"/>
      <c r="H234" s="2271"/>
      <c r="I234" s="2271"/>
      <c r="J234" s="2271"/>
      <c r="K234" s="2271"/>
      <c r="L234" s="2271"/>
      <c r="M234" s="2271"/>
      <c r="N234" s="2271"/>
      <c r="O234" s="2271"/>
      <c r="R234" s="2272"/>
      <c r="S234" s="2272"/>
      <c r="T234" s="2272"/>
      <c r="U234" s="2272"/>
      <c r="V234" s="2272"/>
      <c r="W234" s="2272"/>
    </row>
    <row r="235" spans="2:23" ht="16.5" customHeight="1" outlineLevel="1">
      <c r="B235" s="2242" t="s">
        <v>2665</v>
      </c>
      <c r="C235" s="2314"/>
      <c r="D235" s="2315"/>
      <c r="E235" s="2221"/>
      <c r="F235" s="2221"/>
      <c r="G235" s="2221"/>
      <c r="H235" s="2221"/>
      <c r="I235" s="2221"/>
      <c r="J235" s="2221"/>
      <c r="K235" s="2221"/>
      <c r="L235" s="2221"/>
      <c r="M235" s="2221"/>
      <c r="N235" s="2221"/>
      <c r="O235" s="2221"/>
      <c r="R235" s="2221"/>
      <c r="S235" s="2221"/>
      <c r="T235" s="2221"/>
      <c r="U235" s="2221"/>
      <c r="V235" s="2221"/>
      <c r="W235" s="2221" t="s">
        <v>2728</v>
      </c>
    </row>
    <row r="236" spans="2:23" outlineLevel="1">
      <c r="B236" s="2242" t="s">
        <v>2708</v>
      </c>
      <c r="D236" s="2263" t="s">
        <v>2750</v>
      </c>
      <c r="E236" s="2294">
        <f>+'Input 기초'!F38</f>
        <v>165312000</v>
      </c>
      <c r="F236" s="2294">
        <f>+'Input 기초'!G38</f>
        <v>119712000</v>
      </c>
      <c r="G236" s="2294">
        <f>+'Input 기초'!H38</f>
        <v>149988000</v>
      </c>
      <c r="H236" s="2294">
        <f>+'Input 기초'!I38</f>
        <v>149988000</v>
      </c>
      <c r="I236" s="2294">
        <f>+'Input 기초'!J38</f>
        <v>44891999.999999993</v>
      </c>
      <c r="J236" s="2294">
        <f>+'Input 기초'!K38</f>
        <v>89783999.999999985</v>
      </c>
      <c r="K236" s="2294">
        <v>0</v>
      </c>
      <c r="L236" s="2294">
        <v>0</v>
      </c>
      <c r="M236" s="2294">
        <v>0</v>
      </c>
      <c r="N236" s="2294">
        <v>0</v>
      </c>
      <c r="O236" s="2294">
        <v>0</v>
      </c>
      <c r="R236" s="2294">
        <v>0</v>
      </c>
      <c r="S236" s="2294">
        <v>0</v>
      </c>
      <c r="T236" s="2294">
        <v>0</v>
      </c>
      <c r="U236" s="2294">
        <v>0</v>
      </c>
      <c r="V236" s="2294">
        <v>0</v>
      </c>
      <c r="W236" s="2294">
        <v>0</v>
      </c>
    </row>
    <row r="237" spans="2:23" ht="16.5" customHeight="1" outlineLevel="1">
      <c r="B237" s="2242" t="s">
        <v>2724</v>
      </c>
      <c r="D237" s="2212" t="s">
        <v>2713</v>
      </c>
      <c r="E237" s="2309">
        <v>0</v>
      </c>
      <c r="F237" s="2309">
        <v>0</v>
      </c>
      <c r="G237" s="2309">
        <v>0</v>
      </c>
      <c r="H237" s="2309">
        <v>0</v>
      </c>
      <c r="I237" s="2309">
        <v>0</v>
      </c>
      <c r="J237" s="2309">
        <v>0</v>
      </c>
      <c r="K237" s="2309">
        <v>0</v>
      </c>
      <c r="L237" s="2309">
        <v>0</v>
      </c>
      <c r="M237" s="2309">
        <v>0</v>
      </c>
      <c r="N237" s="2309">
        <v>0</v>
      </c>
      <c r="O237" s="2309">
        <v>0</v>
      </c>
      <c r="R237" s="2309">
        <v>0</v>
      </c>
      <c r="S237" s="2309">
        <v>0</v>
      </c>
      <c r="T237" s="2309">
        <v>0</v>
      </c>
      <c r="U237" s="2309">
        <v>0</v>
      </c>
      <c r="V237" s="2309">
        <v>0</v>
      </c>
      <c r="W237" s="2309">
        <v>0</v>
      </c>
    </row>
    <row r="238" spans="2:23" ht="16.5" customHeight="1" outlineLevel="1">
      <c r="B238" s="2242" t="s">
        <v>2725</v>
      </c>
      <c r="D238" s="2212" t="s">
        <v>2715</v>
      </c>
      <c r="E238" s="2310"/>
      <c r="F238" s="2310"/>
      <c r="G238" s="2310"/>
      <c r="H238" s="2310"/>
      <c r="I238" s="2310"/>
      <c r="J238" s="2310"/>
      <c r="K238" s="2310"/>
      <c r="L238" s="2310"/>
      <c r="M238" s="2310"/>
      <c r="N238" s="2310"/>
      <c r="O238" s="2310"/>
      <c r="R238" s="2310"/>
      <c r="S238" s="2310"/>
      <c r="T238" s="2310"/>
      <c r="U238" s="2310"/>
      <c r="V238" s="2310"/>
      <c r="W238" s="2310"/>
    </row>
    <row r="239" spans="2:23" ht="16.5" customHeight="1" outlineLevel="1">
      <c r="B239" s="2242" t="s">
        <v>2717</v>
      </c>
      <c r="D239" s="2212" t="s">
        <v>2691</v>
      </c>
      <c r="E239" s="2311"/>
      <c r="F239" s="2311"/>
      <c r="G239" s="2311"/>
      <c r="H239" s="2311"/>
      <c r="I239" s="2311"/>
      <c r="J239" s="2311"/>
      <c r="K239" s="2311"/>
      <c r="L239" s="2311"/>
      <c r="M239" s="2311"/>
      <c r="N239" s="2311"/>
      <c r="O239" s="2311"/>
      <c r="R239" s="2311"/>
      <c r="S239" s="2311"/>
      <c r="T239" s="2311"/>
      <c r="U239" s="2311"/>
      <c r="V239" s="2311"/>
      <c r="W239" s="2311"/>
    </row>
    <row r="240" spans="2:23" outlineLevel="1">
      <c r="B240" s="2242" t="s">
        <v>2751</v>
      </c>
      <c r="C240" s="2254" t="s">
        <v>2752</v>
      </c>
      <c r="D240" s="2209">
        <v>1</v>
      </c>
      <c r="E240" s="2311">
        <v>1</v>
      </c>
      <c r="F240" s="2311">
        <v>1</v>
      </c>
      <c r="G240" s="2311">
        <v>1</v>
      </c>
      <c r="H240" s="2311">
        <v>1</v>
      </c>
      <c r="I240" s="2311">
        <v>1</v>
      </c>
      <c r="J240" s="2311">
        <v>1</v>
      </c>
      <c r="K240" s="2311"/>
      <c r="L240" s="2311"/>
      <c r="M240" s="2311"/>
      <c r="N240" s="2311"/>
      <c r="O240" s="2311"/>
      <c r="R240" s="2311"/>
      <c r="S240" s="2311"/>
      <c r="T240" s="2311"/>
      <c r="U240" s="2311"/>
      <c r="V240" s="2311"/>
      <c r="W240" s="2311"/>
    </row>
    <row r="241" spans="2:23" outlineLevel="1">
      <c r="B241" s="2242"/>
      <c r="C241" s="2254" t="s">
        <v>2691</v>
      </c>
      <c r="D241" s="2209">
        <f t="shared" ref="D241:D263" si="44">+D240+1</f>
        <v>2</v>
      </c>
      <c r="E241" s="2312"/>
      <c r="F241" s="2312"/>
      <c r="G241" s="2312"/>
      <c r="H241" s="2312"/>
      <c r="I241" s="2312"/>
      <c r="J241" s="2312"/>
      <c r="K241" s="2312"/>
      <c r="L241" s="2312"/>
      <c r="M241" s="2312"/>
      <c r="N241" s="2312"/>
      <c r="O241" s="2312"/>
      <c r="R241" s="2312"/>
      <c r="S241" s="2312"/>
      <c r="T241" s="2312"/>
      <c r="U241" s="2312"/>
      <c r="V241" s="2312"/>
      <c r="W241" s="2312"/>
    </row>
    <row r="242" spans="2:23" outlineLevel="1">
      <c r="B242" s="2242"/>
      <c r="C242" s="2254" t="s">
        <v>2691</v>
      </c>
      <c r="D242" s="2209">
        <f t="shared" si="44"/>
        <v>3</v>
      </c>
      <c r="E242" s="2312"/>
      <c r="F242" s="2312"/>
      <c r="G242" s="2312"/>
      <c r="H242" s="2312"/>
      <c r="I242" s="2312"/>
      <c r="J242" s="2312"/>
      <c r="K242" s="2312"/>
      <c r="L242" s="2312"/>
      <c r="M242" s="2312"/>
      <c r="N242" s="2312"/>
      <c r="O242" s="2312"/>
      <c r="R242" s="2312"/>
      <c r="S242" s="2312"/>
      <c r="T242" s="2312"/>
      <c r="U242" s="2312"/>
      <c r="V242" s="2312"/>
      <c r="W242" s="2312"/>
    </row>
    <row r="243" spans="2:23" outlineLevel="1">
      <c r="B243" s="2242"/>
      <c r="C243" s="2254" t="s">
        <v>2691</v>
      </c>
      <c r="D243" s="2209">
        <f t="shared" si="44"/>
        <v>4</v>
      </c>
      <c r="E243" s="2312"/>
      <c r="F243" s="2312"/>
      <c r="G243" s="2312"/>
      <c r="H243" s="2312"/>
      <c r="I243" s="2312"/>
      <c r="J243" s="2312"/>
      <c r="K243" s="2312"/>
      <c r="L243" s="2312"/>
      <c r="M243" s="2312"/>
      <c r="N243" s="2312"/>
      <c r="O243" s="2312"/>
      <c r="R243" s="2312"/>
      <c r="S243" s="2312"/>
      <c r="T243" s="2312"/>
      <c r="U243" s="2312"/>
      <c r="V243" s="2312"/>
      <c r="W243" s="2312"/>
    </row>
    <row r="244" spans="2:23" outlineLevel="1">
      <c r="B244" s="2242"/>
      <c r="C244" s="2254" t="s">
        <v>2691</v>
      </c>
      <c r="D244" s="2209">
        <f t="shared" si="44"/>
        <v>5</v>
      </c>
      <c r="E244" s="2312"/>
      <c r="F244" s="2312"/>
      <c r="G244" s="2312"/>
      <c r="H244" s="2312"/>
      <c r="I244" s="2312"/>
      <c r="J244" s="2312"/>
      <c r="K244" s="2312"/>
      <c r="L244" s="2312"/>
      <c r="M244" s="2312"/>
      <c r="N244" s="2312"/>
      <c r="O244" s="2312"/>
      <c r="R244" s="2312"/>
      <c r="S244" s="2312"/>
      <c r="T244" s="2312"/>
      <c r="U244" s="2312"/>
      <c r="V244" s="2312"/>
      <c r="W244" s="2312"/>
    </row>
    <row r="245" spans="2:23" outlineLevel="1">
      <c r="B245" s="2242"/>
      <c r="C245" s="2254" t="s">
        <v>2691</v>
      </c>
      <c r="D245" s="2209">
        <f t="shared" si="44"/>
        <v>6</v>
      </c>
      <c r="E245" s="2312"/>
      <c r="F245" s="2312"/>
      <c r="G245" s="2312"/>
      <c r="H245" s="2312"/>
      <c r="I245" s="2312"/>
      <c r="J245" s="2312"/>
      <c r="K245" s="2312"/>
      <c r="L245" s="2312"/>
      <c r="M245" s="2312"/>
      <c r="N245" s="2312"/>
      <c r="O245" s="2312"/>
      <c r="R245" s="2312"/>
      <c r="S245" s="2312"/>
      <c r="T245" s="2312"/>
      <c r="U245" s="2312"/>
      <c r="V245" s="2312"/>
      <c r="W245" s="2312"/>
    </row>
    <row r="246" spans="2:23" hidden="1" outlineLevel="1">
      <c r="B246" s="2242"/>
      <c r="C246" s="2254" t="s">
        <v>2691</v>
      </c>
      <c r="D246" s="2209">
        <f t="shared" si="44"/>
        <v>7</v>
      </c>
      <c r="E246" s="2312"/>
      <c r="F246" s="2312"/>
      <c r="G246" s="2312"/>
      <c r="H246" s="2312"/>
      <c r="I246" s="2312"/>
      <c r="J246" s="2312"/>
      <c r="K246" s="2312"/>
      <c r="L246" s="2312"/>
      <c r="M246" s="2312"/>
      <c r="N246" s="2312"/>
      <c r="O246" s="2312"/>
      <c r="R246" s="2312"/>
      <c r="S246" s="2312"/>
      <c r="T246" s="2312"/>
      <c r="U246" s="2312"/>
      <c r="V246" s="2312"/>
      <c r="W246" s="2312"/>
    </row>
    <row r="247" spans="2:23" hidden="1" outlineLevel="1">
      <c r="B247" s="2242"/>
      <c r="C247" s="2254" t="s">
        <v>2691</v>
      </c>
      <c r="D247" s="2209">
        <f t="shared" si="44"/>
        <v>8</v>
      </c>
      <c r="E247" s="2312"/>
      <c r="F247" s="2312"/>
      <c r="G247" s="2312"/>
      <c r="H247" s="2312"/>
      <c r="I247" s="2312"/>
      <c r="J247" s="2312"/>
      <c r="K247" s="2312"/>
      <c r="L247" s="2312"/>
      <c r="M247" s="2312"/>
      <c r="N247" s="2312"/>
      <c r="O247" s="2312"/>
      <c r="R247" s="2312"/>
      <c r="S247" s="2312"/>
      <c r="T247" s="2312"/>
      <c r="U247" s="2312"/>
      <c r="V247" s="2312"/>
      <c r="W247" s="2312"/>
    </row>
    <row r="248" spans="2:23" hidden="1" outlineLevel="1">
      <c r="B248" s="2242"/>
      <c r="C248" s="2254" t="s">
        <v>2691</v>
      </c>
      <c r="D248" s="2209">
        <f t="shared" si="44"/>
        <v>9</v>
      </c>
      <c r="E248" s="2312"/>
      <c r="F248" s="2312"/>
      <c r="G248" s="2312"/>
      <c r="H248" s="2312"/>
      <c r="I248" s="2312"/>
      <c r="J248" s="2312"/>
      <c r="K248" s="2312"/>
      <c r="L248" s="2312"/>
      <c r="M248" s="2312"/>
      <c r="N248" s="2312"/>
      <c r="O248" s="2312"/>
      <c r="R248" s="2312"/>
      <c r="S248" s="2312"/>
      <c r="T248" s="2312"/>
      <c r="U248" s="2312"/>
      <c r="V248" s="2312"/>
      <c r="W248" s="2312"/>
    </row>
    <row r="249" spans="2:23" hidden="1" outlineLevel="1">
      <c r="B249" s="2242"/>
      <c r="C249" s="2254" t="s">
        <v>2691</v>
      </c>
      <c r="D249" s="2209">
        <f t="shared" si="44"/>
        <v>10</v>
      </c>
      <c r="E249" s="2312"/>
      <c r="F249" s="2312"/>
      <c r="G249" s="2312"/>
      <c r="H249" s="2312"/>
      <c r="I249" s="2312"/>
      <c r="J249" s="2312"/>
      <c r="K249" s="2312"/>
      <c r="L249" s="2312"/>
      <c r="M249" s="2312"/>
      <c r="N249" s="2312"/>
      <c r="O249" s="2312"/>
      <c r="R249" s="2312"/>
      <c r="S249" s="2312"/>
      <c r="T249" s="2312"/>
      <c r="U249" s="2312"/>
      <c r="V249" s="2312"/>
      <c r="W249" s="2312"/>
    </row>
    <row r="250" spans="2:23" hidden="1" outlineLevel="1">
      <c r="B250" s="2242"/>
      <c r="C250" s="2254" t="s">
        <v>2691</v>
      </c>
      <c r="D250" s="2209">
        <f t="shared" si="44"/>
        <v>11</v>
      </c>
      <c r="E250" s="2312"/>
      <c r="F250" s="2312"/>
      <c r="G250" s="2312"/>
      <c r="H250" s="2312"/>
      <c r="I250" s="2312"/>
      <c r="J250" s="2312"/>
      <c r="K250" s="2312"/>
      <c r="L250" s="2312"/>
      <c r="M250" s="2312"/>
      <c r="N250" s="2312"/>
      <c r="O250" s="2312"/>
      <c r="R250" s="2312"/>
      <c r="S250" s="2312"/>
      <c r="T250" s="2312"/>
      <c r="U250" s="2312"/>
      <c r="V250" s="2312"/>
      <c r="W250" s="2312"/>
    </row>
    <row r="251" spans="2:23" hidden="1" outlineLevel="1">
      <c r="B251" s="2242"/>
      <c r="C251" s="2254" t="s">
        <v>2691</v>
      </c>
      <c r="D251" s="2209">
        <f t="shared" si="44"/>
        <v>12</v>
      </c>
      <c r="E251" s="2312"/>
      <c r="F251" s="2312"/>
      <c r="G251" s="2312"/>
      <c r="H251" s="2312"/>
      <c r="I251" s="2312"/>
      <c r="J251" s="2312"/>
      <c r="K251" s="2312"/>
      <c r="L251" s="2312"/>
      <c r="M251" s="2312"/>
      <c r="N251" s="2312"/>
      <c r="O251" s="2312"/>
      <c r="R251" s="2312"/>
      <c r="S251" s="2312"/>
      <c r="T251" s="2312"/>
      <c r="U251" s="2312"/>
      <c r="V251" s="2312"/>
      <c r="W251" s="2312"/>
    </row>
    <row r="252" spans="2:23" hidden="1" outlineLevel="1">
      <c r="B252" s="2242"/>
      <c r="C252" s="2254" t="s">
        <v>2691</v>
      </c>
      <c r="D252" s="2209">
        <f t="shared" si="44"/>
        <v>13</v>
      </c>
      <c r="E252" s="2313"/>
      <c r="F252" s="2313"/>
      <c r="G252" s="2313"/>
      <c r="H252" s="2313"/>
      <c r="I252" s="2313"/>
      <c r="J252" s="2313"/>
      <c r="K252" s="2313"/>
      <c r="L252" s="2313"/>
      <c r="M252" s="2313"/>
      <c r="N252" s="2313"/>
      <c r="O252" s="2313"/>
      <c r="R252" s="2313"/>
      <c r="S252" s="2313"/>
      <c r="T252" s="2313"/>
      <c r="U252" s="2313"/>
      <c r="V252" s="2313"/>
      <c r="W252" s="2313"/>
    </row>
    <row r="253" spans="2:23" hidden="1" outlineLevel="1">
      <c r="B253" s="2242"/>
      <c r="C253" s="2254" t="s">
        <v>2691</v>
      </c>
      <c r="D253" s="2209">
        <f t="shared" si="44"/>
        <v>14</v>
      </c>
      <c r="E253" s="2313"/>
      <c r="F253" s="2313"/>
      <c r="G253" s="2313"/>
      <c r="H253" s="2313"/>
      <c r="I253" s="2313"/>
      <c r="J253" s="2313"/>
      <c r="K253" s="2313"/>
      <c r="L253" s="2313"/>
      <c r="M253" s="2313"/>
      <c r="N253" s="2313"/>
      <c r="O253" s="2313"/>
      <c r="R253" s="2313"/>
      <c r="S253" s="2313"/>
      <c r="T253" s="2313"/>
      <c r="U253" s="2313"/>
      <c r="V253" s="2313"/>
      <c r="W253" s="2313"/>
    </row>
    <row r="254" spans="2:23" hidden="1" outlineLevel="1">
      <c r="B254" s="2242"/>
      <c r="C254" s="2254" t="s">
        <v>2691</v>
      </c>
      <c r="D254" s="2209">
        <f t="shared" si="44"/>
        <v>15</v>
      </c>
      <c r="E254" s="2313"/>
      <c r="F254" s="2313"/>
      <c r="G254" s="2313"/>
      <c r="H254" s="2313"/>
      <c r="I254" s="2313"/>
      <c r="J254" s="2313"/>
      <c r="K254" s="2313"/>
      <c r="L254" s="2313"/>
      <c r="M254" s="2313"/>
      <c r="N254" s="2313"/>
      <c r="O254" s="2313"/>
      <c r="R254" s="2313"/>
      <c r="S254" s="2313"/>
      <c r="T254" s="2313"/>
      <c r="U254" s="2313"/>
      <c r="V254" s="2313"/>
      <c r="W254" s="2313"/>
    </row>
    <row r="255" spans="2:23" hidden="1" outlineLevel="1">
      <c r="B255" s="2242"/>
      <c r="C255" s="2254" t="s">
        <v>2691</v>
      </c>
      <c r="D255" s="2209">
        <f t="shared" si="44"/>
        <v>16</v>
      </c>
      <c r="E255" s="2313"/>
      <c r="F255" s="2313"/>
      <c r="G255" s="2313"/>
      <c r="H255" s="2313"/>
      <c r="I255" s="2313"/>
      <c r="J255" s="2313"/>
      <c r="K255" s="2313"/>
      <c r="L255" s="2313"/>
      <c r="M255" s="2313"/>
      <c r="N255" s="2313"/>
      <c r="O255" s="2313"/>
      <c r="R255" s="2313"/>
      <c r="S255" s="2313"/>
      <c r="T255" s="2313"/>
      <c r="U255" s="2313"/>
      <c r="V255" s="2313"/>
      <c r="W255" s="2313"/>
    </row>
    <row r="256" spans="2:23" hidden="1" outlineLevel="1">
      <c r="B256" s="2242"/>
      <c r="C256" s="2254" t="s">
        <v>2691</v>
      </c>
      <c r="D256" s="2209">
        <f t="shared" si="44"/>
        <v>17</v>
      </c>
      <c r="E256" s="2313"/>
      <c r="F256" s="2313"/>
      <c r="G256" s="2313"/>
      <c r="H256" s="2313"/>
      <c r="I256" s="2313"/>
      <c r="J256" s="2313"/>
      <c r="K256" s="2313"/>
      <c r="L256" s="2313"/>
      <c r="M256" s="2313"/>
      <c r="N256" s="2313"/>
      <c r="O256" s="2313"/>
      <c r="R256" s="2313"/>
      <c r="S256" s="2313"/>
      <c r="T256" s="2313"/>
      <c r="U256" s="2313"/>
      <c r="V256" s="2313"/>
      <c r="W256" s="2313"/>
    </row>
    <row r="257" spans="2:23" hidden="1" outlineLevel="1">
      <c r="B257" s="2242"/>
      <c r="C257" s="2254" t="s">
        <v>2691</v>
      </c>
      <c r="D257" s="2209">
        <f t="shared" si="44"/>
        <v>18</v>
      </c>
      <c r="E257" s="2313"/>
      <c r="F257" s="2313"/>
      <c r="G257" s="2313"/>
      <c r="H257" s="2313"/>
      <c r="I257" s="2313"/>
      <c r="J257" s="2313"/>
      <c r="K257" s="2313"/>
      <c r="L257" s="2313"/>
      <c r="M257" s="2313"/>
      <c r="N257" s="2313"/>
      <c r="O257" s="2313"/>
      <c r="R257" s="2313"/>
      <c r="S257" s="2313"/>
      <c r="T257" s="2313"/>
      <c r="U257" s="2313"/>
      <c r="V257" s="2313"/>
      <c r="W257" s="2313"/>
    </row>
    <row r="258" spans="2:23" hidden="1" outlineLevel="1">
      <c r="B258" s="2242"/>
      <c r="C258" s="2254" t="s">
        <v>2691</v>
      </c>
      <c r="D258" s="2209">
        <f t="shared" si="44"/>
        <v>19</v>
      </c>
      <c r="E258" s="2313"/>
      <c r="F258" s="2313"/>
      <c r="G258" s="2313"/>
      <c r="H258" s="2313"/>
      <c r="I258" s="2313"/>
      <c r="J258" s="2313"/>
      <c r="K258" s="2313"/>
      <c r="L258" s="2313"/>
      <c r="M258" s="2313"/>
      <c r="N258" s="2313"/>
      <c r="O258" s="2313"/>
      <c r="R258" s="2313"/>
      <c r="S258" s="2313"/>
      <c r="T258" s="2313"/>
      <c r="U258" s="2313"/>
      <c r="V258" s="2313"/>
      <c r="W258" s="2313"/>
    </row>
    <row r="259" spans="2:23" hidden="1" outlineLevel="1">
      <c r="B259" s="2242"/>
      <c r="C259" s="2254" t="s">
        <v>2691</v>
      </c>
      <c r="D259" s="2209">
        <f t="shared" si="44"/>
        <v>20</v>
      </c>
      <c r="E259" s="2313"/>
      <c r="F259" s="2313"/>
      <c r="G259" s="2313"/>
      <c r="H259" s="2313"/>
      <c r="I259" s="2313"/>
      <c r="J259" s="2313"/>
      <c r="K259" s="2313"/>
      <c r="L259" s="2313"/>
      <c r="M259" s="2313"/>
      <c r="N259" s="2313"/>
      <c r="O259" s="2313"/>
      <c r="R259" s="2313"/>
      <c r="S259" s="2313"/>
      <c r="T259" s="2313"/>
      <c r="U259" s="2313"/>
      <c r="V259" s="2313"/>
      <c r="W259" s="2313"/>
    </row>
    <row r="260" spans="2:23" hidden="1" outlineLevel="1">
      <c r="B260" s="2242"/>
      <c r="C260" s="2254" t="s">
        <v>2691</v>
      </c>
      <c r="D260" s="2209">
        <f t="shared" si="44"/>
        <v>21</v>
      </c>
      <c r="E260" s="2313"/>
      <c r="F260" s="2313"/>
      <c r="G260" s="2313"/>
      <c r="H260" s="2313"/>
      <c r="I260" s="2313"/>
      <c r="J260" s="2313"/>
      <c r="K260" s="2313"/>
      <c r="L260" s="2313"/>
      <c r="M260" s="2313"/>
      <c r="N260" s="2313"/>
      <c r="O260" s="2313"/>
      <c r="R260" s="2313"/>
      <c r="S260" s="2313"/>
      <c r="T260" s="2313"/>
      <c r="U260" s="2313"/>
      <c r="V260" s="2313"/>
      <c r="W260" s="2313"/>
    </row>
    <row r="261" spans="2:23" hidden="1" outlineLevel="1">
      <c r="B261" s="2242"/>
      <c r="C261" s="2254" t="s">
        <v>2691</v>
      </c>
      <c r="D261" s="2209">
        <f t="shared" si="44"/>
        <v>22</v>
      </c>
      <c r="E261" s="2313"/>
      <c r="F261" s="2313"/>
      <c r="G261" s="2313"/>
      <c r="H261" s="2313"/>
      <c r="I261" s="2313"/>
      <c r="J261" s="2313"/>
      <c r="K261" s="2313"/>
      <c r="L261" s="2313"/>
      <c r="M261" s="2313"/>
      <c r="N261" s="2313"/>
      <c r="O261" s="2313"/>
      <c r="R261" s="2313"/>
      <c r="S261" s="2313"/>
      <c r="T261" s="2313"/>
      <c r="U261" s="2313"/>
      <c r="V261" s="2313"/>
      <c r="W261" s="2313"/>
    </row>
    <row r="262" spans="2:23" hidden="1" outlineLevel="1">
      <c r="B262" s="2242"/>
      <c r="C262" s="2254" t="s">
        <v>2691</v>
      </c>
      <c r="D262" s="2209">
        <f t="shared" si="44"/>
        <v>23</v>
      </c>
      <c r="E262" s="2313"/>
      <c r="F262" s="2313"/>
      <c r="G262" s="2313"/>
      <c r="H262" s="2313"/>
      <c r="I262" s="2313"/>
      <c r="J262" s="2313"/>
      <c r="K262" s="2313"/>
      <c r="L262" s="2313"/>
      <c r="M262" s="2313"/>
      <c r="N262" s="2313"/>
      <c r="O262" s="2313"/>
      <c r="R262" s="2313"/>
      <c r="S262" s="2313"/>
      <c r="T262" s="2313"/>
      <c r="U262" s="2313"/>
      <c r="V262" s="2313"/>
      <c r="W262" s="2313"/>
    </row>
    <row r="263" spans="2:23" hidden="1" outlineLevel="1">
      <c r="B263" s="2242"/>
      <c r="C263" s="2254" t="s">
        <v>2691</v>
      </c>
      <c r="D263" s="2209">
        <f t="shared" si="44"/>
        <v>24</v>
      </c>
      <c r="E263" s="2313"/>
      <c r="F263" s="2313"/>
      <c r="G263" s="2313"/>
      <c r="H263" s="2313"/>
      <c r="I263" s="2313"/>
      <c r="J263" s="2313"/>
      <c r="K263" s="2313"/>
      <c r="L263" s="2313"/>
      <c r="M263" s="2313"/>
      <c r="N263" s="2313"/>
      <c r="O263" s="2313"/>
      <c r="R263" s="2313"/>
      <c r="S263" s="2313"/>
      <c r="T263" s="2313"/>
      <c r="U263" s="2313"/>
      <c r="V263" s="2313"/>
      <c r="W263" s="2313"/>
    </row>
    <row r="264" spans="2:23" outlineLevel="1">
      <c r="B264" s="2242" t="s">
        <v>2721</v>
      </c>
      <c r="C264" s="2498"/>
      <c r="D264" s="2499"/>
      <c r="E264" s="2313"/>
      <c r="F264" s="2313"/>
      <c r="G264" s="2313"/>
      <c r="H264" s="2313"/>
      <c r="I264" s="2313"/>
      <c r="J264" s="2313"/>
      <c r="K264" s="2313"/>
      <c r="L264" s="2313"/>
      <c r="M264" s="2313"/>
      <c r="N264" s="2313"/>
      <c r="O264" s="2313"/>
      <c r="R264" s="2313"/>
      <c r="S264" s="2313"/>
      <c r="T264" s="2313"/>
      <c r="U264" s="2313"/>
      <c r="V264" s="2313"/>
      <c r="W264" s="2313"/>
    </row>
    <row r="265" spans="2:23" outlineLevel="1">
      <c r="E265" s="2323"/>
      <c r="F265" s="2323"/>
      <c r="G265" s="2323"/>
      <c r="H265" s="2323"/>
      <c r="I265" s="2323"/>
      <c r="J265" s="2323"/>
      <c r="K265" s="2323"/>
      <c r="L265" s="2323"/>
      <c r="M265" s="2323"/>
      <c r="N265" s="2323"/>
      <c r="O265" s="2323"/>
      <c r="R265" s="2324"/>
      <c r="S265" s="2324"/>
      <c r="T265" s="2324"/>
      <c r="U265" s="2324"/>
      <c r="V265" s="2324"/>
      <c r="W265" s="2324"/>
    </row>
    <row r="266" spans="2:23" outlineLevel="1">
      <c r="B266" s="2227" t="s">
        <v>2802</v>
      </c>
      <c r="D266" s="2270"/>
      <c r="E266" s="2271"/>
      <c r="F266" s="2271"/>
      <c r="G266" s="2271"/>
      <c r="H266" s="2271"/>
      <c r="I266" s="2271"/>
      <c r="J266" s="2271"/>
      <c r="K266" s="2271"/>
      <c r="L266" s="2271"/>
      <c r="M266" s="2271"/>
      <c r="N266" s="2271"/>
      <c r="O266" s="2271"/>
      <c r="R266" s="2272"/>
      <c r="S266" s="2272"/>
      <c r="T266" s="2272"/>
      <c r="U266" s="2272"/>
      <c r="V266" s="2272"/>
      <c r="W266" s="2272"/>
    </row>
    <row r="267" spans="2:23" ht="16.5" customHeight="1" outlineLevel="1">
      <c r="B267" s="2242" t="s">
        <v>2665</v>
      </c>
      <c r="C267" s="2314"/>
      <c r="D267" s="2315"/>
      <c r="E267" s="2221"/>
      <c r="F267" s="2221"/>
      <c r="G267" s="2221"/>
      <c r="H267" s="2221"/>
      <c r="I267" s="2221"/>
      <c r="J267" s="2221"/>
      <c r="K267" s="2221"/>
      <c r="L267" s="2221"/>
      <c r="M267" s="2221"/>
      <c r="N267" s="2221"/>
      <c r="O267" s="2221" t="s">
        <v>2728</v>
      </c>
      <c r="R267" s="2221" t="s">
        <v>2728</v>
      </c>
      <c r="S267" s="2221" t="s">
        <v>2728</v>
      </c>
      <c r="T267" s="2221" t="s">
        <v>2728</v>
      </c>
      <c r="U267" s="2221" t="s">
        <v>2728</v>
      </c>
      <c r="V267" s="2221" t="s">
        <v>2728</v>
      </c>
      <c r="W267" s="2221" t="s">
        <v>2728</v>
      </c>
    </row>
    <row r="268" spans="2:23" outlineLevel="1">
      <c r="B268" s="2242" t="s">
        <v>2708</v>
      </c>
      <c r="D268" s="2263" t="s">
        <v>2750</v>
      </c>
      <c r="E268" s="2294">
        <f>+'Input 기초'!F40</f>
        <v>110208000</v>
      </c>
      <c r="F268" s="2294">
        <f>+'Input 기초'!G40</f>
        <v>79808000</v>
      </c>
      <c r="G268" s="2294">
        <f>+'Input 기초'!H40</f>
        <v>99992000</v>
      </c>
      <c r="H268" s="2294">
        <f>+'Input 기초'!I40</f>
        <v>99992000</v>
      </c>
      <c r="I268" s="2294">
        <f>+'Input 기초'!J40</f>
        <v>29927999.999999996</v>
      </c>
      <c r="J268" s="2294">
        <f>+'Input 기초'!K40</f>
        <v>59855999.999999993</v>
      </c>
      <c r="K268" s="2294">
        <f>+'Input 기초'!L40</f>
        <v>123552000</v>
      </c>
      <c r="L268" s="2294">
        <f>+'Input 기초'!M40</f>
        <v>112992000</v>
      </c>
      <c r="M268" s="2294">
        <f>+'Input 기초'!N40</f>
        <v>126983999.99999999</v>
      </c>
      <c r="N268" s="2294">
        <f>+'Input 기초'!O40</f>
        <v>125135999.99999999</v>
      </c>
      <c r="O268" s="2325">
        <v>0</v>
      </c>
      <c r="R268" s="2325">
        <f>+'[5]입력 시트(0124)'!T366</f>
        <v>0</v>
      </c>
      <c r="S268" s="2325">
        <f>+'[5]입력 시트(0124)'!U366</f>
        <v>0</v>
      </c>
      <c r="T268" s="2325">
        <f>+'[5]입력 시트(0124)'!V366</f>
        <v>0</v>
      </c>
      <c r="U268" s="2325">
        <f>+'[5]입력 시트(0124)'!W366</f>
        <v>0</v>
      </c>
      <c r="V268" s="2325">
        <f>+'[5]입력 시트(0124)'!X366</f>
        <v>0</v>
      </c>
      <c r="W268" s="2325">
        <v>0</v>
      </c>
    </row>
    <row r="269" spans="2:23" ht="16.5" customHeight="1" outlineLevel="1">
      <c r="B269" s="2242" t="s">
        <v>2724</v>
      </c>
      <c r="D269" s="2212" t="s">
        <v>2713</v>
      </c>
      <c r="E269" s="2309">
        <v>0</v>
      </c>
      <c r="F269" s="2309">
        <v>0</v>
      </c>
      <c r="G269" s="2309">
        <v>0</v>
      </c>
      <c r="H269" s="2309">
        <v>0</v>
      </c>
      <c r="I269" s="2309">
        <v>0</v>
      </c>
      <c r="J269" s="2309">
        <v>0</v>
      </c>
      <c r="K269" s="2309">
        <v>0</v>
      </c>
      <c r="L269" s="2309">
        <v>0</v>
      </c>
      <c r="M269" s="2309">
        <v>0</v>
      </c>
      <c r="N269" s="2309">
        <v>0</v>
      </c>
      <c r="O269" s="2309">
        <v>0</v>
      </c>
      <c r="R269" s="2309">
        <v>0</v>
      </c>
      <c r="S269" s="2309">
        <v>0</v>
      </c>
      <c r="T269" s="2309">
        <v>0</v>
      </c>
      <c r="U269" s="2309">
        <v>0</v>
      </c>
      <c r="V269" s="2309">
        <v>0</v>
      </c>
      <c r="W269" s="2309">
        <v>0</v>
      </c>
    </row>
    <row r="270" spans="2:23" ht="16.5" customHeight="1" outlineLevel="1">
      <c r="B270" s="2242" t="s">
        <v>2725</v>
      </c>
      <c r="D270" s="2212" t="s">
        <v>2715</v>
      </c>
      <c r="E270" s="2310">
        <f>+E19</f>
        <v>46296</v>
      </c>
      <c r="F270" s="2310">
        <f t="shared" ref="F270:J270" si="45">+F19</f>
        <v>46296</v>
      </c>
      <c r="G270" s="2310">
        <f t="shared" si="45"/>
        <v>46296</v>
      </c>
      <c r="H270" s="2310">
        <f t="shared" si="45"/>
        <v>46296</v>
      </c>
      <c r="I270" s="2310">
        <f t="shared" si="45"/>
        <v>46296</v>
      </c>
      <c r="J270" s="2310">
        <f t="shared" si="45"/>
        <v>46296</v>
      </c>
      <c r="K270" s="2310">
        <f>+K19</f>
        <v>46419</v>
      </c>
      <c r="L270" s="2310">
        <f t="shared" ref="L270:N270" si="46">+L19</f>
        <v>46419</v>
      </c>
      <c r="M270" s="2310">
        <f t="shared" si="46"/>
        <v>46419</v>
      </c>
      <c r="N270" s="2310">
        <f t="shared" si="46"/>
        <v>46419</v>
      </c>
      <c r="O270" s="2310"/>
      <c r="R270" s="2310"/>
      <c r="S270" s="2310"/>
      <c r="T270" s="2310"/>
      <c r="U270" s="2310"/>
      <c r="V270" s="2310"/>
      <c r="W270" s="2310"/>
    </row>
    <row r="271" spans="2:23" ht="16.5" customHeight="1" outlineLevel="1">
      <c r="B271" s="2242" t="s">
        <v>2717</v>
      </c>
      <c r="D271" s="2212" t="s">
        <v>2691</v>
      </c>
      <c r="E271" s="2311"/>
      <c r="F271" s="2311"/>
      <c r="G271" s="2311"/>
      <c r="H271" s="2311"/>
      <c r="I271" s="2311"/>
      <c r="J271" s="2311"/>
      <c r="K271" s="2311"/>
      <c r="L271" s="2311"/>
      <c r="M271" s="2311"/>
      <c r="N271" s="2311"/>
      <c r="O271" s="2311"/>
      <c r="R271" s="2311"/>
      <c r="S271" s="2311"/>
      <c r="T271" s="2311"/>
      <c r="U271" s="2311"/>
      <c r="V271" s="2311"/>
      <c r="W271" s="2311"/>
    </row>
    <row r="272" spans="2:23" outlineLevel="1">
      <c r="B272" s="2242" t="s">
        <v>2751</v>
      </c>
      <c r="C272" s="2254" t="s">
        <v>2752</v>
      </c>
      <c r="D272" s="2209">
        <v>1</v>
      </c>
      <c r="E272" s="2311">
        <f>+'[5]입력 시트(0124)'!E370</f>
        <v>1</v>
      </c>
      <c r="F272" s="2311">
        <f>+'[5]입력 시트(0124)'!F370</f>
        <v>1</v>
      </c>
      <c r="G272" s="2311">
        <f>+'[5]입력 시트(0124)'!G370</f>
        <v>1</v>
      </c>
      <c r="H272" s="2311">
        <f>+'[5]입력 시트(0124)'!H370</f>
        <v>1</v>
      </c>
      <c r="I272" s="2311">
        <f>+'[5]입력 시트(0124)'!I370</f>
        <v>1</v>
      </c>
      <c r="J272" s="2311">
        <f>+'[5]입력 시트(0124)'!F370</f>
        <v>1</v>
      </c>
      <c r="K272" s="2311">
        <f>+'[5]입력 시트(0124)'!G370</f>
        <v>1</v>
      </c>
      <c r="L272" s="2311">
        <f>+'[5]입력 시트(0124)'!H370</f>
        <v>1</v>
      </c>
      <c r="M272" s="2311">
        <f>+'[5]입력 시트(0124)'!I370</f>
        <v>1</v>
      </c>
      <c r="N272" s="2311">
        <v>1</v>
      </c>
      <c r="O272" s="2311">
        <v>1</v>
      </c>
      <c r="R272" s="2311">
        <f>+'[5]입력 시트(0124)'!T370</f>
        <v>0</v>
      </c>
      <c r="S272" s="2311">
        <f>+'[5]입력 시트(0124)'!U370</f>
        <v>0</v>
      </c>
      <c r="T272" s="2311">
        <f>+'[5]입력 시트(0124)'!V370</f>
        <v>0</v>
      </c>
      <c r="U272" s="2311">
        <f>+'[5]입력 시트(0124)'!W370</f>
        <v>0</v>
      </c>
      <c r="V272" s="2311">
        <f>+'[5]입력 시트(0124)'!X370</f>
        <v>0</v>
      </c>
      <c r="W272" s="2311">
        <f>+'[5]입력 시트(0124)'!U370</f>
        <v>0</v>
      </c>
    </row>
    <row r="273" spans="2:23" outlineLevel="1">
      <c r="B273" s="2242"/>
      <c r="C273" s="2254" t="s">
        <v>2691</v>
      </c>
      <c r="D273" s="2209">
        <f t="shared" ref="D273:D295" si="47">+D272+1</f>
        <v>2</v>
      </c>
      <c r="E273" s="2312"/>
      <c r="F273" s="2312"/>
      <c r="G273" s="2312"/>
      <c r="H273" s="2312"/>
      <c r="I273" s="2312"/>
      <c r="J273" s="2312"/>
      <c r="K273" s="2312"/>
      <c r="L273" s="2312"/>
      <c r="M273" s="2312"/>
      <c r="N273" s="2312"/>
      <c r="O273" s="2312"/>
      <c r="R273" s="2312"/>
      <c r="S273" s="2312"/>
      <c r="T273" s="2312"/>
      <c r="U273" s="2312"/>
      <c r="V273" s="2312"/>
      <c r="W273" s="2312"/>
    </row>
    <row r="274" spans="2:23" outlineLevel="1">
      <c r="B274" s="2242"/>
      <c r="C274" s="2254" t="s">
        <v>2691</v>
      </c>
      <c r="D274" s="2209">
        <f t="shared" si="47"/>
        <v>3</v>
      </c>
      <c r="E274" s="2312"/>
      <c r="F274" s="2312"/>
      <c r="G274" s="2312"/>
      <c r="H274" s="2312"/>
      <c r="I274" s="2312"/>
      <c r="J274" s="2312"/>
      <c r="K274" s="2312"/>
      <c r="L274" s="2312"/>
      <c r="M274" s="2312"/>
      <c r="N274" s="2312"/>
      <c r="O274" s="2312"/>
      <c r="R274" s="2312"/>
      <c r="S274" s="2312"/>
      <c r="T274" s="2312"/>
      <c r="U274" s="2312"/>
      <c r="V274" s="2312"/>
      <c r="W274" s="2312"/>
    </row>
    <row r="275" spans="2:23" outlineLevel="1">
      <c r="B275" s="2242"/>
      <c r="C275" s="2254" t="s">
        <v>2691</v>
      </c>
      <c r="D275" s="2209">
        <f t="shared" si="47"/>
        <v>4</v>
      </c>
      <c r="E275" s="2312"/>
      <c r="F275" s="2312"/>
      <c r="G275" s="2312"/>
      <c r="H275" s="2312"/>
      <c r="I275" s="2312"/>
      <c r="J275" s="2312"/>
      <c r="K275" s="2312"/>
      <c r="L275" s="2312"/>
      <c r="M275" s="2312"/>
      <c r="N275" s="2312"/>
      <c r="O275" s="2312"/>
      <c r="R275" s="2312"/>
      <c r="S275" s="2312"/>
      <c r="T275" s="2312"/>
      <c r="U275" s="2312"/>
      <c r="V275" s="2312"/>
      <c r="W275" s="2312"/>
    </row>
    <row r="276" spans="2:23" outlineLevel="1">
      <c r="B276" s="2242"/>
      <c r="C276" s="2254" t="s">
        <v>2691</v>
      </c>
      <c r="D276" s="2209">
        <f t="shared" si="47"/>
        <v>5</v>
      </c>
      <c r="E276" s="2312"/>
      <c r="F276" s="2312"/>
      <c r="G276" s="2312"/>
      <c r="H276" s="2312"/>
      <c r="I276" s="2312"/>
      <c r="J276" s="2312"/>
      <c r="K276" s="2312"/>
      <c r="L276" s="2312"/>
      <c r="M276" s="2312"/>
      <c r="N276" s="2312"/>
      <c r="O276" s="2312"/>
      <c r="R276" s="2312"/>
      <c r="S276" s="2312"/>
      <c r="T276" s="2312"/>
      <c r="U276" s="2312"/>
      <c r="V276" s="2312"/>
      <c r="W276" s="2312"/>
    </row>
    <row r="277" spans="2:23" outlineLevel="1">
      <c r="B277" s="2242"/>
      <c r="C277" s="2254" t="s">
        <v>2691</v>
      </c>
      <c r="D277" s="2209">
        <f t="shared" si="47"/>
        <v>6</v>
      </c>
      <c r="E277" s="2312"/>
      <c r="F277" s="2312"/>
      <c r="G277" s="2312"/>
      <c r="H277" s="2312"/>
      <c r="I277" s="2312"/>
      <c r="J277" s="2312"/>
      <c r="K277" s="2312"/>
      <c r="L277" s="2312"/>
      <c r="M277" s="2312"/>
      <c r="N277" s="2312"/>
      <c r="O277" s="2312"/>
      <c r="R277" s="2312"/>
      <c r="S277" s="2312"/>
      <c r="T277" s="2312"/>
      <c r="U277" s="2312"/>
      <c r="V277" s="2312"/>
      <c r="W277" s="2312"/>
    </row>
    <row r="278" spans="2:23" hidden="1" outlineLevel="1">
      <c r="B278" s="2242"/>
      <c r="C278" s="2254" t="s">
        <v>2691</v>
      </c>
      <c r="D278" s="2209">
        <f t="shared" si="47"/>
        <v>7</v>
      </c>
      <c r="E278" s="2312"/>
      <c r="F278" s="2312"/>
      <c r="G278" s="2312"/>
      <c r="H278" s="2312"/>
      <c r="I278" s="2312"/>
      <c r="J278" s="2312"/>
      <c r="K278" s="2312"/>
      <c r="L278" s="2312"/>
      <c r="M278" s="2312"/>
      <c r="N278" s="2312"/>
      <c r="O278" s="2312"/>
      <c r="R278" s="2312"/>
      <c r="S278" s="2312"/>
      <c r="T278" s="2312"/>
      <c r="U278" s="2312"/>
      <c r="V278" s="2312"/>
      <c r="W278" s="2312"/>
    </row>
    <row r="279" spans="2:23" hidden="1" outlineLevel="1">
      <c r="B279" s="2242"/>
      <c r="C279" s="2254" t="s">
        <v>2691</v>
      </c>
      <c r="D279" s="2209">
        <f t="shared" si="47"/>
        <v>8</v>
      </c>
      <c r="E279" s="2312"/>
      <c r="F279" s="2312"/>
      <c r="G279" s="2312"/>
      <c r="H279" s="2312"/>
      <c r="I279" s="2312"/>
      <c r="J279" s="2312"/>
      <c r="K279" s="2312"/>
      <c r="L279" s="2312"/>
      <c r="M279" s="2312"/>
      <c r="N279" s="2312"/>
      <c r="O279" s="2312"/>
      <c r="R279" s="2312"/>
      <c r="S279" s="2312"/>
      <c r="T279" s="2312"/>
      <c r="U279" s="2312"/>
      <c r="V279" s="2312"/>
      <c r="W279" s="2312"/>
    </row>
    <row r="280" spans="2:23" hidden="1" outlineLevel="1">
      <c r="B280" s="2242"/>
      <c r="C280" s="2254" t="s">
        <v>2691</v>
      </c>
      <c r="D280" s="2209">
        <f t="shared" si="47"/>
        <v>9</v>
      </c>
      <c r="E280" s="2312"/>
      <c r="F280" s="2312"/>
      <c r="G280" s="2312"/>
      <c r="H280" s="2312"/>
      <c r="I280" s="2312"/>
      <c r="J280" s="2312"/>
      <c r="K280" s="2312"/>
      <c r="L280" s="2312"/>
      <c r="M280" s="2312"/>
      <c r="N280" s="2312"/>
      <c r="O280" s="2312"/>
      <c r="R280" s="2312"/>
      <c r="S280" s="2312"/>
      <c r="T280" s="2312"/>
      <c r="U280" s="2312"/>
      <c r="V280" s="2312"/>
      <c r="W280" s="2312"/>
    </row>
    <row r="281" spans="2:23" hidden="1" outlineLevel="1">
      <c r="B281" s="2242"/>
      <c r="C281" s="2254" t="s">
        <v>2691</v>
      </c>
      <c r="D281" s="2209">
        <f t="shared" si="47"/>
        <v>10</v>
      </c>
      <c r="E281" s="2312"/>
      <c r="F281" s="2312"/>
      <c r="G281" s="2312"/>
      <c r="H281" s="2312"/>
      <c r="I281" s="2312"/>
      <c r="J281" s="2312"/>
      <c r="K281" s="2312"/>
      <c r="L281" s="2312"/>
      <c r="M281" s="2312"/>
      <c r="N281" s="2312"/>
      <c r="O281" s="2312"/>
      <c r="R281" s="2312"/>
      <c r="S281" s="2312"/>
      <c r="T281" s="2312"/>
      <c r="U281" s="2312"/>
      <c r="V281" s="2312"/>
      <c r="W281" s="2312"/>
    </row>
    <row r="282" spans="2:23" hidden="1" outlineLevel="1">
      <c r="B282" s="2242"/>
      <c r="C282" s="2254" t="s">
        <v>2691</v>
      </c>
      <c r="D282" s="2209">
        <f t="shared" si="47"/>
        <v>11</v>
      </c>
      <c r="E282" s="2312"/>
      <c r="F282" s="2312"/>
      <c r="G282" s="2312"/>
      <c r="H282" s="2312"/>
      <c r="I282" s="2312"/>
      <c r="J282" s="2312"/>
      <c r="K282" s="2312"/>
      <c r="L282" s="2312"/>
      <c r="M282" s="2312"/>
      <c r="N282" s="2312"/>
      <c r="O282" s="2312"/>
      <c r="R282" s="2312"/>
      <c r="S282" s="2312"/>
      <c r="T282" s="2312"/>
      <c r="U282" s="2312"/>
      <c r="V282" s="2312"/>
      <c r="W282" s="2312"/>
    </row>
    <row r="283" spans="2:23" hidden="1" outlineLevel="1">
      <c r="B283" s="2242"/>
      <c r="C283" s="2254" t="s">
        <v>2691</v>
      </c>
      <c r="D283" s="2209">
        <f t="shared" si="47"/>
        <v>12</v>
      </c>
      <c r="E283" s="2312"/>
      <c r="F283" s="2312"/>
      <c r="G283" s="2312"/>
      <c r="H283" s="2312"/>
      <c r="I283" s="2312"/>
      <c r="J283" s="2312"/>
      <c r="K283" s="2312"/>
      <c r="L283" s="2312"/>
      <c r="M283" s="2312"/>
      <c r="N283" s="2312"/>
      <c r="O283" s="2312"/>
      <c r="R283" s="2312"/>
      <c r="S283" s="2312"/>
      <c r="T283" s="2312"/>
      <c r="U283" s="2312"/>
      <c r="V283" s="2312"/>
      <c r="W283" s="2312"/>
    </row>
    <row r="284" spans="2:23" hidden="1" outlineLevel="1">
      <c r="B284" s="2242"/>
      <c r="C284" s="2254" t="s">
        <v>2691</v>
      </c>
      <c r="D284" s="2209">
        <f t="shared" si="47"/>
        <v>13</v>
      </c>
      <c r="E284" s="2313"/>
      <c r="F284" s="2313"/>
      <c r="G284" s="2313"/>
      <c r="H284" s="2313"/>
      <c r="I284" s="2313"/>
      <c r="J284" s="2313"/>
      <c r="K284" s="2313"/>
      <c r="L284" s="2313"/>
      <c r="M284" s="2313"/>
      <c r="N284" s="2313"/>
      <c r="O284" s="2313"/>
      <c r="R284" s="2313"/>
      <c r="S284" s="2313"/>
      <c r="T284" s="2313"/>
      <c r="U284" s="2313"/>
      <c r="V284" s="2313"/>
      <c r="W284" s="2313"/>
    </row>
    <row r="285" spans="2:23" hidden="1" outlineLevel="1">
      <c r="B285" s="2242"/>
      <c r="C285" s="2254" t="s">
        <v>2691</v>
      </c>
      <c r="D285" s="2209">
        <f t="shared" si="47"/>
        <v>14</v>
      </c>
      <c r="E285" s="2313"/>
      <c r="F285" s="2313"/>
      <c r="G285" s="2313"/>
      <c r="H285" s="2313"/>
      <c r="I285" s="2313"/>
      <c r="J285" s="2313"/>
      <c r="K285" s="2313"/>
      <c r="L285" s="2313"/>
      <c r="M285" s="2313"/>
      <c r="N285" s="2313"/>
      <c r="O285" s="2313"/>
      <c r="R285" s="2313"/>
      <c r="S285" s="2313"/>
      <c r="T285" s="2313"/>
      <c r="U285" s="2313"/>
      <c r="V285" s="2313"/>
      <c r="W285" s="2313"/>
    </row>
    <row r="286" spans="2:23" hidden="1" outlineLevel="1">
      <c r="B286" s="2242"/>
      <c r="C286" s="2254" t="s">
        <v>2691</v>
      </c>
      <c r="D286" s="2209">
        <f t="shared" si="47"/>
        <v>15</v>
      </c>
      <c r="E286" s="2313"/>
      <c r="F286" s="2313"/>
      <c r="G286" s="2313"/>
      <c r="H286" s="2313"/>
      <c r="I286" s="2313"/>
      <c r="J286" s="2313"/>
      <c r="K286" s="2313"/>
      <c r="L286" s="2313"/>
      <c r="M286" s="2313"/>
      <c r="N286" s="2313"/>
      <c r="O286" s="2313"/>
      <c r="R286" s="2313"/>
      <c r="S286" s="2313"/>
      <c r="T286" s="2313"/>
      <c r="U286" s="2313"/>
      <c r="V286" s="2313"/>
      <c r="W286" s="2313"/>
    </row>
    <row r="287" spans="2:23" hidden="1" outlineLevel="1">
      <c r="B287" s="2242"/>
      <c r="C287" s="2254" t="s">
        <v>2691</v>
      </c>
      <c r="D287" s="2209">
        <f t="shared" si="47"/>
        <v>16</v>
      </c>
      <c r="E287" s="2313"/>
      <c r="F287" s="2313"/>
      <c r="G287" s="2313"/>
      <c r="H287" s="2313"/>
      <c r="I287" s="2313"/>
      <c r="J287" s="2313"/>
      <c r="K287" s="2313"/>
      <c r="L287" s="2313"/>
      <c r="M287" s="2313"/>
      <c r="N287" s="2313"/>
      <c r="O287" s="2313"/>
      <c r="R287" s="2313"/>
      <c r="S287" s="2313"/>
      <c r="T287" s="2313"/>
      <c r="U287" s="2313"/>
      <c r="V287" s="2313"/>
      <c r="W287" s="2313"/>
    </row>
    <row r="288" spans="2:23" hidden="1" outlineLevel="1">
      <c r="B288" s="2242"/>
      <c r="C288" s="2254" t="s">
        <v>2691</v>
      </c>
      <c r="D288" s="2209">
        <f t="shared" si="47"/>
        <v>17</v>
      </c>
      <c r="E288" s="2313"/>
      <c r="F288" s="2313"/>
      <c r="G288" s="2313"/>
      <c r="H288" s="2313"/>
      <c r="I288" s="2313"/>
      <c r="J288" s="2313"/>
      <c r="K288" s="2313"/>
      <c r="L288" s="2313"/>
      <c r="M288" s="2313"/>
      <c r="N288" s="2313"/>
      <c r="O288" s="2313"/>
      <c r="R288" s="2313"/>
      <c r="S288" s="2313"/>
      <c r="T288" s="2313"/>
      <c r="U288" s="2313"/>
      <c r="V288" s="2313"/>
      <c r="W288" s="2313"/>
    </row>
    <row r="289" spans="2:23" hidden="1" outlineLevel="1">
      <c r="B289" s="2242"/>
      <c r="C289" s="2254" t="s">
        <v>2691</v>
      </c>
      <c r="D289" s="2209">
        <f t="shared" si="47"/>
        <v>18</v>
      </c>
      <c r="E289" s="2313"/>
      <c r="F289" s="2313"/>
      <c r="G289" s="2313"/>
      <c r="H289" s="2313"/>
      <c r="I289" s="2313"/>
      <c r="J289" s="2313"/>
      <c r="K289" s="2313"/>
      <c r="L289" s="2313"/>
      <c r="M289" s="2313"/>
      <c r="N289" s="2313"/>
      <c r="O289" s="2313"/>
      <c r="R289" s="2313"/>
      <c r="S289" s="2313"/>
      <c r="T289" s="2313"/>
      <c r="U289" s="2313"/>
      <c r="V289" s="2313"/>
      <c r="W289" s="2313"/>
    </row>
    <row r="290" spans="2:23" hidden="1" outlineLevel="1">
      <c r="B290" s="2242"/>
      <c r="C290" s="2254" t="s">
        <v>2691</v>
      </c>
      <c r="D290" s="2209">
        <f t="shared" si="47"/>
        <v>19</v>
      </c>
      <c r="E290" s="2313"/>
      <c r="F290" s="2313"/>
      <c r="G290" s="2313"/>
      <c r="H290" s="2313"/>
      <c r="I290" s="2313"/>
      <c r="J290" s="2313"/>
      <c r="K290" s="2313"/>
      <c r="L290" s="2313"/>
      <c r="M290" s="2313"/>
      <c r="N290" s="2313"/>
      <c r="O290" s="2313"/>
      <c r="R290" s="2313"/>
      <c r="S290" s="2313"/>
      <c r="T290" s="2313"/>
      <c r="U290" s="2313"/>
      <c r="V290" s="2313"/>
      <c r="W290" s="2313"/>
    </row>
    <row r="291" spans="2:23" hidden="1" outlineLevel="1">
      <c r="B291" s="2242"/>
      <c r="C291" s="2254" t="s">
        <v>2691</v>
      </c>
      <c r="D291" s="2209">
        <f t="shared" si="47"/>
        <v>20</v>
      </c>
      <c r="E291" s="2313"/>
      <c r="F291" s="2313"/>
      <c r="G291" s="2313"/>
      <c r="H291" s="2313"/>
      <c r="I291" s="2313"/>
      <c r="J291" s="2313"/>
      <c r="K291" s="2313"/>
      <c r="L291" s="2313"/>
      <c r="M291" s="2313"/>
      <c r="N291" s="2313"/>
      <c r="O291" s="2313"/>
      <c r="R291" s="2313"/>
      <c r="S291" s="2313"/>
      <c r="T291" s="2313"/>
      <c r="U291" s="2313"/>
      <c r="V291" s="2313"/>
      <c r="W291" s="2313"/>
    </row>
    <row r="292" spans="2:23" hidden="1" outlineLevel="1">
      <c r="B292" s="2242"/>
      <c r="C292" s="2254" t="s">
        <v>2691</v>
      </c>
      <c r="D292" s="2209">
        <f t="shared" si="47"/>
        <v>21</v>
      </c>
      <c r="E292" s="2313"/>
      <c r="F292" s="2313"/>
      <c r="G292" s="2313"/>
      <c r="H292" s="2313"/>
      <c r="I292" s="2313"/>
      <c r="J292" s="2313"/>
      <c r="K292" s="2313"/>
      <c r="L292" s="2313"/>
      <c r="M292" s="2313"/>
      <c r="N292" s="2313"/>
      <c r="O292" s="2313"/>
      <c r="R292" s="2313"/>
      <c r="S292" s="2313"/>
      <c r="T292" s="2313"/>
      <c r="U292" s="2313"/>
      <c r="V292" s="2313"/>
      <c r="W292" s="2313"/>
    </row>
    <row r="293" spans="2:23" hidden="1" outlineLevel="1">
      <c r="B293" s="2242"/>
      <c r="C293" s="2254" t="s">
        <v>2691</v>
      </c>
      <c r="D293" s="2209">
        <f t="shared" si="47"/>
        <v>22</v>
      </c>
      <c r="E293" s="2313"/>
      <c r="F293" s="2313"/>
      <c r="G293" s="2313"/>
      <c r="H293" s="2313"/>
      <c r="I293" s="2313"/>
      <c r="J293" s="2313"/>
      <c r="K293" s="2313"/>
      <c r="L293" s="2313"/>
      <c r="M293" s="2313"/>
      <c r="N293" s="2313"/>
      <c r="O293" s="2313"/>
      <c r="R293" s="2313"/>
      <c r="S293" s="2313"/>
      <c r="T293" s="2313"/>
      <c r="U293" s="2313"/>
      <c r="V293" s="2313"/>
      <c r="W293" s="2313"/>
    </row>
    <row r="294" spans="2:23" hidden="1" outlineLevel="1">
      <c r="B294" s="2242"/>
      <c r="C294" s="2254" t="s">
        <v>2691</v>
      </c>
      <c r="D294" s="2209">
        <f t="shared" si="47"/>
        <v>23</v>
      </c>
      <c r="E294" s="2313"/>
      <c r="F294" s="2313"/>
      <c r="G294" s="2313"/>
      <c r="H294" s="2313"/>
      <c r="I294" s="2313"/>
      <c r="J294" s="2313"/>
      <c r="K294" s="2313"/>
      <c r="L294" s="2313"/>
      <c r="M294" s="2313"/>
      <c r="N294" s="2313"/>
      <c r="O294" s="2313"/>
      <c r="R294" s="2313"/>
      <c r="S294" s="2313"/>
      <c r="T294" s="2313"/>
      <c r="U294" s="2313"/>
      <c r="V294" s="2313"/>
      <c r="W294" s="2313"/>
    </row>
    <row r="295" spans="2:23" hidden="1" outlineLevel="1">
      <c r="B295" s="2242"/>
      <c r="C295" s="2254" t="s">
        <v>2691</v>
      </c>
      <c r="D295" s="2209">
        <f t="shared" si="47"/>
        <v>24</v>
      </c>
      <c r="E295" s="2313"/>
      <c r="F295" s="2313"/>
      <c r="G295" s="2313"/>
      <c r="H295" s="2313"/>
      <c r="I295" s="2313"/>
      <c r="J295" s="2313"/>
      <c r="K295" s="2313"/>
      <c r="L295" s="2313"/>
      <c r="M295" s="2313"/>
      <c r="N295" s="2313"/>
      <c r="O295" s="2313"/>
      <c r="R295" s="2313"/>
      <c r="S295" s="2313"/>
      <c r="T295" s="2313"/>
      <c r="U295" s="2313"/>
      <c r="V295" s="2313"/>
      <c r="W295" s="2313"/>
    </row>
    <row r="296" spans="2:23" outlineLevel="1">
      <c r="B296" s="2242" t="s">
        <v>2721</v>
      </c>
      <c r="E296" s="2326"/>
      <c r="F296" s="2326"/>
      <c r="G296" s="2326"/>
      <c r="H296" s="2326"/>
      <c r="I296" s="2326"/>
      <c r="J296" s="2326"/>
      <c r="K296" s="2326"/>
      <c r="L296" s="2326"/>
      <c r="M296" s="2326"/>
      <c r="N296" s="2326"/>
      <c r="O296" s="2326"/>
      <c r="R296" s="2327"/>
      <c r="S296" s="2327"/>
      <c r="T296" s="2327"/>
      <c r="U296" s="2327"/>
      <c r="V296" s="2327"/>
      <c r="W296" s="2327"/>
    </row>
    <row r="297" spans="2:23" outlineLevel="1">
      <c r="R297" s="2269"/>
      <c r="S297" s="2269"/>
      <c r="T297" s="2269"/>
      <c r="U297" s="2269"/>
      <c r="V297" s="2269"/>
      <c r="W297" s="2269"/>
    </row>
    <row r="298" spans="2:23" hidden="1" outlineLevel="1">
      <c r="B298" s="2227" t="s">
        <v>2760</v>
      </c>
      <c r="D298" s="2270"/>
      <c r="E298" s="2271"/>
      <c r="F298" s="2271"/>
      <c r="G298" s="2271"/>
      <c r="H298" s="2271"/>
      <c r="I298" s="2271"/>
      <c r="J298" s="2271"/>
      <c r="K298" s="2271"/>
      <c r="L298" s="2271"/>
      <c r="M298" s="2271"/>
      <c r="N298" s="2271"/>
      <c r="O298" s="2271"/>
      <c r="R298" s="2272"/>
      <c r="S298" s="2272"/>
      <c r="T298" s="2272"/>
      <c r="U298" s="2272"/>
      <c r="V298" s="2272"/>
      <c r="W298" s="2272"/>
    </row>
    <row r="299" spans="2:23" ht="16.5" hidden="1" customHeight="1" outlineLevel="1">
      <c r="B299" s="2242" t="s">
        <v>2665</v>
      </c>
      <c r="C299" s="2314"/>
      <c r="D299" s="2315"/>
      <c r="E299" s="2221" t="s">
        <v>2728</v>
      </c>
      <c r="F299" s="2221" t="s">
        <v>2728</v>
      </c>
      <c r="G299" s="2221" t="s">
        <v>2728</v>
      </c>
      <c r="H299" s="2221" t="s">
        <v>2728</v>
      </c>
      <c r="I299" s="2221" t="s">
        <v>2728</v>
      </c>
      <c r="J299" s="2221" t="s">
        <v>2728</v>
      </c>
      <c r="K299" s="2221" t="s">
        <v>2728</v>
      </c>
      <c r="L299" s="2221" t="s">
        <v>2728</v>
      </c>
      <c r="M299" s="2221" t="s">
        <v>2728</v>
      </c>
      <c r="N299" s="2221" t="s">
        <v>2728</v>
      </c>
      <c r="O299" s="2221" t="s">
        <v>2728</v>
      </c>
      <c r="R299" s="2221" t="s">
        <v>2728</v>
      </c>
      <c r="S299" s="2221" t="s">
        <v>2728</v>
      </c>
      <c r="T299" s="2221" t="s">
        <v>2728</v>
      </c>
      <c r="U299" s="2221" t="s">
        <v>2728</v>
      </c>
      <c r="V299" s="2221" t="s">
        <v>2728</v>
      </c>
      <c r="W299" s="2221" t="s">
        <v>2728</v>
      </c>
    </row>
    <row r="300" spans="2:23" hidden="1" outlineLevel="1">
      <c r="B300" s="2242" t="s">
        <v>2708</v>
      </c>
      <c r="D300" s="2263" t="s">
        <v>2750</v>
      </c>
      <c r="E300" s="2325">
        <f>+'[5]입력 시트(0124)'!E398</f>
        <v>0</v>
      </c>
      <c r="F300" s="2325">
        <f>+'[5]입력 시트(0124)'!F398</f>
        <v>0</v>
      </c>
      <c r="G300" s="2325">
        <f>+'[5]입력 시트(0124)'!G398</f>
        <v>0</v>
      </c>
      <c r="H300" s="2325">
        <f>+'[5]입력 시트(0124)'!H398</f>
        <v>0</v>
      </c>
      <c r="I300" s="2325">
        <f>+'[5]입력 시트(0124)'!I398</f>
        <v>0</v>
      </c>
      <c r="J300" s="2325">
        <f>+'[5]입력 시트(0124)'!J398</f>
        <v>0</v>
      </c>
      <c r="K300" s="2325">
        <f>+'[5]입력 시트(0124)'!G398</f>
        <v>0</v>
      </c>
      <c r="L300" s="2325">
        <f>+'[5]입력 시트(0124)'!H398</f>
        <v>0</v>
      </c>
      <c r="M300" s="2325">
        <f>+'[5]입력 시트(0124)'!I398</f>
        <v>0</v>
      </c>
      <c r="N300" s="2325">
        <f>+'[5]입력 시트(0124)'!N398</f>
        <v>0</v>
      </c>
      <c r="O300" s="2325">
        <f>+'[5]입력 시트(0124)'!Q398</f>
        <v>0</v>
      </c>
      <c r="R300" s="2325">
        <f>+'[5]입력 시트(0124)'!T398</f>
        <v>0</v>
      </c>
      <c r="S300" s="2325">
        <f>+'[5]입력 시트(0124)'!U398</f>
        <v>0</v>
      </c>
      <c r="T300" s="2325">
        <f>+'[5]입력 시트(0124)'!V398</f>
        <v>0</v>
      </c>
      <c r="U300" s="2325">
        <f>+'[5]입력 시트(0124)'!W398</f>
        <v>0</v>
      </c>
      <c r="V300" s="2325">
        <f>+'[5]입력 시트(0124)'!X398</f>
        <v>0</v>
      </c>
      <c r="W300" s="2325">
        <f>+'[5]입력 시트(0124)'!Y398</f>
        <v>0</v>
      </c>
    </row>
    <row r="301" spans="2:23" ht="16.5" hidden="1" customHeight="1" outlineLevel="1">
      <c r="B301" s="2242" t="s">
        <v>2724</v>
      </c>
      <c r="D301" s="2212" t="s">
        <v>2713</v>
      </c>
      <c r="E301" s="2309">
        <v>0</v>
      </c>
      <c r="F301" s="2309">
        <v>0</v>
      </c>
      <c r="G301" s="2309">
        <v>0</v>
      </c>
      <c r="H301" s="2309">
        <v>0</v>
      </c>
      <c r="I301" s="2309">
        <v>0</v>
      </c>
      <c r="J301" s="2309">
        <v>0</v>
      </c>
      <c r="K301" s="2309">
        <v>0</v>
      </c>
      <c r="L301" s="2309">
        <v>0</v>
      </c>
      <c r="M301" s="2309">
        <v>0</v>
      </c>
      <c r="N301" s="2309">
        <v>0</v>
      </c>
      <c r="O301" s="2309">
        <v>0</v>
      </c>
      <c r="R301" s="2309">
        <v>0</v>
      </c>
      <c r="S301" s="2309">
        <v>0</v>
      </c>
      <c r="T301" s="2309">
        <v>0</v>
      </c>
      <c r="U301" s="2309">
        <v>0</v>
      </c>
      <c r="V301" s="2309">
        <v>0</v>
      </c>
      <c r="W301" s="2309">
        <v>0</v>
      </c>
    </row>
    <row r="302" spans="2:23" ht="16.5" hidden="1" customHeight="1" outlineLevel="1">
      <c r="B302" s="2242" t="s">
        <v>2725</v>
      </c>
      <c r="D302" s="2212" t="s">
        <v>2715</v>
      </c>
      <c r="E302" s="2310"/>
      <c r="F302" s="2310"/>
      <c r="G302" s="2310"/>
      <c r="H302" s="2310"/>
      <c r="I302" s="2310"/>
      <c r="J302" s="2310"/>
      <c r="K302" s="2310"/>
      <c r="L302" s="2310"/>
      <c r="M302" s="2310"/>
      <c r="N302" s="2310"/>
      <c r="O302" s="2310"/>
      <c r="R302" s="2310"/>
      <c r="S302" s="2310"/>
      <c r="T302" s="2310"/>
      <c r="U302" s="2310"/>
      <c r="V302" s="2310"/>
      <c r="W302" s="2310"/>
    </row>
    <row r="303" spans="2:23" ht="16.5" hidden="1" customHeight="1" outlineLevel="1">
      <c r="B303" s="2242" t="s">
        <v>2717</v>
      </c>
      <c r="D303" s="2212" t="s">
        <v>2691</v>
      </c>
      <c r="E303" s="2311"/>
      <c r="F303" s="2311"/>
      <c r="G303" s="2311"/>
      <c r="H303" s="2311"/>
      <c r="I303" s="2311"/>
      <c r="J303" s="2311"/>
      <c r="K303" s="2311"/>
      <c r="L303" s="2311"/>
      <c r="M303" s="2311"/>
      <c r="N303" s="2311"/>
      <c r="O303" s="2311"/>
      <c r="R303" s="2311"/>
      <c r="S303" s="2311"/>
      <c r="T303" s="2311"/>
      <c r="U303" s="2311"/>
      <c r="V303" s="2311"/>
      <c r="W303" s="2311"/>
    </row>
    <row r="304" spans="2:23" hidden="1" outlineLevel="1">
      <c r="B304" s="2209" t="s">
        <v>2751</v>
      </c>
      <c r="C304" s="2254" t="s">
        <v>2752</v>
      </c>
      <c r="D304" s="2209">
        <v>1</v>
      </c>
      <c r="E304" s="2311">
        <f>+'[5]입력 시트(0124)'!E402</f>
        <v>0</v>
      </c>
      <c r="F304" s="2311">
        <f>+'[5]입력 시트(0124)'!F402</f>
        <v>0</v>
      </c>
      <c r="G304" s="2311">
        <f>+'[5]입력 시트(0124)'!G402</f>
        <v>0</v>
      </c>
      <c r="H304" s="2311">
        <f>+'[5]입력 시트(0124)'!H402</f>
        <v>0</v>
      </c>
      <c r="I304" s="2311">
        <f>+'[5]입력 시트(0124)'!I402</f>
        <v>0</v>
      </c>
      <c r="J304" s="2311">
        <f>+'[5]입력 시트(0124)'!J402</f>
        <v>0</v>
      </c>
      <c r="K304" s="2311">
        <f>+'[5]입력 시트(0124)'!G402</f>
        <v>0</v>
      </c>
      <c r="L304" s="2311">
        <f>+'[5]입력 시트(0124)'!H402</f>
        <v>0</v>
      </c>
      <c r="M304" s="2311">
        <f>+'[5]입력 시트(0124)'!I402</f>
        <v>0</v>
      </c>
      <c r="N304" s="2311">
        <f>+'[5]입력 시트(0124)'!N402</f>
        <v>0</v>
      </c>
      <c r="O304" s="2311">
        <f>+'[5]입력 시트(0124)'!Q402</f>
        <v>0</v>
      </c>
      <c r="R304" s="2311">
        <f>+'[5]입력 시트(0124)'!T402</f>
        <v>0</v>
      </c>
      <c r="S304" s="2311">
        <f>+'[5]입력 시트(0124)'!U402</f>
        <v>0</v>
      </c>
      <c r="T304" s="2311">
        <f>+'[5]입력 시트(0124)'!V402</f>
        <v>0</v>
      </c>
      <c r="U304" s="2311">
        <f>+'[5]입력 시트(0124)'!W402</f>
        <v>0</v>
      </c>
      <c r="V304" s="2311">
        <f>+'[5]입력 시트(0124)'!X402</f>
        <v>0</v>
      </c>
      <c r="W304" s="2311">
        <f>+'[5]입력 시트(0124)'!Y402</f>
        <v>0</v>
      </c>
    </row>
    <row r="305" spans="2:23" hidden="1" outlineLevel="1">
      <c r="B305" s="2242"/>
      <c r="C305" s="2254" t="s">
        <v>2691</v>
      </c>
      <c r="D305" s="2209">
        <f>+D304+1</f>
        <v>2</v>
      </c>
      <c r="E305" s="2311">
        <f>+'[5]입력 시트(0124)'!E403</f>
        <v>0</v>
      </c>
      <c r="F305" s="2311">
        <f>+'[5]입력 시트(0124)'!F403</f>
        <v>0</v>
      </c>
      <c r="G305" s="2311">
        <f>+'[5]입력 시트(0124)'!G403</f>
        <v>0</v>
      </c>
      <c r="H305" s="2311">
        <f>+'[5]입력 시트(0124)'!H403</f>
        <v>0</v>
      </c>
      <c r="I305" s="2311">
        <f>+'[5]입력 시트(0124)'!I403</f>
        <v>0</v>
      </c>
      <c r="J305" s="2311">
        <f>+'[5]입력 시트(0124)'!J403</f>
        <v>0</v>
      </c>
      <c r="K305" s="2311">
        <f>+'[5]입력 시트(0124)'!G403</f>
        <v>0</v>
      </c>
      <c r="L305" s="2311">
        <f>+'[5]입력 시트(0124)'!H403</f>
        <v>0</v>
      </c>
      <c r="M305" s="2311">
        <f>+'[5]입력 시트(0124)'!I403</f>
        <v>0</v>
      </c>
      <c r="N305" s="2311">
        <f>+'[5]입력 시트(0124)'!N403</f>
        <v>0</v>
      </c>
      <c r="O305" s="2311">
        <f>+'[5]입력 시트(0124)'!Q403</f>
        <v>0</v>
      </c>
      <c r="R305" s="2311">
        <f>+'[5]입력 시트(0124)'!T403</f>
        <v>0</v>
      </c>
      <c r="S305" s="2311">
        <f>+'[5]입력 시트(0124)'!U403</f>
        <v>0</v>
      </c>
      <c r="T305" s="2311">
        <f>+'[5]입력 시트(0124)'!V403</f>
        <v>0</v>
      </c>
      <c r="U305" s="2311">
        <f>+'[5]입력 시트(0124)'!W403</f>
        <v>0</v>
      </c>
      <c r="V305" s="2311">
        <f>+'[5]입력 시트(0124)'!X403</f>
        <v>0</v>
      </c>
      <c r="W305" s="2311">
        <f>+'[5]입력 시트(0124)'!Y403</f>
        <v>0</v>
      </c>
    </row>
    <row r="306" spans="2:23" hidden="1" outlineLevel="1">
      <c r="B306" s="2242"/>
      <c r="C306" s="2254" t="s">
        <v>2691</v>
      </c>
      <c r="D306" s="2209">
        <f t="shared" ref="D306:D327" si="48">+D305+1</f>
        <v>3</v>
      </c>
      <c r="E306" s="2311">
        <f>+'[5]입력 시트(0124)'!E404</f>
        <v>0</v>
      </c>
      <c r="F306" s="2311">
        <f>+'[5]입력 시트(0124)'!F404</f>
        <v>0</v>
      </c>
      <c r="G306" s="2311">
        <f>+'[5]입력 시트(0124)'!G404</f>
        <v>0</v>
      </c>
      <c r="H306" s="2311">
        <f>+'[5]입력 시트(0124)'!H404</f>
        <v>0</v>
      </c>
      <c r="I306" s="2311">
        <f>+'[5]입력 시트(0124)'!I404</f>
        <v>0</v>
      </c>
      <c r="J306" s="2311">
        <f>+'[5]입력 시트(0124)'!J404</f>
        <v>0</v>
      </c>
      <c r="K306" s="2311">
        <f>+'[5]입력 시트(0124)'!G404</f>
        <v>0</v>
      </c>
      <c r="L306" s="2311">
        <f>+'[5]입력 시트(0124)'!H404</f>
        <v>0</v>
      </c>
      <c r="M306" s="2311">
        <f>+'[5]입력 시트(0124)'!I404</f>
        <v>0</v>
      </c>
      <c r="N306" s="2311">
        <f>+'[5]입력 시트(0124)'!N404</f>
        <v>0</v>
      </c>
      <c r="O306" s="2311">
        <f>+'[5]입력 시트(0124)'!Q404</f>
        <v>0</v>
      </c>
      <c r="R306" s="2311">
        <f>+'[5]입력 시트(0124)'!T404</f>
        <v>0</v>
      </c>
      <c r="S306" s="2311">
        <f>+'[5]입력 시트(0124)'!U404</f>
        <v>0</v>
      </c>
      <c r="T306" s="2311">
        <f>+'[5]입력 시트(0124)'!V404</f>
        <v>0</v>
      </c>
      <c r="U306" s="2311">
        <f>+'[5]입력 시트(0124)'!W404</f>
        <v>0</v>
      </c>
      <c r="V306" s="2311">
        <f>+'[5]입력 시트(0124)'!X404</f>
        <v>0</v>
      </c>
      <c r="W306" s="2311">
        <f>+'[5]입력 시트(0124)'!Y404</f>
        <v>0</v>
      </c>
    </row>
    <row r="307" spans="2:23" hidden="1" outlineLevel="1">
      <c r="B307" s="2242"/>
      <c r="C307" s="2254" t="s">
        <v>2691</v>
      </c>
      <c r="D307" s="2209">
        <f t="shared" si="48"/>
        <v>4</v>
      </c>
      <c r="E307" s="2311">
        <f>+'[5]입력 시트(0124)'!E405</f>
        <v>0</v>
      </c>
      <c r="F307" s="2311">
        <f>+'[5]입력 시트(0124)'!F405</f>
        <v>0</v>
      </c>
      <c r="G307" s="2311">
        <f>+'[5]입력 시트(0124)'!G405</f>
        <v>0</v>
      </c>
      <c r="H307" s="2311">
        <f>+'[5]입력 시트(0124)'!H405</f>
        <v>0</v>
      </c>
      <c r="I307" s="2311">
        <f>+'[5]입력 시트(0124)'!I405</f>
        <v>0</v>
      </c>
      <c r="J307" s="2311">
        <f>+'[5]입력 시트(0124)'!J405</f>
        <v>0</v>
      </c>
      <c r="K307" s="2311">
        <f>+'[5]입력 시트(0124)'!G405</f>
        <v>0</v>
      </c>
      <c r="L307" s="2311">
        <f>+'[5]입력 시트(0124)'!H405</f>
        <v>0</v>
      </c>
      <c r="M307" s="2311">
        <f>+'[5]입력 시트(0124)'!I405</f>
        <v>0</v>
      </c>
      <c r="N307" s="2311">
        <f>+'[5]입력 시트(0124)'!N405</f>
        <v>0</v>
      </c>
      <c r="O307" s="2311">
        <f>+'[5]입력 시트(0124)'!Q405</f>
        <v>0</v>
      </c>
      <c r="R307" s="2311">
        <f>+'[5]입력 시트(0124)'!T405</f>
        <v>0</v>
      </c>
      <c r="S307" s="2311">
        <f>+'[5]입력 시트(0124)'!U405</f>
        <v>0</v>
      </c>
      <c r="T307" s="2311">
        <f>+'[5]입력 시트(0124)'!V405</f>
        <v>0</v>
      </c>
      <c r="U307" s="2311">
        <f>+'[5]입력 시트(0124)'!W405</f>
        <v>0</v>
      </c>
      <c r="V307" s="2311">
        <f>+'[5]입력 시트(0124)'!X405</f>
        <v>0</v>
      </c>
      <c r="W307" s="2311">
        <f>+'[5]입력 시트(0124)'!Y405</f>
        <v>0</v>
      </c>
    </row>
    <row r="308" spans="2:23" hidden="1" outlineLevel="1">
      <c r="B308" s="2242"/>
      <c r="C308" s="2254" t="s">
        <v>2691</v>
      </c>
      <c r="D308" s="2209">
        <f t="shared" si="48"/>
        <v>5</v>
      </c>
      <c r="E308" s="2311">
        <f>+'[5]입력 시트(0124)'!E406</f>
        <v>0</v>
      </c>
      <c r="F308" s="2311">
        <f>+'[5]입력 시트(0124)'!F406</f>
        <v>0</v>
      </c>
      <c r="G308" s="2311">
        <f>+'[5]입력 시트(0124)'!G406</f>
        <v>0</v>
      </c>
      <c r="H308" s="2311">
        <f>+'[5]입력 시트(0124)'!H406</f>
        <v>0</v>
      </c>
      <c r="I308" s="2311">
        <f>+'[5]입력 시트(0124)'!I406</f>
        <v>0</v>
      </c>
      <c r="J308" s="2311">
        <f>+'[5]입력 시트(0124)'!J406</f>
        <v>0</v>
      </c>
      <c r="K308" s="2311">
        <f>+'[5]입력 시트(0124)'!G406</f>
        <v>0</v>
      </c>
      <c r="L308" s="2311">
        <f>+'[5]입력 시트(0124)'!H406</f>
        <v>0</v>
      </c>
      <c r="M308" s="2311">
        <f>+'[5]입력 시트(0124)'!I406</f>
        <v>0</v>
      </c>
      <c r="N308" s="2311">
        <f>+'[5]입력 시트(0124)'!N406</f>
        <v>0</v>
      </c>
      <c r="O308" s="2311">
        <f>+'[5]입력 시트(0124)'!Q406</f>
        <v>0</v>
      </c>
      <c r="R308" s="2311">
        <f>+'[5]입력 시트(0124)'!T406</f>
        <v>0</v>
      </c>
      <c r="S308" s="2311">
        <f>+'[5]입력 시트(0124)'!U406</f>
        <v>0</v>
      </c>
      <c r="T308" s="2311">
        <f>+'[5]입력 시트(0124)'!V406</f>
        <v>0</v>
      </c>
      <c r="U308" s="2311">
        <f>+'[5]입력 시트(0124)'!W406</f>
        <v>0</v>
      </c>
      <c r="V308" s="2311">
        <f>+'[5]입력 시트(0124)'!X406</f>
        <v>0</v>
      </c>
      <c r="W308" s="2311">
        <f>+'[5]입력 시트(0124)'!Y406</f>
        <v>0</v>
      </c>
    </row>
    <row r="309" spans="2:23" hidden="1" outlineLevel="1">
      <c r="B309" s="2242"/>
      <c r="C309" s="2254" t="s">
        <v>2691</v>
      </c>
      <c r="D309" s="2209">
        <f t="shared" si="48"/>
        <v>6</v>
      </c>
      <c r="E309" s="2311">
        <f>+'[5]입력 시트(0124)'!E407</f>
        <v>0</v>
      </c>
      <c r="F309" s="2311">
        <f>+'[5]입력 시트(0124)'!F407</f>
        <v>0</v>
      </c>
      <c r="G309" s="2311">
        <f>+'[5]입력 시트(0124)'!G407</f>
        <v>0</v>
      </c>
      <c r="H309" s="2311">
        <f>+'[5]입력 시트(0124)'!H407</f>
        <v>0</v>
      </c>
      <c r="I309" s="2311">
        <f>+'[5]입력 시트(0124)'!I407</f>
        <v>0</v>
      </c>
      <c r="J309" s="2311">
        <f>+'[5]입력 시트(0124)'!J407</f>
        <v>0</v>
      </c>
      <c r="K309" s="2311">
        <f>+'[5]입력 시트(0124)'!G407</f>
        <v>0</v>
      </c>
      <c r="L309" s="2311">
        <f>+'[5]입력 시트(0124)'!H407</f>
        <v>0</v>
      </c>
      <c r="M309" s="2311">
        <f>+'[5]입력 시트(0124)'!I407</f>
        <v>0</v>
      </c>
      <c r="N309" s="2311">
        <f>+'[5]입력 시트(0124)'!N407</f>
        <v>0</v>
      </c>
      <c r="O309" s="2311">
        <f>+'[5]입력 시트(0124)'!Q407</f>
        <v>0</v>
      </c>
      <c r="R309" s="2311">
        <f>+'[5]입력 시트(0124)'!T407</f>
        <v>0</v>
      </c>
      <c r="S309" s="2311">
        <f>+'[5]입력 시트(0124)'!U407</f>
        <v>0</v>
      </c>
      <c r="T309" s="2311">
        <f>+'[5]입력 시트(0124)'!V407</f>
        <v>0</v>
      </c>
      <c r="U309" s="2311">
        <f>+'[5]입력 시트(0124)'!W407</f>
        <v>0</v>
      </c>
      <c r="V309" s="2311">
        <f>+'[5]입력 시트(0124)'!X407</f>
        <v>0</v>
      </c>
      <c r="W309" s="2311">
        <f>+'[5]입력 시트(0124)'!Y407</f>
        <v>0</v>
      </c>
    </row>
    <row r="310" spans="2:23" hidden="1" outlineLevel="1">
      <c r="B310" s="2242"/>
      <c r="C310" s="2254" t="s">
        <v>2691</v>
      </c>
      <c r="D310" s="2209">
        <f t="shared" si="48"/>
        <v>7</v>
      </c>
      <c r="E310" s="2311">
        <f>+'[5]입력 시트(0124)'!E408</f>
        <v>0</v>
      </c>
      <c r="F310" s="2311">
        <f>+'[5]입력 시트(0124)'!F408</f>
        <v>0</v>
      </c>
      <c r="G310" s="2311">
        <f>+'[5]입력 시트(0124)'!G408</f>
        <v>0</v>
      </c>
      <c r="H310" s="2311">
        <f>+'[5]입력 시트(0124)'!H408</f>
        <v>0</v>
      </c>
      <c r="I310" s="2311">
        <f>+'[5]입력 시트(0124)'!I408</f>
        <v>0</v>
      </c>
      <c r="J310" s="2311">
        <f>+'[5]입력 시트(0124)'!J408</f>
        <v>0</v>
      </c>
      <c r="K310" s="2311">
        <f>+'[5]입력 시트(0124)'!G408</f>
        <v>0</v>
      </c>
      <c r="L310" s="2311">
        <f>+'[5]입력 시트(0124)'!H408</f>
        <v>0</v>
      </c>
      <c r="M310" s="2311">
        <f>+'[5]입력 시트(0124)'!I408</f>
        <v>0</v>
      </c>
      <c r="N310" s="2311">
        <f>+'[5]입력 시트(0124)'!N408</f>
        <v>0</v>
      </c>
      <c r="O310" s="2311">
        <f>+'[5]입력 시트(0124)'!Q408</f>
        <v>0</v>
      </c>
      <c r="R310" s="2311">
        <f>+'[5]입력 시트(0124)'!T408</f>
        <v>0</v>
      </c>
      <c r="S310" s="2311">
        <f>+'[5]입력 시트(0124)'!U408</f>
        <v>0</v>
      </c>
      <c r="T310" s="2311">
        <f>+'[5]입력 시트(0124)'!V408</f>
        <v>0</v>
      </c>
      <c r="U310" s="2311">
        <f>+'[5]입력 시트(0124)'!W408</f>
        <v>0</v>
      </c>
      <c r="V310" s="2311">
        <f>+'[5]입력 시트(0124)'!X408</f>
        <v>0</v>
      </c>
      <c r="W310" s="2311">
        <f>+'[5]입력 시트(0124)'!Y408</f>
        <v>0</v>
      </c>
    </row>
    <row r="311" spans="2:23" hidden="1" outlineLevel="1">
      <c r="B311" s="2242"/>
      <c r="C311" s="2254" t="s">
        <v>2691</v>
      </c>
      <c r="D311" s="2209">
        <f t="shared" si="48"/>
        <v>8</v>
      </c>
      <c r="E311" s="2311">
        <f>+'[5]입력 시트(0124)'!E409</f>
        <v>0</v>
      </c>
      <c r="F311" s="2311">
        <f>+'[5]입력 시트(0124)'!F409</f>
        <v>0</v>
      </c>
      <c r="G311" s="2311">
        <f>+'[5]입력 시트(0124)'!G409</f>
        <v>0</v>
      </c>
      <c r="H311" s="2311">
        <f>+'[5]입력 시트(0124)'!H409</f>
        <v>0</v>
      </c>
      <c r="I311" s="2311">
        <f>+'[5]입력 시트(0124)'!I409</f>
        <v>0</v>
      </c>
      <c r="J311" s="2311">
        <f>+'[5]입력 시트(0124)'!J409</f>
        <v>0</v>
      </c>
      <c r="K311" s="2311">
        <f>+'[5]입력 시트(0124)'!G409</f>
        <v>0</v>
      </c>
      <c r="L311" s="2311">
        <f>+'[5]입력 시트(0124)'!H409</f>
        <v>0</v>
      </c>
      <c r="M311" s="2311">
        <f>+'[5]입력 시트(0124)'!I409</f>
        <v>0</v>
      </c>
      <c r="N311" s="2311">
        <f>+'[5]입력 시트(0124)'!N409</f>
        <v>0</v>
      </c>
      <c r="O311" s="2311">
        <f>+'[5]입력 시트(0124)'!Q409</f>
        <v>0</v>
      </c>
      <c r="R311" s="2311">
        <f>+'[5]입력 시트(0124)'!T409</f>
        <v>0</v>
      </c>
      <c r="S311" s="2311">
        <f>+'[5]입력 시트(0124)'!U409</f>
        <v>0</v>
      </c>
      <c r="T311" s="2311">
        <f>+'[5]입력 시트(0124)'!V409</f>
        <v>0</v>
      </c>
      <c r="U311" s="2311">
        <f>+'[5]입력 시트(0124)'!W409</f>
        <v>0</v>
      </c>
      <c r="V311" s="2311">
        <f>+'[5]입력 시트(0124)'!X409</f>
        <v>0</v>
      </c>
      <c r="W311" s="2311">
        <f>+'[5]입력 시트(0124)'!Y409</f>
        <v>0</v>
      </c>
    </row>
    <row r="312" spans="2:23" hidden="1" outlineLevel="1">
      <c r="B312" s="2242"/>
      <c r="C312" s="2254" t="s">
        <v>2691</v>
      </c>
      <c r="D312" s="2209">
        <f t="shared" si="48"/>
        <v>9</v>
      </c>
      <c r="E312" s="2311">
        <f>+'[5]입력 시트(0124)'!E410</f>
        <v>0</v>
      </c>
      <c r="F312" s="2311">
        <f>+'[5]입력 시트(0124)'!F410</f>
        <v>0</v>
      </c>
      <c r="G312" s="2311">
        <f>+'[5]입력 시트(0124)'!G410</f>
        <v>0</v>
      </c>
      <c r="H312" s="2311">
        <f>+'[5]입력 시트(0124)'!H410</f>
        <v>0</v>
      </c>
      <c r="I312" s="2311">
        <f>+'[5]입력 시트(0124)'!I410</f>
        <v>0</v>
      </c>
      <c r="J312" s="2311">
        <f>+'[5]입력 시트(0124)'!J410</f>
        <v>0</v>
      </c>
      <c r="K312" s="2311">
        <f>+'[5]입력 시트(0124)'!G410</f>
        <v>0</v>
      </c>
      <c r="L312" s="2311">
        <f>+'[5]입력 시트(0124)'!H410</f>
        <v>0</v>
      </c>
      <c r="M312" s="2311">
        <f>+'[5]입력 시트(0124)'!I410</f>
        <v>0</v>
      </c>
      <c r="N312" s="2311">
        <f>+'[5]입력 시트(0124)'!N410</f>
        <v>0</v>
      </c>
      <c r="O312" s="2311">
        <f>+'[5]입력 시트(0124)'!Q410</f>
        <v>0</v>
      </c>
      <c r="R312" s="2311">
        <f>+'[5]입력 시트(0124)'!T410</f>
        <v>0</v>
      </c>
      <c r="S312" s="2311">
        <f>+'[5]입력 시트(0124)'!U410</f>
        <v>0</v>
      </c>
      <c r="T312" s="2311">
        <f>+'[5]입력 시트(0124)'!V410</f>
        <v>0</v>
      </c>
      <c r="U312" s="2311">
        <f>+'[5]입력 시트(0124)'!W410</f>
        <v>0</v>
      </c>
      <c r="V312" s="2311">
        <f>+'[5]입력 시트(0124)'!X410</f>
        <v>0</v>
      </c>
      <c r="W312" s="2311">
        <f>+'[5]입력 시트(0124)'!Y410</f>
        <v>0</v>
      </c>
    </row>
    <row r="313" spans="2:23" hidden="1" outlineLevel="1">
      <c r="B313" s="2242"/>
      <c r="C313" s="2254" t="s">
        <v>2691</v>
      </c>
      <c r="D313" s="2209">
        <f t="shared" si="48"/>
        <v>10</v>
      </c>
      <c r="E313" s="2311">
        <f>+'[5]입력 시트(0124)'!E411</f>
        <v>0</v>
      </c>
      <c r="F313" s="2311">
        <f>+'[5]입력 시트(0124)'!F411</f>
        <v>0</v>
      </c>
      <c r="G313" s="2311">
        <f>+'[5]입력 시트(0124)'!G411</f>
        <v>0</v>
      </c>
      <c r="H313" s="2311">
        <f>+'[5]입력 시트(0124)'!H411</f>
        <v>0</v>
      </c>
      <c r="I313" s="2311">
        <f>+'[5]입력 시트(0124)'!I411</f>
        <v>0</v>
      </c>
      <c r="J313" s="2311">
        <f>+'[5]입력 시트(0124)'!J411</f>
        <v>0</v>
      </c>
      <c r="K313" s="2311">
        <f>+'[5]입력 시트(0124)'!G411</f>
        <v>0</v>
      </c>
      <c r="L313" s="2311">
        <f>+'[5]입력 시트(0124)'!H411</f>
        <v>0</v>
      </c>
      <c r="M313" s="2311">
        <f>+'[5]입력 시트(0124)'!I411</f>
        <v>0</v>
      </c>
      <c r="N313" s="2311">
        <f>+'[5]입력 시트(0124)'!N411</f>
        <v>0</v>
      </c>
      <c r="O313" s="2311">
        <f>+'[5]입력 시트(0124)'!Q411</f>
        <v>0</v>
      </c>
      <c r="R313" s="2311">
        <f>+'[5]입력 시트(0124)'!T411</f>
        <v>0</v>
      </c>
      <c r="S313" s="2311">
        <f>+'[5]입력 시트(0124)'!U411</f>
        <v>0</v>
      </c>
      <c r="T313" s="2311">
        <f>+'[5]입력 시트(0124)'!V411</f>
        <v>0</v>
      </c>
      <c r="U313" s="2311">
        <f>+'[5]입력 시트(0124)'!W411</f>
        <v>0</v>
      </c>
      <c r="V313" s="2311">
        <f>+'[5]입력 시트(0124)'!X411</f>
        <v>0</v>
      </c>
      <c r="W313" s="2311">
        <f>+'[5]입력 시트(0124)'!Y411</f>
        <v>0</v>
      </c>
    </row>
    <row r="314" spans="2:23" hidden="1" outlineLevel="1">
      <c r="B314" s="2242"/>
      <c r="C314" s="2254" t="s">
        <v>2691</v>
      </c>
      <c r="D314" s="2209">
        <f t="shared" si="48"/>
        <v>11</v>
      </c>
      <c r="E314" s="2311">
        <f>+'[5]입력 시트(0124)'!E412</f>
        <v>0</v>
      </c>
      <c r="F314" s="2311">
        <f>+'[5]입력 시트(0124)'!F412</f>
        <v>0</v>
      </c>
      <c r="G314" s="2311">
        <f>+'[5]입력 시트(0124)'!G412</f>
        <v>0</v>
      </c>
      <c r="H314" s="2311">
        <f>+'[5]입력 시트(0124)'!H412</f>
        <v>0</v>
      </c>
      <c r="I314" s="2311">
        <f>+'[5]입력 시트(0124)'!I412</f>
        <v>0</v>
      </c>
      <c r="J314" s="2311">
        <f>+'[5]입력 시트(0124)'!J412</f>
        <v>0</v>
      </c>
      <c r="K314" s="2311">
        <f>+'[5]입력 시트(0124)'!G412</f>
        <v>0</v>
      </c>
      <c r="L314" s="2311">
        <f>+'[5]입력 시트(0124)'!H412</f>
        <v>0</v>
      </c>
      <c r="M314" s="2311">
        <f>+'[5]입력 시트(0124)'!I412</f>
        <v>0</v>
      </c>
      <c r="N314" s="2311">
        <f>+'[5]입력 시트(0124)'!N412</f>
        <v>0</v>
      </c>
      <c r="O314" s="2311">
        <f>+'[5]입력 시트(0124)'!Q412</f>
        <v>0</v>
      </c>
      <c r="R314" s="2311">
        <f>+'[5]입력 시트(0124)'!T412</f>
        <v>0</v>
      </c>
      <c r="S314" s="2311">
        <f>+'[5]입력 시트(0124)'!U412</f>
        <v>0</v>
      </c>
      <c r="T314" s="2311">
        <f>+'[5]입력 시트(0124)'!V412</f>
        <v>0</v>
      </c>
      <c r="U314" s="2311">
        <f>+'[5]입력 시트(0124)'!W412</f>
        <v>0</v>
      </c>
      <c r="V314" s="2311">
        <f>+'[5]입력 시트(0124)'!X412</f>
        <v>0</v>
      </c>
      <c r="W314" s="2311">
        <f>+'[5]입력 시트(0124)'!Y412</f>
        <v>0</v>
      </c>
    </row>
    <row r="315" spans="2:23" hidden="1" outlineLevel="1">
      <c r="B315" s="2242"/>
      <c r="C315" s="2254" t="s">
        <v>2691</v>
      </c>
      <c r="D315" s="2209">
        <f t="shared" si="48"/>
        <v>12</v>
      </c>
      <c r="E315" s="2311">
        <f>+'[5]입력 시트(0124)'!E413</f>
        <v>0</v>
      </c>
      <c r="F315" s="2311">
        <f>+'[5]입력 시트(0124)'!F413</f>
        <v>0</v>
      </c>
      <c r="G315" s="2311">
        <f>+'[5]입력 시트(0124)'!G413</f>
        <v>0</v>
      </c>
      <c r="H315" s="2311">
        <f>+'[5]입력 시트(0124)'!H413</f>
        <v>0</v>
      </c>
      <c r="I315" s="2311">
        <f>+'[5]입력 시트(0124)'!I413</f>
        <v>0</v>
      </c>
      <c r="J315" s="2311">
        <f>+'[5]입력 시트(0124)'!J413</f>
        <v>0</v>
      </c>
      <c r="K315" s="2311">
        <f>+'[5]입력 시트(0124)'!G413</f>
        <v>0</v>
      </c>
      <c r="L315" s="2311">
        <f>+'[5]입력 시트(0124)'!H413</f>
        <v>0</v>
      </c>
      <c r="M315" s="2311">
        <f>+'[5]입력 시트(0124)'!I413</f>
        <v>0</v>
      </c>
      <c r="N315" s="2311">
        <f>+'[5]입력 시트(0124)'!N413</f>
        <v>0</v>
      </c>
      <c r="O315" s="2311">
        <f>+'[5]입력 시트(0124)'!Q413</f>
        <v>0</v>
      </c>
      <c r="R315" s="2311">
        <f>+'[5]입력 시트(0124)'!T413</f>
        <v>0</v>
      </c>
      <c r="S315" s="2311">
        <f>+'[5]입력 시트(0124)'!U413</f>
        <v>0</v>
      </c>
      <c r="T315" s="2311">
        <f>+'[5]입력 시트(0124)'!V413</f>
        <v>0</v>
      </c>
      <c r="U315" s="2311">
        <f>+'[5]입력 시트(0124)'!W413</f>
        <v>0</v>
      </c>
      <c r="V315" s="2311">
        <f>+'[5]입력 시트(0124)'!X413</f>
        <v>0</v>
      </c>
      <c r="W315" s="2311">
        <f>+'[5]입력 시트(0124)'!Y413</f>
        <v>0</v>
      </c>
    </row>
    <row r="316" spans="2:23" hidden="1" outlineLevel="1">
      <c r="B316" s="2242"/>
      <c r="C316" s="2254" t="s">
        <v>2691</v>
      </c>
      <c r="D316" s="2209">
        <f t="shared" si="48"/>
        <v>13</v>
      </c>
      <c r="E316" s="2311">
        <f>+'[5]입력 시트(0124)'!E414</f>
        <v>0</v>
      </c>
      <c r="F316" s="2311">
        <f>+'[5]입력 시트(0124)'!F414</f>
        <v>0</v>
      </c>
      <c r="G316" s="2311">
        <f>+'[5]입력 시트(0124)'!G414</f>
        <v>0</v>
      </c>
      <c r="H316" s="2311">
        <f>+'[5]입력 시트(0124)'!H414</f>
        <v>0</v>
      </c>
      <c r="I316" s="2311">
        <f>+'[5]입력 시트(0124)'!I414</f>
        <v>0</v>
      </c>
      <c r="J316" s="2311">
        <f>+'[5]입력 시트(0124)'!J414</f>
        <v>0</v>
      </c>
      <c r="K316" s="2311">
        <f>+'[5]입력 시트(0124)'!G414</f>
        <v>0</v>
      </c>
      <c r="L316" s="2311">
        <f>+'[5]입력 시트(0124)'!H414</f>
        <v>0</v>
      </c>
      <c r="M316" s="2311">
        <f>+'[5]입력 시트(0124)'!I414</f>
        <v>0</v>
      </c>
      <c r="N316" s="2311">
        <f>+'[5]입력 시트(0124)'!N414</f>
        <v>0</v>
      </c>
      <c r="O316" s="2311">
        <f>+'[5]입력 시트(0124)'!Q414</f>
        <v>0</v>
      </c>
      <c r="R316" s="2311">
        <f>+'[5]입력 시트(0124)'!T414</f>
        <v>0</v>
      </c>
      <c r="S316" s="2311">
        <f>+'[5]입력 시트(0124)'!U414</f>
        <v>0</v>
      </c>
      <c r="T316" s="2311">
        <f>+'[5]입력 시트(0124)'!V414</f>
        <v>0</v>
      </c>
      <c r="U316" s="2311">
        <f>+'[5]입력 시트(0124)'!W414</f>
        <v>0</v>
      </c>
      <c r="V316" s="2311">
        <f>+'[5]입력 시트(0124)'!X414</f>
        <v>0</v>
      </c>
      <c r="W316" s="2311">
        <f>+'[5]입력 시트(0124)'!Y414</f>
        <v>0</v>
      </c>
    </row>
    <row r="317" spans="2:23" hidden="1" outlineLevel="1">
      <c r="B317" s="2242"/>
      <c r="C317" s="2254" t="s">
        <v>2691</v>
      </c>
      <c r="D317" s="2209">
        <f t="shared" si="48"/>
        <v>14</v>
      </c>
      <c r="E317" s="2311">
        <f>+'[5]입력 시트(0124)'!E415</f>
        <v>0</v>
      </c>
      <c r="F317" s="2311">
        <f>+'[5]입력 시트(0124)'!F415</f>
        <v>0</v>
      </c>
      <c r="G317" s="2311">
        <f>+'[5]입력 시트(0124)'!G415</f>
        <v>0</v>
      </c>
      <c r="H317" s="2311">
        <f>+'[5]입력 시트(0124)'!H415</f>
        <v>0</v>
      </c>
      <c r="I317" s="2311">
        <f>+'[5]입력 시트(0124)'!I415</f>
        <v>0</v>
      </c>
      <c r="J317" s="2311">
        <f>+'[5]입력 시트(0124)'!J415</f>
        <v>0</v>
      </c>
      <c r="K317" s="2311">
        <f>+'[5]입력 시트(0124)'!G415</f>
        <v>0</v>
      </c>
      <c r="L317" s="2311">
        <f>+'[5]입력 시트(0124)'!H415</f>
        <v>0</v>
      </c>
      <c r="M317" s="2311">
        <f>+'[5]입력 시트(0124)'!I415</f>
        <v>0</v>
      </c>
      <c r="N317" s="2311">
        <f>+'[5]입력 시트(0124)'!N415</f>
        <v>0</v>
      </c>
      <c r="O317" s="2311">
        <f>+'[5]입력 시트(0124)'!Q415</f>
        <v>0</v>
      </c>
      <c r="R317" s="2311">
        <f>+'[5]입력 시트(0124)'!T415</f>
        <v>0</v>
      </c>
      <c r="S317" s="2311">
        <f>+'[5]입력 시트(0124)'!U415</f>
        <v>0</v>
      </c>
      <c r="T317" s="2311">
        <f>+'[5]입력 시트(0124)'!V415</f>
        <v>0</v>
      </c>
      <c r="U317" s="2311">
        <f>+'[5]입력 시트(0124)'!W415</f>
        <v>0</v>
      </c>
      <c r="V317" s="2311">
        <f>+'[5]입력 시트(0124)'!X415</f>
        <v>0</v>
      </c>
      <c r="W317" s="2311">
        <f>+'[5]입력 시트(0124)'!Y415</f>
        <v>0</v>
      </c>
    </row>
    <row r="318" spans="2:23" hidden="1" outlineLevel="1">
      <c r="B318" s="2242"/>
      <c r="C318" s="2254" t="s">
        <v>2691</v>
      </c>
      <c r="D318" s="2209">
        <f t="shared" si="48"/>
        <v>15</v>
      </c>
      <c r="E318" s="2311">
        <f>+'[5]입력 시트(0124)'!E416</f>
        <v>0</v>
      </c>
      <c r="F318" s="2311">
        <f>+'[5]입력 시트(0124)'!F416</f>
        <v>0</v>
      </c>
      <c r="G318" s="2311">
        <f>+'[5]입력 시트(0124)'!G416</f>
        <v>0</v>
      </c>
      <c r="H318" s="2311">
        <f>+'[5]입력 시트(0124)'!H416</f>
        <v>0</v>
      </c>
      <c r="I318" s="2311">
        <f>+'[5]입력 시트(0124)'!I416</f>
        <v>0</v>
      </c>
      <c r="J318" s="2311">
        <f>+'[5]입력 시트(0124)'!J416</f>
        <v>0</v>
      </c>
      <c r="K318" s="2311">
        <f>+'[5]입력 시트(0124)'!G416</f>
        <v>0</v>
      </c>
      <c r="L318" s="2311">
        <f>+'[5]입력 시트(0124)'!H416</f>
        <v>0</v>
      </c>
      <c r="M318" s="2311">
        <f>+'[5]입력 시트(0124)'!I416</f>
        <v>0</v>
      </c>
      <c r="N318" s="2311">
        <f>+'[5]입력 시트(0124)'!N416</f>
        <v>0</v>
      </c>
      <c r="O318" s="2311">
        <f>+'[5]입력 시트(0124)'!Q416</f>
        <v>0</v>
      </c>
      <c r="R318" s="2311">
        <f>+'[5]입력 시트(0124)'!T416</f>
        <v>0</v>
      </c>
      <c r="S318" s="2311">
        <f>+'[5]입력 시트(0124)'!U416</f>
        <v>0</v>
      </c>
      <c r="T318" s="2311">
        <f>+'[5]입력 시트(0124)'!V416</f>
        <v>0</v>
      </c>
      <c r="U318" s="2311">
        <f>+'[5]입력 시트(0124)'!W416</f>
        <v>0</v>
      </c>
      <c r="V318" s="2311">
        <f>+'[5]입력 시트(0124)'!X416</f>
        <v>0</v>
      </c>
      <c r="W318" s="2311">
        <f>+'[5]입력 시트(0124)'!Y416</f>
        <v>0</v>
      </c>
    </row>
    <row r="319" spans="2:23" hidden="1" outlineLevel="1">
      <c r="B319" s="2242"/>
      <c r="C319" s="2254" t="s">
        <v>2691</v>
      </c>
      <c r="D319" s="2209">
        <f t="shared" si="48"/>
        <v>16</v>
      </c>
      <c r="E319" s="2311">
        <f>+'[5]입력 시트(0124)'!E417</f>
        <v>0</v>
      </c>
      <c r="F319" s="2311">
        <f>+'[5]입력 시트(0124)'!F417</f>
        <v>0</v>
      </c>
      <c r="G319" s="2311">
        <f>+'[5]입력 시트(0124)'!G417</f>
        <v>0</v>
      </c>
      <c r="H319" s="2311">
        <f>+'[5]입력 시트(0124)'!H417</f>
        <v>0</v>
      </c>
      <c r="I319" s="2311">
        <f>+'[5]입력 시트(0124)'!I417</f>
        <v>0</v>
      </c>
      <c r="J319" s="2311">
        <f>+'[5]입력 시트(0124)'!J417</f>
        <v>0</v>
      </c>
      <c r="K319" s="2311">
        <f>+'[5]입력 시트(0124)'!G417</f>
        <v>0</v>
      </c>
      <c r="L319" s="2311">
        <f>+'[5]입력 시트(0124)'!H417</f>
        <v>0</v>
      </c>
      <c r="M319" s="2311">
        <f>+'[5]입력 시트(0124)'!I417</f>
        <v>0</v>
      </c>
      <c r="N319" s="2311">
        <f>+'[5]입력 시트(0124)'!N417</f>
        <v>0</v>
      </c>
      <c r="O319" s="2311">
        <f>+'[5]입력 시트(0124)'!Q417</f>
        <v>0</v>
      </c>
      <c r="R319" s="2311">
        <f>+'[5]입력 시트(0124)'!T417</f>
        <v>0</v>
      </c>
      <c r="S319" s="2311">
        <f>+'[5]입력 시트(0124)'!U417</f>
        <v>0</v>
      </c>
      <c r="T319" s="2311">
        <f>+'[5]입력 시트(0124)'!V417</f>
        <v>0</v>
      </c>
      <c r="U319" s="2311">
        <f>+'[5]입력 시트(0124)'!W417</f>
        <v>0</v>
      </c>
      <c r="V319" s="2311">
        <f>+'[5]입력 시트(0124)'!X417</f>
        <v>0</v>
      </c>
      <c r="W319" s="2311">
        <f>+'[5]입력 시트(0124)'!Y417</f>
        <v>0</v>
      </c>
    </row>
    <row r="320" spans="2:23" hidden="1" outlineLevel="1">
      <c r="B320" s="2242"/>
      <c r="C320" s="2254" t="s">
        <v>2691</v>
      </c>
      <c r="D320" s="2209">
        <f t="shared" si="48"/>
        <v>17</v>
      </c>
      <c r="E320" s="2311">
        <f>+'[5]입력 시트(0124)'!E418</f>
        <v>0</v>
      </c>
      <c r="F320" s="2311">
        <f>+'[5]입력 시트(0124)'!F418</f>
        <v>0</v>
      </c>
      <c r="G320" s="2311">
        <f>+'[5]입력 시트(0124)'!G418</f>
        <v>0</v>
      </c>
      <c r="H320" s="2311">
        <f>+'[5]입력 시트(0124)'!H418</f>
        <v>0</v>
      </c>
      <c r="I320" s="2311">
        <f>+'[5]입력 시트(0124)'!I418</f>
        <v>0</v>
      </c>
      <c r="J320" s="2311">
        <f>+'[5]입력 시트(0124)'!J418</f>
        <v>0</v>
      </c>
      <c r="K320" s="2311">
        <f>+'[5]입력 시트(0124)'!G418</f>
        <v>0</v>
      </c>
      <c r="L320" s="2311">
        <f>+'[5]입력 시트(0124)'!H418</f>
        <v>0</v>
      </c>
      <c r="M320" s="2311">
        <f>+'[5]입력 시트(0124)'!I418</f>
        <v>0</v>
      </c>
      <c r="N320" s="2311">
        <f>+'[5]입력 시트(0124)'!N418</f>
        <v>0</v>
      </c>
      <c r="O320" s="2311">
        <f>+'[5]입력 시트(0124)'!Q418</f>
        <v>0</v>
      </c>
      <c r="R320" s="2311">
        <f>+'[5]입력 시트(0124)'!T418</f>
        <v>0</v>
      </c>
      <c r="S320" s="2311">
        <f>+'[5]입력 시트(0124)'!U418</f>
        <v>0</v>
      </c>
      <c r="T320" s="2311">
        <f>+'[5]입력 시트(0124)'!V418</f>
        <v>0</v>
      </c>
      <c r="U320" s="2311">
        <f>+'[5]입력 시트(0124)'!W418</f>
        <v>0</v>
      </c>
      <c r="V320" s="2311">
        <f>+'[5]입력 시트(0124)'!X418</f>
        <v>0</v>
      </c>
      <c r="W320" s="2311">
        <f>+'[5]입력 시트(0124)'!Y418</f>
        <v>0</v>
      </c>
    </row>
    <row r="321" spans="2:23" hidden="1" outlineLevel="1">
      <c r="B321" s="2242"/>
      <c r="C321" s="2254" t="s">
        <v>2691</v>
      </c>
      <c r="D321" s="2209">
        <f t="shared" si="48"/>
        <v>18</v>
      </c>
      <c r="E321" s="2311">
        <f>+'[5]입력 시트(0124)'!E419</f>
        <v>0</v>
      </c>
      <c r="F321" s="2311">
        <f>+'[5]입력 시트(0124)'!F419</f>
        <v>0</v>
      </c>
      <c r="G321" s="2311">
        <f>+'[5]입력 시트(0124)'!G419</f>
        <v>0</v>
      </c>
      <c r="H321" s="2311">
        <f>+'[5]입력 시트(0124)'!H419</f>
        <v>0</v>
      </c>
      <c r="I321" s="2311">
        <f>+'[5]입력 시트(0124)'!I419</f>
        <v>0</v>
      </c>
      <c r="J321" s="2311">
        <f>+'[5]입력 시트(0124)'!J419</f>
        <v>0</v>
      </c>
      <c r="K321" s="2311">
        <f>+'[5]입력 시트(0124)'!G419</f>
        <v>0</v>
      </c>
      <c r="L321" s="2311">
        <f>+'[5]입력 시트(0124)'!H419</f>
        <v>0</v>
      </c>
      <c r="M321" s="2311">
        <f>+'[5]입력 시트(0124)'!I419</f>
        <v>0</v>
      </c>
      <c r="N321" s="2311">
        <f>+'[5]입력 시트(0124)'!N419</f>
        <v>0</v>
      </c>
      <c r="O321" s="2311">
        <f>+'[5]입력 시트(0124)'!Q419</f>
        <v>0</v>
      </c>
      <c r="R321" s="2311">
        <f>+'[5]입력 시트(0124)'!T419</f>
        <v>0</v>
      </c>
      <c r="S321" s="2311">
        <f>+'[5]입력 시트(0124)'!U419</f>
        <v>0</v>
      </c>
      <c r="T321" s="2311">
        <f>+'[5]입력 시트(0124)'!V419</f>
        <v>0</v>
      </c>
      <c r="U321" s="2311">
        <f>+'[5]입력 시트(0124)'!W419</f>
        <v>0</v>
      </c>
      <c r="V321" s="2311">
        <f>+'[5]입력 시트(0124)'!X419</f>
        <v>0</v>
      </c>
      <c r="W321" s="2311">
        <f>+'[5]입력 시트(0124)'!Y419</f>
        <v>0</v>
      </c>
    </row>
    <row r="322" spans="2:23" hidden="1" outlineLevel="1">
      <c r="B322" s="2242"/>
      <c r="C322" s="2254" t="s">
        <v>2691</v>
      </c>
      <c r="D322" s="2209">
        <f t="shared" si="48"/>
        <v>19</v>
      </c>
      <c r="E322" s="2311">
        <f>+'[5]입력 시트(0124)'!E420</f>
        <v>0</v>
      </c>
      <c r="F322" s="2311">
        <f>+'[5]입력 시트(0124)'!F420</f>
        <v>0</v>
      </c>
      <c r="G322" s="2311">
        <f>+'[5]입력 시트(0124)'!G420</f>
        <v>0</v>
      </c>
      <c r="H322" s="2311">
        <f>+'[5]입력 시트(0124)'!H420</f>
        <v>0</v>
      </c>
      <c r="I322" s="2311">
        <f>+'[5]입력 시트(0124)'!I420</f>
        <v>0</v>
      </c>
      <c r="J322" s="2311">
        <f>+'[5]입력 시트(0124)'!J420</f>
        <v>0</v>
      </c>
      <c r="K322" s="2311">
        <f>+'[5]입력 시트(0124)'!G420</f>
        <v>0</v>
      </c>
      <c r="L322" s="2311">
        <f>+'[5]입력 시트(0124)'!H420</f>
        <v>0</v>
      </c>
      <c r="M322" s="2311">
        <f>+'[5]입력 시트(0124)'!I420</f>
        <v>0</v>
      </c>
      <c r="N322" s="2311">
        <f>+'[5]입력 시트(0124)'!N420</f>
        <v>0</v>
      </c>
      <c r="O322" s="2311">
        <f>+'[5]입력 시트(0124)'!Q420</f>
        <v>0</v>
      </c>
      <c r="R322" s="2311">
        <f>+'[5]입력 시트(0124)'!T420</f>
        <v>0</v>
      </c>
      <c r="S322" s="2311">
        <f>+'[5]입력 시트(0124)'!U420</f>
        <v>0</v>
      </c>
      <c r="T322" s="2311">
        <f>+'[5]입력 시트(0124)'!V420</f>
        <v>0</v>
      </c>
      <c r="U322" s="2311">
        <f>+'[5]입력 시트(0124)'!W420</f>
        <v>0</v>
      </c>
      <c r="V322" s="2311">
        <f>+'[5]입력 시트(0124)'!X420</f>
        <v>0</v>
      </c>
      <c r="W322" s="2311">
        <f>+'[5]입력 시트(0124)'!Y420</f>
        <v>0</v>
      </c>
    </row>
    <row r="323" spans="2:23" hidden="1" outlineLevel="1">
      <c r="B323" s="2242"/>
      <c r="C323" s="2254" t="s">
        <v>2691</v>
      </c>
      <c r="D323" s="2209">
        <f t="shared" si="48"/>
        <v>20</v>
      </c>
      <c r="E323" s="2311">
        <f>+'[5]입력 시트(0124)'!E421</f>
        <v>0</v>
      </c>
      <c r="F323" s="2311">
        <f>+'[5]입력 시트(0124)'!F421</f>
        <v>0</v>
      </c>
      <c r="G323" s="2311">
        <f>+'[5]입력 시트(0124)'!G421</f>
        <v>0</v>
      </c>
      <c r="H323" s="2311">
        <f>+'[5]입력 시트(0124)'!H421</f>
        <v>0</v>
      </c>
      <c r="I323" s="2311">
        <f>+'[5]입력 시트(0124)'!I421</f>
        <v>0</v>
      </c>
      <c r="J323" s="2311">
        <f>+'[5]입력 시트(0124)'!J421</f>
        <v>0</v>
      </c>
      <c r="K323" s="2311">
        <f>+'[5]입력 시트(0124)'!G421</f>
        <v>0</v>
      </c>
      <c r="L323" s="2311">
        <f>+'[5]입력 시트(0124)'!H421</f>
        <v>0</v>
      </c>
      <c r="M323" s="2311">
        <f>+'[5]입력 시트(0124)'!I421</f>
        <v>0</v>
      </c>
      <c r="N323" s="2311">
        <f>+'[5]입력 시트(0124)'!N421</f>
        <v>0</v>
      </c>
      <c r="O323" s="2311">
        <f>+'[5]입력 시트(0124)'!Q421</f>
        <v>0</v>
      </c>
      <c r="R323" s="2311">
        <f>+'[5]입력 시트(0124)'!T421</f>
        <v>0</v>
      </c>
      <c r="S323" s="2311">
        <f>+'[5]입력 시트(0124)'!U421</f>
        <v>0</v>
      </c>
      <c r="T323" s="2311">
        <f>+'[5]입력 시트(0124)'!V421</f>
        <v>0</v>
      </c>
      <c r="U323" s="2311">
        <f>+'[5]입력 시트(0124)'!W421</f>
        <v>0</v>
      </c>
      <c r="V323" s="2311">
        <f>+'[5]입력 시트(0124)'!X421</f>
        <v>0</v>
      </c>
      <c r="W323" s="2311">
        <f>+'[5]입력 시트(0124)'!Y421</f>
        <v>0</v>
      </c>
    </row>
    <row r="324" spans="2:23" hidden="1" outlineLevel="1">
      <c r="B324" s="2242"/>
      <c r="C324" s="2254" t="s">
        <v>2691</v>
      </c>
      <c r="D324" s="2209">
        <f t="shared" si="48"/>
        <v>21</v>
      </c>
      <c r="E324" s="2311">
        <f>+'[5]입력 시트(0124)'!E422</f>
        <v>0</v>
      </c>
      <c r="F324" s="2311">
        <f>+'[5]입력 시트(0124)'!F422</f>
        <v>0</v>
      </c>
      <c r="G324" s="2311">
        <f>+'[5]입력 시트(0124)'!G422</f>
        <v>0</v>
      </c>
      <c r="H324" s="2311">
        <f>+'[5]입력 시트(0124)'!H422</f>
        <v>0</v>
      </c>
      <c r="I324" s="2311">
        <f>+'[5]입력 시트(0124)'!I422</f>
        <v>0</v>
      </c>
      <c r="J324" s="2311">
        <f>+'[5]입력 시트(0124)'!J422</f>
        <v>0</v>
      </c>
      <c r="K324" s="2311">
        <f>+'[5]입력 시트(0124)'!G422</f>
        <v>0</v>
      </c>
      <c r="L324" s="2311">
        <f>+'[5]입력 시트(0124)'!H422</f>
        <v>0</v>
      </c>
      <c r="M324" s="2311">
        <f>+'[5]입력 시트(0124)'!I422</f>
        <v>0</v>
      </c>
      <c r="N324" s="2311">
        <f>+'[5]입력 시트(0124)'!N422</f>
        <v>0</v>
      </c>
      <c r="O324" s="2311">
        <f>+'[5]입력 시트(0124)'!Q422</f>
        <v>0</v>
      </c>
      <c r="R324" s="2311">
        <f>+'[5]입력 시트(0124)'!T422</f>
        <v>0</v>
      </c>
      <c r="S324" s="2311">
        <f>+'[5]입력 시트(0124)'!U422</f>
        <v>0</v>
      </c>
      <c r="T324" s="2311">
        <f>+'[5]입력 시트(0124)'!V422</f>
        <v>0</v>
      </c>
      <c r="U324" s="2311">
        <f>+'[5]입력 시트(0124)'!W422</f>
        <v>0</v>
      </c>
      <c r="V324" s="2311">
        <f>+'[5]입력 시트(0124)'!X422</f>
        <v>0</v>
      </c>
      <c r="W324" s="2311">
        <f>+'[5]입력 시트(0124)'!Y422</f>
        <v>0</v>
      </c>
    </row>
    <row r="325" spans="2:23" hidden="1" outlineLevel="1">
      <c r="B325" s="2242"/>
      <c r="C325" s="2254" t="s">
        <v>2691</v>
      </c>
      <c r="D325" s="2209">
        <f t="shared" si="48"/>
        <v>22</v>
      </c>
      <c r="E325" s="2311">
        <f>+'[5]입력 시트(0124)'!E423</f>
        <v>0</v>
      </c>
      <c r="F325" s="2311">
        <f>+'[5]입력 시트(0124)'!F423</f>
        <v>0</v>
      </c>
      <c r="G325" s="2311">
        <f>+'[5]입력 시트(0124)'!G423</f>
        <v>0</v>
      </c>
      <c r="H325" s="2311">
        <f>+'[5]입력 시트(0124)'!H423</f>
        <v>0</v>
      </c>
      <c r="I325" s="2311">
        <f>+'[5]입력 시트(0124)'!I423</f>
        <v>0</v>
      </c>
      <c r="J325" s="2311">
        <f>+'[5]입력 시트(0124)'!J423</f>
        <v>0</v>
      </c>
      <c r="K325" s="2311">
        <f>+'[5]입력 시트(0124)'!G423</f>
        <v>0</v>
      </c>
      <c r="L325" s="2311">
        <f>+'[5]입력 시트(0124)'!H423</f>
        <v>0</v>
      </c>
      <c r="M325" s="2311">
        <f>+'[5]입력 시트(0124)'!I423</f>
        <v>0</v>
      </c>
      <c r="N325" s="2311">
        <f>+'[5]입력 시트(0124)'!N423</f>
        <v>0</v>
      </c>
      <c r="O325" s="2311">
        <f>+'[5]입력 시트(0124)'!Q423</f>
        <v>0</v>
      </c>
      <c r="R325" s="2311">
        <f>+'[5]입력 시트(0124)'!T423</f>
        <v>0</v>
      </c>
      <c r="S325" s="2311">
        <f>+'[5]입력 시트(0124)'!U423</f>
        <v>0</v>
      </c>
      <c r="T325" s="2311">
        <f>+'[5]입력 시트(0124)'!V423</f>
        <v>0</v>
      </c>
      <c r="U325" s="2311">
        <f>+'[5]입력 시트(0124)'!W423</f>
        <v>0</v>
      </c>
      <c r="V325" s="2311">
        <f>+'[5]입력 시트(0124)'!X423</f>
        <v>0</v>
      </c>
      <c r="W325" s="2311">
        <f>+'[5]입력 시트(0124)'!Y423</f>
        <v>0</v>
      </c>
    </row>
    <row r="326" spans="2:23" hidden="1" outlineLevel="1">
      <c r="B326" s="2242"/>
      <c r="C326" s="2254" t="s">
        <v>2691</v>
      </c>
      <c r="D326" s="2209">
        <f t="shared" si="48"/>
        <v>23</v>
      </c>
      <c r="E326" s="2311">
        <f>+'[5]입력 시트(0124)'!E424</f>
        <v>0</v>
      </c>
      <c r="F326" s="2311">
        <f>+'[5]입력 시트(0124)'!F424</f>
        <v>0</v>
      </c>
      <c r="G326" s="2311">
        <f>+'[5]입력 시트(0124)'!G424</f>
        <v>0</v>
      </c>
      <c r="H326" s="2311">
        <f>+'[5]입력 시트(0124)'!H424</f>
        <v>0</v>
      </c>
      <c r="I326" s="2311">
        <f>+'[5]입력 시트(0124)'!I424</f>
        <v>0</v>
      </c>
      <c r="J326" s="2311">
        <f>+'[5]입력 시트(0124)'!J424</f>
        <v>0</v>
      </c>
      <c r="K326" s="2311">
        <f>+'[5]입력 시트(0124)'!G424</f>
        <v>0</v>
      </c>
      <c r="L326" s="2311">
        <f>+'[5]입력 시트(0124)'!H424</f>
        <v>0</v>
      </c>
      <c r="M326" s="2311">
        <f>+'[5]입력 시트(0124)'!I424</f>
        <v>0</v>
      </c>
      <c r="N326" s="2311">
        <f>+'[5]입력 시트(0124)'!N424</f>
        <v>0</v>
      </c>
      <c r="O326" s="2311">
        <f>+'[5]입력 시트(0124)'!Q424</f>
        <v>0</v>
      </c>
      <c r="R326" s="2311">
        <f>+'[5]입력 시트(0124)'!T424</f>
        <v>0</v>
      </c>
      <c r="S326" s="2311">
        <f>+'[5]입력 시트(0124)'!U424</f>
        <v>0</v>
      </c>
      <c r="T326" s="2311">
        <f>+'[5]입력 시트(0124)'!V424</f>
        <v>0</v>
      </c>
      <c r="U326" s="2311">
        <f>+'[5]입력 시트(0124)'!W424</f>
        <v>0</v>
      </c>
      <c r="V326" s="2311">
        <f>+'[5]입력 시트(0124)'!X424</f>
        <v>0</v>
      </c>
      <c r="W326" s="2311">
        <f>+'[5]입력 시트(0124)'!Y424</f>
        <v>0</v>
      </c>
    </row>
    <row r="327" spans="2:23" hidden="1" outlineLevel="1">
      <c r="B327" s="2242"/>
      <c r="C327" s="2254" t="s">
        <v>2691</v>
      </c>
      <c r="D327" s="2209">
        <f t="shared" si="48"/>
        <v>24</v>
      </c>
      <c r="E327" s="2311">
        <f>+'[5]입력 시트(0124)'!E425</f>
        <v>0</v>
      </c>
      <c r="F327" s="2311">
        <f>+'[5]입력 시트(0124)'!F425</f>
        <v>0</v>
      </c>
      <c r="G327" s="2311">
        <f>+'[5]입력 시트(0124)'!G425</f>
        <v>0</v>
      </c>
      <c r="H327" s="2311">
        <f>+'[5]입력 시트(0124)'!H425</f>
        <v>0</v>
      </c>
      <c r="I327" s="2311">
        <f>+'[5]입력 시트(0124)'!I425</f>
        <v>0</v>
      </c>
      <c r="J327" s="2311">
        <f>+'[5]입력 시트(0124)'!J425</f>
        <v>0</v>
      </c>
      <c r="K327" s="2311">
        <f>+'[5]입력 시트(0124)'!G425</f>
        <v>0</v>
      </c>
      <c r="L327" s="2311">
        <f>+'[5]입력 시트(0124)'!H425</f>
        <v>0</v>
      </c>
      <c r="M327" s="2311">
        <f>+'[5]입력 시트(0124)'!I425</f>
        <v>0</v>
      </c>
      <c r="N327" s="2311">
        <f>+'[5]입력 시트(0124)'!N425</f>
        <v>0</v>
      </c>
      <c r="O327" s="2311">
        <f>+'[5]입력 시트(0124)'!Q425</f>
        <v>0</v>
      </c>
      <c r="R327" s="2311">
        <f>+'[5]입력 시트(0124)'!T425</f>
        <v>0</v>
      </c>
      <c r="S327" s="2311">
        <f>+'[5]입력 시트(0124)'!U425</f>
        <v>0</v>
      </c>
      <c r="T327" s="2311">
        <f>+'[5]입력 시트(0124)'!V425</f>
        <v>0</v>
      </c>
      <c r="U327" s="2311">
        <f>+'[5]입력 시트(0124)'!W425</f>
        <v>0</v>
      </c>
      <c r="V327" s="2311">
        <f>+'[5]입력 시트(0124)'!X425</f>
        <v>0</v>
      </c>
      <c r="W327" s="2311">
        <f>+'[5]입력 시트(0124)'!Y425</f>
        <v>0</v>
      </c>
    </row>
    <row r="328" spans="2:23" hidden="1" outlineLevel="1">
      <c r="B328" s="2242" t="s">
        <v>2721</v>
      </c>
      <c r="E328" s="2313"/>
      <c r="F328" s="2313"/>
      <c r="G328" s="2313"/>
      <c r="H328" s="2313"/>
      <c r="I328" s="2313"/>
      <c r="J328" s="2313"/>
      <c r="K328" s="2313"/>
      <c r="L328" s="2313"/>
      <c r="M328" s="2313"/>
      <c r="N328" s="2313"/>
      <c r="O328" s="2313"/>
      <c r="R328" s="2313"/>
      <c r="S328" s="2313"/>
      <c r="T328" s="2313"/>
      <c r="U328" s="2313"/>
      <c r="V328" s="2313"/>
      <c r="W328" s="2313"/>
    </row>
  </sheetData>
  <mergeCells count="15">
    <mergeCell ref="C157:D157"/>
    <mergeCell ref="C179:D179"/>
    <mergeCell ref="C215:D215"/>
    <mergeCell ref="C233:D233"/>
    <mergeCell ref="C264:D264"/>
    <mergeCell ref="C130:D130"/>
    <mergeCell ref="C11:D11"/>
    <mergeCell ref="C12:D12"/>
    <mergeCell ref="C66:D67"/>
    <mergeCell ref="C75:D75"/>
    <mergeCell ref="C84:D84"/>
    <mergeCell ref="C93:D93"/>
    <mergeCell ref="C102:D102"/>
    <mergeCell ref="C111:D111"/>
    <mergeCell ref="C120:D120"/>
  </mergeCells>
  <phoneticPr fontId="19"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BF4D8-201D-4453-B3F7-96E2E6235455}">
  <dimension ref="A1:U46"/>
  <sheetViews>
    <sheetView topLeftCell="B1" workbookViewId="0">
      <selection activeCell="D50" sqref="D50"/>
    </sheetView>
  </sheetViews>
  <sheetFormatPr defaultRowHeight="12.75"/>
  <cols>
    <col min="1" max="1" width="9" style="2328"/>
    <col min="2" max="2" width="50.125" style="2328" customWidth="1"/>
    <col min="3" max="4" width="11.125" style="2328" customWidth="1"/>
    <col min="5" max="5" width="12.875" style="2337" bestFit="1" customWidth="1"/>
    <col min="6" max="18" width="12.125" style="2328" customWidth="1"/>
    <col min="19" max="21" width="9.125" style="2328" customWidth="1"/>
    <col min="22" max="16384" width="9" style="2328"/>
  </cols>
  <sheetData>
    <row r="1" spans="2:16">
      <c r="I1" s="2337"/>
    </row>
    <row r="2" spans="2:16" ht="13.5">
      <c r="B2" s="2328" t="s">
        <v>2778</v>
      </c>
      <c r="I2" s="2337"/>
      <c r="N2" s="2337"/>
      <c r="P2" s="2329"/>
    </row>
    <row r="3" spans="2:16">
      <c r="E3" s="2337">
        <f>+SUM(E4:E8)</f>
        <v>24990000</v>
      </c>
      <c r="I3" s="2337"/>
      <c r="N3" s="2337"/>
      <c r="P3" s="2329"/>
    </row>
    <row r="4" spans="2:16">
      <c r="B4" s="2330" t="s">
        <v>2761</v>
      </c>
      <c r="C4" s="2330"/>
      <c r="D4" s="2330"/>
      <c r="E4" s="2337">
        <v>11995200</v>
      </c>
      <c r="F4" s="2338">
        <f>+E4/$E$3</f>
        <v>0.48</v>
      </c>
      <c r="H4" s="2330" t="s">
        <v>1327</v>
      </c>
      <c r="I4" s="2328">
        <f>+I5+I6</f>
        <v>800865800</v>
      </c>
      <c r="K4" s="2337">
        <v>1100000000</v>
      </c>
      <c r="N4" s="2337"/>
      <c r="P4" s="2329"/>
    </row>
    <row r="5" spans="2:16">
      <c r="B5" s="2330" t="s">
        <v>2723</v>
      </c>
      <c r="C5" s="2330"/>
      <c r="D5" s="2330"/>
      <c r="E5" s="2337">
        <v>6997200.0000000009</v>
      </c>
      <c r="F5" s="2338">
        <f t="shared" ref="F5:F8" si="0">+E5/$E$3</f>
        <v>0.28000000000000003</v>
      </c>
      <c r="H5" s="2331" t="s">
        <v>2749</v>
      </c>
      <c r="I5" s="2328">
        <f>+'[3]INPUTSHEET(BOLT 2)'!E165</f>
        <v>653768000</v>
      </c>
      <c r="J5" s="2339">
        <f>+I5/$I$4</f>
        <v>0.81632653061224492</v>
      </c>
      <c r="K5" s="2332">
        <f>+K4-K6-K7</f>
        <v>870000000</v>
      </c>
      <c r="L5" s="2339">
        <f>+K5/$K$4</f>
        <v>0.79090909090909089</v>
      </c>
      <c r="N5" s="2337"/>
      <c r="P5" s="2329"/>
    </row>
    <row r="6" spans="2:16">
      <c r="B6" s="2330" t="s">
        <v>2762</v>
      </c>
      <c r="C6" s="2330"/>
      <c r="D6" s="2330"/>
      <c r="E6" s="2337">
        <v>999600</v>
      </c>
      <c r="F6" s="2338">
        <f t="shared" si="0"/>
        <v>0.04</v>
      </c>
      <c r="H6" s="2331" t="s">
        <v>2754</v>
      </c>
      <c r="I6" s="2328">
        <f>+'[3]INPUTSHEET(BOLT 2)'!E197</f>
        <v>147097800</v>
      </c>
      <c r="J6" s="2339">
        <f>+I6/$I$4</f>
        <v>0.18367346938775511</v>
      </c>
      <c r="K6" s="2337">
        <v>180000000</v>
      </c>
      <c r="L6" s="2339">
        <f>+K6/$K$4</f>
        <v>0.16363636363636364</v>
      </c>
      <c r="N6" s="2337"/>
      <c r="P6" s="2329"/>
    </row>
    <row r="7" spans="2:16">
      <c r="B7" s="2330" t="s">
        <v>2763</v>
      </c>
      <c r="C7" s="2330"/>
      <c r="D7" s="2330"/>
      <c r="E7" s="2337">
        <v>1999200</v>
      </c>
      <c r="F7" s="2338">
        <f t="shared" si="0"/>
        <v>0.08</v>
      </c>
      <c r="H7" s="2331" t="s">
        <v>2764</v>
      </c>
      <c r="K7" s="2337">
        <v>50000000</v>
      </c>
      <c r="L7" s="2339">
        <f>+K7/$K$4</f>
        <v>4.5454545454545456E-2</v>
      </c>
      <c r="N7" s="2337"/>
      <c r="P7" s="2329"/>
    </row>
    <row r="8" spans="2:16">
      <c r="B8" s="2330" t="s">
        <v>2745</v>
      </c>
      <c r="C8" s="2330"/>
      <c r="D8" s="2330"/>
      <c r="E8" s="2337">
        <v>2998800</v>
      </c>
      <c r="F8" s="2338">
        <f t="shared" si="0"/>
        <v>0.12</v>
      </c>
      <c r="I8" s="2337"/>
      <c r="N8" s="2337"/>
      <c r="P8" s="2329"/>
    </row>
    <row r="9" spans="2:16">
      <c r="N9" s="2337"/>
      <c r="P9" s="2329"/>
    </row>
    <row r="10" spans="2:16" ht="13.5">
      <c r="B10" s="2328" t="s">
        <v>2771</v>
      </c>
      <c r="E10" s="2337">
        <v>25000000</v>
      </c>
      <c r="N10" s="2337"/>
      <c r="P10" s="2329"/>
    </row>
    <row r="11" spans="2:16">
      <c r="B11" s="2330" t="s">
        <v>2761</v>
      </c>
      <c r="C11" s="2330"/>
      <c r="D11" s="2330"/>
      <c r="E11" s="2337">
        <v>12500000</v>
      </c>
      <c r="N11" s="2337"/>
      <c r="P11" s="2329"/>
    </row>
    <row r="12" spans="2:16">
      <c r="B12" s="2330" t="s">
        <v>2723</v>
      </c>
      <c r="C12" s="2330"/>
      <c r="D12" s="2330"/>
      <c r="E12" s="2337">
        <v>2600000</v>
      </c>
      <c r="N12" s="2337"/>
      <c r="P12" s="2329"/>
    </row>
    <row r="13" spans="2:16">
      <c r="B13" s="2330" t="s">
        <v>2762</v>
      </c>
      <c r="C13" s="2330"/>
      <c r="D13" s="2330"/>
      <c r="N13" s="2337"/>
      <c r="P13" s="2329"/>
    </row>
    <row r="14" spans="2:16">
      <c r="B14" s="2330" t="s">
        <v>2763</v>
      </c>
      <c r="C14" s="2330"/>
      <c r="D14" s="2330"/>
      <c r="E14" s="2337">
        <v>6000000</v>
      </c>
      <c r="N14" s="2337"/>
      <c r="P14" s="2329"/>
    </row>
    <row r="15" spans="2:16">
      <c r="B15" s="2330" t="s">
        <v>2745</v>
      </c>
      <c r="C15" s="2330"/>
      <c r="D15" s="2330"/>
      <c r="E15" s="2337">
        <f>+E10-E11-E12-E13-E14</f>
        <v>3900000</v>
      </c>
      <c r="N15" s="2337"/>
      <c r="P15" s="2329"/>
    </row>
    <row r="16" spans="2:16">
      <c r="B16" s="2330" t="s">
        <v>2765</v>
      </c>
      <c r="C16" s="2330"/>
      <c r="D16" s="2330"/>
      <c r="E16" s="2337">
        <v>40000000</v>
      </c>
      <c r="N16" s="2337"/>
      <c r="P16" s="2329"/>
    </row>
    <row r="18" spans="1:21" s="2186" customFormat="1" ht="25.5">
      <c r="A18" s="2186" t="s">
        <v>2770</v>
      </c>
      <c r="C18" s="2186" t="s">
        <v>2772</v>
      </c>
      <c r="D18" s="2186" t="s">
        <v>2773</v>
      </c>
      <c r="E18" s="2340"/>
      <c r="F18" s="2333" t="str">
        <f>+'DEVEX 지급현황'!C20</f>
        <v>Jangchon 1 (APA)</v>
      </c>
      <c r="G18" s="2333" t="str">
        <f>+'DEVEX 지급현황'!C21</f>
        <v>Soltop Masan 1 (APA)</v>
      </c>
      <c r="H18" s="2333" t="str">
        <f>+'DEVEX 지급현황'!C22</f>
        <v>Hanil Mugok 15 (APA)</v>
      </c>
      <c r="I18" s="2333" t="str">
        <f>+'DEVEX 지급현황'!C23</f>
        <v>Hanil Jigyeong 1 (APA)</v>
      </c>
      <c r="J18" s="2333" t="str">
        <f>+'DEVEX 지급현황'!C24</f>
        <v>Hanil Jigyeong 2 (APA)</v>
      </c>
      <c r="K18" s="2333" t="str">
        <f>+'DEVEX 지급현황'!C25</f>
        <v>Ho Duck4 (APA)</v>
      </c>
      <c r="L18" s="2333" t="str">
        <f>+'DEVEX 지급현황'!C34</f>
        <v>Galsan (SPA)</v>
      </c>
      <c r="M18" s="2333" t="str">
        <f>+'DEVEX 지급현황'!C35</f>
        <v>Mineuri (SPA)</v>
      </c>
      <c r="N18" s="2333" t="str">
        <f>+'DEVEX 지급현황'!C36</f>
        <v>Seagol(SPA)</v>
      </c>
      <c r="O18" s="2333" t="str">
        <f>+'DEVEX 지급현황'!C37</f>
        <v>Jaesan (SPA)</v>
      </c>
      <c r="P18" s="2333">
        <f>+'[3]INPUTSHEET(BOLT 3)'!O5</f>
        <v>0</v>
      </c>
      <c r="Q18" s="2333">
        <f>+'[3]INPUTSHEET(BOLT 3)'!P5</f>
        <v>0</v>
      </c>
      <c r="R18" s="2333"/>
      <c r="S18" s="2334"/>
      <c r="T18" s="2334"/>
      <c r="U18" s="2334"/>
    </row>
    <row r="19" spans="1:21" ht="13.5">
      <c r="B19" s="2328" t="s">
        <v>2774</v>
      </c>
      <c r="F19" s="2335">
        <f>+'DEVEX 지급현황'!D20</f>
        <v>551.04</v>
      </c>
      <c r="G19" s="2335">
        <f>+'DEVEX 지급현황'!D21</f>
        <v>399.04</v>
      </c>
      <c r="H19" s="2335">
        <f>+'DEVEX 지급현황'!D22</f>
        <v>499.96</v>
      </c>
      <c r="I19" s="2335">
        <f>+'DEVEX 지급현황'!D23</f>
        <v>499.96</v>
      </c>
      <c r="J19" s="2335">
        <f>+'DEVEX 지급현황'!D24</f>
        <v>149.63999999999999</v>
      </c>
      <c r="K19" s="2335">
        <f>+'DEVEX 지급현황'!D25</f>
        <v>299.27999999999997</v>
      </c>
      <c r="L19" s="2335">
        <f>+'DEVEX 지급현황'!D34</f>
        <v>617.76</v>
      </c>
      <c r="M19" s="2335">
        <f>+'DEVEX 지급현황'!D35</f>
        <v>564.96</v>
      </c>
      <c r="N19" s="2335">
        <f>+'DEVEX 지급현황'!D36</f>
        <v>634.91999999999996</v>
      </c>
      <c r="O19" s="2335">
        <f>+'DEVEX 지급현황'!D37</f>
        <v>625.67999999999995</v>
      </c>
      <c r="P19" s="2328">
        <f>+'[3]INPUTSHEET(BOLT 3)'!O24</f>
        <v>0</v>
      </c>
      <c r="Q19" s="2328">
        <f>+'[3]INPUTSHEET(BOLT 3)'!P24</f>
        <v>0</v>
      </c>
    </row>
    <row r="21" spans="1:21">
      <c r="B21" s="2336" t="s">
        <v>2766</v>
      </c>
      <c r="E21" s="2337">
        <v>25000000</v>
      </c>
      <c r="F21" s="2337">
        <f t="shared" ref="F21:M21" si="1">+SUM(F22:F27)</f>
        <v>13776000</v>
      </c>
      <c r="G21" s="2337">
        <f t="shared" si="1"/>
        <v>9976000</v>
      </c>
      <c r="H21" s="2337">
        <f t="shared" si="1"/>
        <v>12499000</v>
      </c>
      <c r="I21" s="2337">
        <f t="shared" si="1"/>
        <v>12499000</v>
      </c>
      <c r="J21" s="2337">
        <f t="shared" si="1"/>
        <v>3740999.9999999995</v>
      </c>
      <c r="K21" s="2337">
        <f t="shared" si="1"/>
        <v>7481999.9999999991</v>
      </c>
      <c r="L21" s="2337">
        <f t="shared" si="1"/>
        <v>15444000</v>
      </c>
      <c r="M21" s="2337">
        <f t="shared" si="1"/>
        <v>14124000</v>
      </c>
      <c r="N21" s="2337">
        <f t="shared" ref="N21:Q21" si="2">+SUM(N22:N27)</f>
        <v>15873000</v>
      </c>
      <c r="O21" s="2337">
        <f t="shared" si="2"/>
        <v>15641999.999999998</v>
      </c>
      <c r="P21" s="2337">
        <f t="shared" si="2"/>
        <v>0</v>
      </c>
      <c r="Q21" s="2337">
        <f t="shared" si="2"/>
        <v>0</v>
      </c>
      <c r="R21" s="2337"/>
    </row>
    <row r="22" spans="1:21">
      <c r="B22" s="2328" t="s">
        <v>2761</v>
      </c>
      <c r="E22" s="2337">
        <v>12500000</v>
      </c>
      <c r="F22" s="2337">
        <f>+$E22*F19/1000</f>
        <v>6888000</v>
      </c>
      <c r="G22" s="2337">
        <f t="shared" ref="G22:O22" si="3">+$E22*G19/1000</f>
        <v>4988000</v>
      </c>
      <c r="H22" s="2337">
        <f t="shared" si="3"/>
        <v>6249500</v>
      </c>
      <c r="I22" s="2337">
        <f t="shared" si="3"/>
        <v>6249500</v>
      </c>
      <c r="J22" s="2337">
        <f t="shared" si="3"/>
        <v>1870499.9999999998</v>
      </c>
      <c r="K22" s="2337">
        <f t="shared" si="3"/>
        <v>3740999.9999999995</v>
      </c>
      <c r="L22" s="2337">
        <f t="shared" si="3"/>
        <v>7722000</v>
      </c>
      <c r="M22" s="2337">
        <f t="shared" si="3"/>
        <v>7062000</v>
      </c>
      <c r="N22" s="2337">
        <f t="shared" si="3"/>
        <v>7936499.9999999991</v>
      </c>
      <c r="O22" s="2337">
        <f t="shared" si="3"/>
        <v>7820999.9999999991</v>
      </c>
      <c r="P22" s="2337">
        <f t="shared" ref="P22:Q22" si="4">+$E22*P19</f>
        <v>0</v>
      </c>
      <c r="Q22" s="2337">
        <f t="shared" si="4"/>
        <v>0</v>
      </c>
      <c r="R22" s="2337"/>
    </row>
    <row r="23" spans="1:21">
      <c r="B23" s="2328" t="s">
        <v>2723</v>
      </c>
      <c r="F23" s="2337">
        <f t="shared" ref="F23" si="5">+$E23*F19</f>
        <v>0</v>
      </c>
      <c r="G23" s="2337">
        <f t="shared" ref="G23:O23" si="6">+$E23*G19</f>
        <v>0</v>
      </c>
      <c r="H23" s="2337">
        <f t="shared" si="6"/>
        <v>0</v>
      </c>
      <c r="I23" s="2337">
        <f t="shared" si="6"/>
        <v>0</v>
      </c>
      <c r="J23" s="2337">
        <f t="shared" si="6"/>
        <v>0</v>
      </c>
      <c r="K23" s="2337">
        <f t="shared" si="6"/>
        <v>0</v>
      </c>
      <c r="L23" s="2337">
        <f t="shared" si="6"/>
        <v>0</v>
      </c>
      <c r="M23" s="2337">
        <f t="shared" si="6"/>
        <v>0</v>
      </c>
      <c r="N23" s="2337">
        <f t="shared" si="6"/>
        <v>0</v>
      </c>
      <c r="O23" s="2337">
        <f t="shared" si="6"/>
        <v>0</v>
      </c>
      <c r="P23" s="2337">
        <f t="shared" ref="P23:Q23" si="7">+$E23*P19</f>
        <v>0</v>
      </c>
      <c r="Q23" s="2337">
        <f t="shared" si="7"/>
        <v>0</v>
      </c>
      <c r="R23" s="2337"/>
    </row>
    <row r="24" spans="1:21">
      <c r="B24" s="2328" t="s">
        <v>2762</v>
      </c>
      <c r="E24" s="2337">
        <v>2600000</v>
      </c>
      <c r="F24" s="2337">
        <f>+$E24*F19/1000</f>
        <v>1432704</v>
      </c>
      <c r="G24" s="2337">
        <f t="shared" ref="G24:O24" si="8">+$E24*G19/1000</f>
        <v>1037504</v>
      </c>
      <c r="H24" s="2337">
        <f t="shared" si="8"/>
        <v>1299896</v>
      </c>
      <c r="I24" s="2337">
        <f t="shared" si="8"/>
        <v>1299896</v>
      </c>
      <c r="J24" s="2337">
        <f t="shared" si="8"/>
        <v>389063.99999999994</v>
      </c>
      <c r="K24" s="2337">
        <f t="shared" si="8"/>
        <v>778127.99999999988</v>
      </c>
      <c r="L24" s="2337">
        <f t="shared" si="8"/>
        <v>1606176</v>
      </c>
      <c r="M24" s="2337">
        <f t="shared" si="8"/>
        <v>1468896</v>
      </c>
      <c r="N24" s="2337">
        <f t="shared" si="8"/>
        <v>1650792</v>
      </c>
      <c r="O24" s="2337">
        <f t="shared" si="8"/>
        <v>1626767.9999999998</v>
      </c>
      <c r="P24" s="2337">
        <f t="shared" ref="P24:Q24" si="9">+$E24*P19</f>
        <v>0</v>
      </c>
      <c r="Q24" s="2337">
        <f t="shared" si="9"/>
        <v>0</v>
      </c>
      <c r="R24" s="2337"/>
    </row>
    <row r="25" spans="1:21">
      <c r="B25" s="2328" t="s">
        <v>2763</v>
      </c>
      <c r="E25" s="2337">
        <v>6000000</v>
      </c>
      <c r="F25" s="2337">
        <f>+$E25*F19/1000</f>
        <v>3306240</v>
      </c>
      <c r="G25" s="2337">
        <f t="shared" ref="G25:O25" si="10">+$E25*G19/1000</f>
        <v>2394240</v>
      </c>
      <c r="H25" s="2337">
        <f t="shared" si="10"/>
        <v>2999760</v>
      </c>
      <c r="I25" s="2337">
        <f t="shared" si="10"/>
        <v>2999760</v>
      </c>
      <c r="J25" s="2337">
        <f t="shared" si="10"/>
        <v>897839.99999999988</v>
      </c>
      <c r="K25" s="2337">
        <f t="shared" si="10"/>
        <v>1795679.9999999998</v>
      </c>
      <c r="L25" s="2337">
        <f t="shared" si="10"/>
        <v>3706560</v>
      </c>
      <c r="M25" s="2337">
        <f t="shared" si="10"/>
        <v>3389760</v>
      </c>
      <c r="N25" s="2337">
        <f t="shared" si="10"/>
        <v>3809519.9999999995</v>
      </c>
      <c r="O25" s="2337">
        <f t="shared" si="10"/>
        <v>3754079.9999999995</v>
      </c>
      <c r="P25" s="2337">
        <f t="shared" ref="P25:Q25" si="11">+$E25*P19</f>
        <v>0</v>
      </c>
      <c r="Q25" s="2337">
        <f t="shared" si="11"/>
        <v>0</v>
      </c>
      <c r="R25" s="2337"/>
    </row>
    <row r="26" spans="1:21">
      <c r="B26" s="2328" t="s">
        <v>2745</v>
      </c>
      <c r="E26" s="2337">
        <v>3900000</v>
      </c>
      <c r="F26" s="2337">
        <f>+$E26*F19/1000</f>
        <v>2149056</v>
      </c>
      <c r="G26" s="2337">
        <f t="shared" ref="G26:O26" si="12">+$E26*G19/1000</f>
        <v>1556256</v>
      </c>
      <c r="H26" s="2337">
        <f t="shared" si="12"/>
        <v>1949844</v>
      </c>
      <c r="I26" s="2337">
        <f t="shared" si="12"/>
        <v>1949844</v>
      </c>
      <c r="J26" s="2337">
        <f t="shared" si="12"/>
        <v>583596</v>
      </c>
      <c r="K26" s="2337">
        <f t="shared" si="12"/>
        <v>1167192</v>
      </c>
      <c r="L26" s="2337">
        <f t="shared" si="12"/>
        <v>2409264</v>
      </c>
      <c r="M26" s="2337">
        <f t="shared" si="12"/>
        <v>2203344</v>
      </c>
      <c r="N26" s="2337">
        <f t="shared" si="12"/>
        <v>2476188</v>
      </c>
      <c r="O26" s="2337">
        <f t="shared" si="12"/>
        <v>2440152</v>
      </c>
      <c r="P26" s="2337">
        <f t="shared" ref="P26:Q26" si="13">+$E26*P19</f>
        <v>0</v>
      </c>
      <c r="Q26" s="2337">
        <f t="shared" si="13"/>
        <v>0</v>
      </c>
      <c r="R26" s="2337"/>
    </row>
    <row r="27" spans="1:21">
      <c r="B27" s="2328" t="s">
        <v>2765</v>
      </c>
      <c r="F27" s="2337">
        <f>+$E27*F19/1000</f>
        <v>0</v>
      </c>
      <c r="G27" s="2337">
        <f t="shared" ref="G27:O27" si="14">+$E27*G19/1000</f>
        <v>0</v>
      </c>
      <c r="H27" s="2337">
        <f t="shared" si="14"/>
        <v>0</v>
      </c>
      <c r="I27" s="2337">
        <f t="shared" si="14"/>
        <v>0</v>
      </c>
      <c r="J27" s="2337">
        <f t="shared" si="14"/>
        <v>0</v>
      </c>
      <c r="K27" s="2337">
        <f t="shared" si="14"/>
        <v>0</v>
      </c>
      <c r="L27" s="2337">
        <f t="shared" si="14"/>
        <v>0</v>
      </c>
      <c r="M27" s="2337">
        <f t="shared" si="14"/>
        <v>0</v>
      </c>
      <c r="N27" s="2337">
        <f t="shared" si="14"/>
        <v>0</v>
      </c>
      <c r="O27" s="2337">
        <f t="shared" si="14"/>
        <v>0</v>
      </c>
      <c r="P27" s="2337">
        <f t="shared" ref="P27:Q27" si="15">+$E27*P19</f>
        <v>0</v>
      </c>
      <c r="Q27" s="2337">
        <f t="shared" si="15"/>
        <v>0</v>
      </c>
      <c r="R27" s="2337"/>
    </row>
    <row r="28" spans="1:21">
      <c r="F28" s="2332">
        <f>+F29+F34</f>
        <v>1046976000</v>
      </c>
      <c r="G28" s="2332">
        <f t="shared" ref="G28:O28" si="16">+G29+G34</f>
        <v>758176000</v>
      </c>
      <c r="H28" s="2332">
        <f t="shared" si="16"/>
        <v>949924000</v>
      </c>
      <c r="I28" s="2332">
        <f t="shared" si="16"/>
        <v>949924000</v>
      </c>
      <c r="J28" s="2332">
        <f t="shared" si="16"/>
        <v>284315999.99999994</v>
      </c>
      <c r="K28" s="2332">
        <f t="shared" si="16"/>
        <v>568631999.99999988</v>
      </c>
      <c r="L28" s="2332">
        <f t="shared" si="16"/>
        <v>996020970</v>
      </c>
      <c r="M28" s="2332">
        <f t="shared" si="16"/>
        <v>816618040</v>
      </c>
      <c r="N28" s="2332">
        <f t="shared" si="16"/>
        <v>902423270</v>
      </c>
      <c r="O28" s="2332">
        <f t="shared" si="16"/>
        <v>1240579720</v>
      </c>
    </row>
    <row r="29" spans="1:21">
      <c r="B29" s="2336" t="s">
        <v>2767</v>
      </c>
      <c r="E29" s="2337">
        <v>1050000000</v>
      </c>
      <c r="F29" s="2332">
        <f t="shared" ref="F29:M29" si="17">+SUM(F30:F32)</f>
        <v>578592000</v>
      </c>
      <c r="G29" s="2332">
        <f t="shared" si="17"/>
        <v>418992000</v>
      </c>
      <c r="H29" s="2332">
        <f t="shared" si="17"/>
        <v>524958000</v>
      </c>
      <c r="I29" s="2332">
        <f t="shared" si="17"/>
        <v>524958000</v>
      </c>
      <c r="J29" s="2332">
        <f t="shared" si="17"/>
        <v>157121999.99999997</v>
      </c>
      <c r="K29" s="2332">
        <f t="shared" si="17"/>
        <v>314243999.99999994</v>
      </c>
      <c r="L29" s="2332">
        <f t="shared" si="17"/>
        <v>648648000</v>
      </c>
      <c r="M29" s="2332">
        <f t="shared" si="17"/>
        <v>593208000</v>
      </c>
      <c r="N29" s="2332">
        <f t="shared" ref="N29:Q29" si="18">+SUM(N30:N32)</f>
        <v>666666000</v>
      </c>
      <c r="O29" s="2332">
        <f t="shared" si="18"/>
        <v>656963999.99999988</v>
      </c>
      <c r="P29" s="2332">
        <f t="shared" si="18"/>
        <v>0</v>
      </c>
      <c r="Q29" s="2332">
        <f t="shared" si="18"/>
        <v>0</v>
      </c>
      <c r="R29" s="2332"/>
    </row>
    <row r="30" spans="1:21">
      <c r="B30" s="2331" t="str">
        <f>+'[3]INPUTSHEET(BOLT 3)'!B163</f>
        <v>BOS</v>
      </c>
      <c r="C30" s="2331"/>
      <c r="D30" s="2331"/>
      <c r="E30" s="2337">
        <v>800000000</v>
      </c>
      <c r="F30" s="2337">
        <f>+$E30*F$19/1000</f>
        <v>440832000</v>
      </c>
      <c r="G30" s="2337">
        <f t="shared" ref="G30:O30" si="19">+$E30*G$19/1000</f>
        <v>319232000</v>
      </c>
      <c r="H30" s="2337">
        <f t="shared" si="19"/>
        <v>399968000</v>
      </c>
      <c r="I30" s="2337">
        <f t="shared" si="19"/>
        <v>399968000</v>
      </c>
      <c r="J30" s="2337">
        <f t="shared" si="19"/>
        <v>119711999.99999999</v>
      </c>
      <c r="K30" s="2337">
        <f t="shared" si="19"/>
        <v>239423999.99999997</v>
      </c>
      <c r="L30" s="2337">
        <f t="shared" si="19"/>
        <v>494208000</v>
      </c>
      <c r="M30" s="2337">
        <f t="shared" si="19"/>
        <v>451968000</v>
      </c>
      <c r="N30" s="2337">
        <f t="shared" si="19"/>
        <v>507935999.99999994</v>
      </c>
      <c r="O30" s="2337">
        <f t="shared" si="19"/>
        <v>500543999.99999994</v>
      </c>
      <c r="P30" s="2337">
        <f t="shared" ref="P30:Q30" si="20">+$E30*P19</f>
        <v>0</v>
      </c>
      <c r="Q30" s="2337">
        <f t="shared" si="20"/>
        <v>0</v>
      </c>
      <c r="R30" s="2337"/>
    </row>
    <row r="31" spans="1:21">
      <c r="B31" s="2331" t="str">
        <f>+'[3]INPUTSHEET(BOLT 3)'!B181</f>
        <v>Modules</v>
      </c>
      <c r="C31" s="2331"/>
      <c r="D31" s="2331"/>
      <c r="E31" s="2337">
        <v>180000000</v>
      </c>
      <c r="F31" s="2337">
        <f t="shared" ref="F31:O32" si="21">+$E31*F$19/1000</f>
        <v>99187200</v>
      </c>
      <c r="G31" s="2337">
        <f t="shared" si="21"/>
        <v>71827200</v>
      </c>
      <c r="H31" s="2337">
        <f t="shared" si="21"/>
        <v>89992800</v>
      </c>
      <c r="I31" s="2337">
        <f t="shared" si="21"/>
        <v>89992800</v>
      </c>
      <c r="J31" s="2337">
        <f t="shared" si="21"/>
        <v>26935199.999999996</v>
      </c>
      <c r="K31" s="2337">
        <f t="shared" si="21"/>
        <v>53870399.999999993</v>
      </c>
      <c r="L31" s="2337">
        <f t="shared" si="21"/>
        <v>111196800</v>
      </c>
      <c r="M31" s="2337">
        <f t="shared" si="21"/>
        <v>101692800</v>
      </c>
      <c r="N31" s="2337">
        <f t="shared" si="21"/>
        <v>114285600</v>
      </c>
      <c r="O31" s="2337">
        <f t="shared" si="21"/>
        <v>112622399.99999999</v>
      </c>
      <c r="P31" s="2337">
        <f t="shared" ref="P31:Q31" si="22">+$E31*P19</f>
        <v>0</v>
      </c>
      <c r="Q31" s="2337">
        <f t="shared" si="22"/>
        <v>0</v>
      </c>
      <c r="R31" s="2337"/>
    </row>
    <row r="32" spans="1:21">
      <c r="B32" s="2331" t="str">
        <f>+'[3]INPUTSHEET(BOLT 3)'!B199</f>
        <v>Grid Connection Cost</v>
      </c>
      <c r="C32" s="2331"/>
      <c r="D32" s="2331"/>
      <c r="E32" s="2337">
        <f>120000000-50000000</f>
        <v>70000000</v>
      </c>
      <c r="F32" s="2337">
        <f t="shared" si="21"/>
        <v>38572800</v>
      </c>
      <c r="G32" s="2337">
        <f t="shared" si="21"/>
        <v>27932800</v>
      </c>
      <c r="H32" s="2337">
        <f t="shared" si="21"/>
        <v>34997200</v>
      </c>
      <c r="I32" s="2337">
        <f t="shared" si="21"/>
        <v>34997200</v>
      </c>
      <c r="J32" s="2337">
        <f t="shared" si="21"/>
        <v>10474799.999999998</v>
      </c>
      <c r="K32" s="2337">
        <f t="shared" si="21"/>
        <v>20949599.999999996</v>
      </c>
      <c r="L32" s="2337">
        <f t="shared" si="21"/>
        <v>43243200</v>
      </c>
      <c r="M32" s="2337">
        <f t="shared" si="21"/>
        <v>39547200</v>
      </c>
      <c r="N32" s="2337">
        <f t="shared" si="21"/>
        <v>44444400</v>
      </c>
      <c r="O32" s="2337">
        <f t="shared" si="21"/>
        <v>43797600</v>
      </c>
      <c r="P32" s="2337">
        <f t="shared" ref="P32:Q32" si="23">+$E32*P19</f>
        <v>0</v>
      </c>
      <c r="Q32" s="2337">
        <f t="shared" si="23"/>
        <v>0</v>
      </c>
      <c r="R32" s="2337"/>
    </row>
    <row r="34" spans="2:18">
      <c r="B34" s="2336" t="s">
        <v>2768</v>
      </c>
      <c r="F34" s="2332">
        <f>+F35+F38+F40</f>
        <v>468384000</v>
      </c>
      <c r="G34" s="2332">
        <f t="shared" ref="G34:O34" si="24">+G35+G38+G40</f>
        <v>339184000</v>
      </c>
      <c r="H34" s="2332">
        <f t="shared" si="24"/>
        <v>424966000</v>
      </c>
      <c r="I34" s="2332">
        <f t="shared" si="24"/>
        <v>424966000</v>
      </c>
      <c r="J34" s="2332">
        <f t="shared" si="24"/>
        <v>127193999.99999999</v>
      </c>
      <c r="K34" s="2332">
        <f t="shared" si="24"/>
        <v>254387999.99999997</v>
      </c>
      <c r="L34" s="2332">
        <f t="shared" si="24"/>
        <v>347372970</v>
      </c>
      <c r="M34" s="2332">
        <f t="shared" si="24"/>
        <v>223410040</v>
      </c>
      <c r="N34" s="2332">
        <f t="shared" si="24"/>
        <v>235757270</v>
      </c>
      <c r="O34" s="2332">
        <f t="shared" si="24"/>
        <v>583615720</v>
      </c>
    </row>
    <row r="35" spans="2:18">
      <c r="B35" s="2331" t="s">
        <v>2769</v>
      </c>
      <c r="C35" s="2331"/>
      <c r="D35" s="2331"/>
      <c r="F35" s="2332">
        <f>+F19*(F36)/1000</f>
        <v>192864000</v>
      </c>
      <c r="G35" s="2332">
        <f t="shared" ref="G35:K35" si="25">+G19*(G36)/1000</f>
        <v>139664000</v>
      </c>
      <c r="H35" s="2332">
        <f t="shared" si="25"/>
        <v>174986000</v>
      </c>
      <c r="I35" s="2332">
        <f t="shared" si="25"/>
        <v>174986000</v>
      </c>
      <c r="J35" s="2332">
        <f t="shared" si="25"/>
        <v>52373999.999999993</v>
      </c>
      <c r="K35" s="2332">
        <f t="shared" si="25"/>
        <v>104747999.99999999</v>
      </c>
      <c r="L35" s="2332">
        <f>+L36</f>
        <v>223820970</v>
      </c>
      <c r="M35" s="2332">
        <f t="shared" ref="M35:O35" si="26">+M36</f>
        <v>110418040</v>
      </c>
      <c r="N35" s="2332">
        <f t="shared" si="26"/>
        <v>108773270</v>
      </c>
      <c r="O35" s="2332">
        <f t="shared" si="26"/>
        <v>458479720</v>
      </c>
      <c r="P35" s="2332">
        <f t="shared" ref="P35:Q35" si="27">+P19*P36</f>
        <v>0</v>
      </c>
      <c r="Q35" s="2332">
        <f t="shared" si="27"/>
        <v>0</v>
      </c>
      <c r="R35" s="2332"/>
    </row>
    <row r="36" spans="2:18" ht="13.5">
      <c r="B36" s="2328" t="s">
        <v>2775</v>
      </c>
      <c r="F36" s="2332">
        <v>350000000</v>
      </c>
      <c r="G36" s="2332">
        <v>350000000</v>
      </c>
      <c r="H36" s="2332">
        <v>350000000</v>
      </c>
      <c r="I36" s="2332">
        <v>350000000</v>
      </c>
      <c r="J36" s="2332">
        <v>350000000</v>
      </c>
      <c r="K36" s="2332">
        <v>350000000</v>
      </c>
      <c r="L36" s="2332">
        <f>+'DEVEX 지급현황'!J34</f>
        <v>223820970</v>
      </c>
      <c r="M36" s="2332">
        <f>+'DEVEX 지급현황'!J35</f>
        <v>110418040</v>
      </c>
      <c r="N36" s="2332">
        <f>+'DEVEX 지급현황'!J36</f>
        <v>108773270</v>
      </c>
      <c r="O36" s="2332">
        <f>+'DEVEX 지급현황'!J37</f>
        <v>458479720</v>
      </c>
      <c r="P36" s="2332">
        <v>500000000</v>
      </c>
      <c r="Q36" s="2332">
        <v>500000000</v>
      </c>
      <c r="R36" s="2332"/>
    </row>
    <row r="37" spans="2:18">
      <c r="B37" s="2328" t="s">
        <v>2788</v>
      </c>
      <c r="F37" s="2332">
        <v>300000000</v>
      </c>
      <c r="G37" s="2332">
        <v>300000000</v>
      </c>
      <c r="H37" s="2332">
        <v>300000000</v>
      </c>
      <c r="I37" s="2332">
        <v>300000000</v>
      </c>
      <c r="J37" s="2332">
        <v>300000000</v>
      </c>
      <c r="K37" s="2332">
        <v>300000000</v>
      </c>
      <c r="L37" s="2332"/>
      <c r="M37" s="2332"/>
      <c r="N37" s="2332"/>
      <c r="O37" s="2332"/>
      <c r="P37" s="2332"/>
      <c r="Q37" s="2332"/>
      <c r="R37" s="2332"/>
    </row>
    <row r="38" spans="2:18">
      <c r="B38" s="2328" t="s">
        <v>2786</v>
      </c>
      <c r="F38" s="2332">
        <f>+F37*F19/1000</f>
        <v>165312000</v>
      </c>
      <c r="G38" s="2332">
        <f t="shared" ref="G38:K38" si="28">+G37*G19/1000</f>
        <v>119712000</v>
      </c>
      <c r="H38" s="2332">
        <f t="shared" si="28"/>
        <v>149988000</v>
      </c>
      <c r="I38" s="2332">
        <f t="shared" si="28"/>
        <v>149988000</v>
      </c>
      <c r="J38" s="2332">
        <f t="shared" si="28"/>
        <v>44891999.999999993</v>
      </c>
      <c r="K38" s="2332">
        <f t="shared" si="28"/>
        <v>89783999.999999985</v>
      </c>
      <c r="L38" s="2332"/>
      <c r="M38" s="2332"/>
      <c r="N38" s="2332"/>
      <c r="O38" s="2332"/>
      <c r="P38" s="2332"/>
      <c r="Q38" s="2332"/>
      <c r="R38" s="2332"/>
    </row>
    <row r="39" spans="2:18">
      <c r="B39" s="2328" t="s">
        <v>2801</v>
      </c>
      <c r="F39" s="2332">
        <v>200000000</v>
      </c>
      <c r="G39" s="2332">
        <v>200000000</v>
      </c>
      <c r="H39" s="2332">
        <v>200000000</v>
      </c>
      <c r="I39" s="2332">
        <v>200000000</v>
      </c>
      <c r="J39" s="2332">
        <v>200000000</v>
      </c>
      <c r="K39" s="2332">
        <v>200000000</v>
      </c>
      <c r="L39" s="2332">
        <v>200000000</v>
      </c>
      <c r="M39" s="2332">
        <v>200000000</v>
      </c>
      <c r="N39" s="2332">
        <v>200000000</v>
      </c>
      <c r="O39" s="2332">
        <v>200000000</v>
      </c>
      <c r="P39" s="2332"/>
      <c r="Q39" s="2332"/>
      <c r="R39" s="2332"/>
    </row>
    <row r="40" spans="2:18">
      <c r="B40" s="2328" t="s">
        <v>281</v>
      </c>
      <c r="F40" s="2332">
        <f>+F39*F19/1000</f>
        <v>110208000</v>
      </c>
      <c r="G40" s="2332">
        <f t="shared" ref="G40:K40" si="29">+G39*G19/1000</f>
        <v>79808000</v>
      </c>
      <c r="H40" s="2332">
        <f t="shared" si="29"/>
        <v>99992000</v>
      </c>
      <c r="I40" s="2332">
        <f t="shared" si="29"/>
        <v>99992000</v>
      </c>
      <c r="J40" s="2332">
        <f t="shared" si="29"/>
        <v>29927999.999999996</v>
      </c>
      <c r="K40" s="2332">
        <f t="shared" si="29"/>
        <v>59855999.999999993</v>
      </c>
      <c r="L40" s="2332">
        <f t="shared" ref="L40" si="30">+L39*L19/1000</f>
        <v>123552000</v>
      </c>
      <c r="M40" s="2332">
        <f t="shared" ref="M40" si="31">+M39*M19/1000</f>
        <v>112992000</v>
      </c>
      <c r="N40" s="2332">
        <f t="shared" ref="N40" si="32">+N39*N19/1000</f>
        <v>126983999.99999999</v>
      </c>
      <c r="O40" s="2332">
        <f t="shared" ref="O40" si="33">+O39*O19/1000</f>
        <v>125135999.99999999</v>
      </c>
      <c r="P40" s="2332"/>
      <c r="Q40" s="2332"/>
      <c r="R40" s="2332"/>
    </row>
    <row r="41" spans="2:18">
      <c r="F41" s="2332"/>
      <c r="G41" s="2332"/>
      <c r="H41" s="2332"/>
      <c r="I41" s="2332"/>
      <c r="J41" s="2332"/>
      <c r="K41" s="2332"/>
      <c r="L41" s="2332"/>
      <c r="M41" s="2332"/>
      <c r="N41" s="2332"/>
      <c r="O41" s="2332"/>
      <c r="P41" s="2332"/>
      <c r="Q41" s="2332"/>
      <c r="R41" s="2332"/>
    </row>
    <row r="42" spans="2:18" ht="13.5">
      <c r="B42" s="2328" t="s">
        <v>2776</v>
      </c>
      <c r="F42" s="2332"/>
      <c r="G42" s="2332"/>
      <c r="H42" s="2332"/>
      <c r="I42" s="2332"/>
      <c r="J42" s="2332"/>
      <c r="K42" s="2332"/>
      <c r="L42" s="2332"/>
      <c r="M42" s="2332"/>
      <c r="N42" s="2332"/>
      <c r="O42" s="2332"/>
      <c r="P42" s="2332"/>
      <c r="Q42" s="2332"/>
      <c r="R42" s="2332"/>
    </row>
    <row r="43" spans="2:18">
      <c r="B43" s="2331" t="str">
        <f>+'[3]INPUTSHEET(BOLT 2)'!B293</f>
        <v>Other</v>
      </c>
      <c r="C43" s="2331"/>
      <c r="D43" s="2331"/>
      <c r="F43" s="2332">
        <f t="shared" ref="F43:M43" si="34">+F19*F44</f>
        <v>0</v>
      </c>
      <c r="G43" s="2332">
        <f t="shared" si="34"/>
        <v>0</v>
      </c>
      <c r="H43" s="2332">
        <f t="shared" si="34"/>
        <v>0</v>
      </c>
      <c r="I43" s="2332">
        <f t="shared" si="34"/>
        <v>0</v>
      </c>
      <c r="J43" s="2332">
        <f t="shared" si="34"/>
        <v>0</v>
      </c>
      <c r="K43" s="2332">
        <f t="shared" si="34"/>
        <v>0</v>
      </c>
      <c r="L43" s="2332">
        <f t="shared" si="34"/>
        <v>0</v>
      </c>
      <c r="M43" s="2332">
        <f t="shared" si="34"/>
        <v>0</v>
      </c>
      <c r="N43" s="2332">
        <f t="shared" ref="N43:Q43" si="35">+N19*N44</f>
        <v>0</v>
      </c>
      <c r="O43" s="2332">
        <f t="shared" si="35"/>
        <v>0</v>
      </c>
      <c r="P43" s="2332">
        <f t="shared" si="35"/>
        <v>0</v>
      </c>
      <c r="Q43" s="2332">
        <f t="shared" si="35"/>
        <v>0</v>
      </c>
      <c r="R43" s="2332"/>
    </row>
    <row r="44" spans="2:18" ht="13.5">
      <c r="B44" s="2328" t="s">
        <v>2777</v>
      </c>
      <c r="F44" s="2332"/>
      <c r="G44" s="2332"/>
      <c r="H44" s="2332"/>
      <c r="I44" s="2332"/>
      <c r="J44" s="2332"/>
      <c r="K44" s="2332"/>
      <c r="L44" s="2332"/>
      <c r="M44" s="2332"/>
      <c r="N44" s="2332"/>
      <c r="O44" s="2332"/>
      <c r="P44" s="2332">
        <v>40000000</v>
      </c>
      <c r="Q44" s="2332">
        <v>40000000</v>
      </c>
      <c r="R44" s="2332"/>
    </row>
    <row r="45" spans="2:18">
      <c r="F45" s="2332"/>
      <c r="G45" s="2332"/>
      <c r="H45" s="2332"/>
      <c r="I45" s="2332"/>
      <c r="J45" s="2332"/>
      <c r="K45" s="2332"/>
      <c r="L45" s="2332"/>
      <c r="M45" s="2332"/>
      <c r="N45" s="2332"/>
      <c r="O45" s="2332"/>
      <c r="P45" s="2332"/>
      <c r="Q45" s="2332"/>
      <c r="R45" s="2332"/>
    </row>
    <row r="46" spans="2:18">
      <c r="F46" s="2332"/>
      <c r="G46" s="2332"/>
      <c r="H46" s="2332"/>
      <c r="I46" s="2332"/>
      <c r="J46" s="2332"/>
      <c r="K46" s="2332"/>
      <c r="L46" s="2332"/>
      <c r="M46" s="2332"/>
      <c r="N46" s="2332"/>
      <c r="O46" s="2332"/>
      <c r="P46" s="2332"/>
      <c r="Q46" s="2332"/>
      <c r="R46" s="2332"/>
    </row>
  </sheetData>
  <phoneticPr fontId="1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3058-7735-4347-AA9B-E01407022CEC}">
  <sheetPr>
    <tabColor rgb="FFFF0000"/>
  </sheetPr>
  <dimension ref="B2:W38"/>
  <sheetViews>
    <sheetView showGridLines="0" zoomScale="85" zoomScaleNormal="85" workbookViewId="0">
      <pane xSplit="6" ySplit="10" topLeftCell="G11" activePane="bottomRight" state="frozen"/>
      <selection pane="topRight" activeCell="I7" sqref="I7"/>
      <selection pane="bottomLeft" activeCell="I7" sqref="I7"/>
      <selection pane="bottomRight" activeCell="D13" sqref="D13"/>
    </sheetView>
  </sheetViews>
  <sheetFormatPr defaultColWidth="8" defaultRowHeight="12.75"/>
  <cols>
    <col min="1" max="1" width="1.5" style="1809" customWidth="1"/>
    <col min="2" max="3" width="11" style="1809" customWidth="1"/>
    <col min="4" max="4" width="22.5" style="1809" customWidth="1"/>
    <col min="5" max="5" width="12.25" style="1809" customWidth="1"/>
    <col min="6" max="6" width="13" style="1810" bestFit="1" customWidth="1"/>
    <col min="7" max="7" width="13" style="1810" customWidth="1"/>
    <col min="8" max="8" width="15.375" style="1809" customWidth="1"/>
    <col min="9" max="10" width="12.75" style="1809" customWidth="1"/>
    <col min="11" max="11" width="19.25" style="1809" customWidth="1"/>
    <col min="12" max="12" width="7.875" style="1810" customWidth="1"/>
    <col min="13" max="13" width="14.875" style="1809" customWidth="1"/>
    <col min="14" max="14" width="7.875" style="1810" customWidth="1"/>
    <col min="15" max="15" width="14.875" style="1809" customWidth="1"/>
    <col min="16" max="16" width="18.75" style="1809" customWidth="1"/>
    <col min="17" max="17" width="7.875" style="1810" customWidth="1"/>
    <col min="18" max="18" width="14.875" style="1809" customWidth="1"/>
    <col min="19" max="19" width="6.875" style="1810" customWidth="1"/>
    <col min="20" max="20" width="14.875" style="1809" customWidth="1"/>
    <col min="21" max="21" width="1.5" style="1809" customWidth="1"/>
    <col min="22" max="22" width="10.25" style="1809" bestFit="1" customWidth="1"/>
    <col min="23" max="23" width="11.625" style="1809" customWidth="1"/>
    <col min="24" max="24" width="9.375" style="1809" bestFit="1" customWidth="1"/>
    <col min="25" max="16384" width="8" style="1809"/>
  </cols>
  <sheetData>
    <row r="2" spans="2:23">
      <c r="B2" s="1860" t="s">
        <v>181</v>
      </c>
      <c r="C2" s="1860"/>
      <c r="D2" s="1860" t="s">
        <v>150</v>
      </c>
      <c r="E2" s="1860"/>
    </row>
    <row r="3" spans="2:23">
      <c r="B3" s="1860" t="s">
        <v>182</v>
      </c>
      <c r="C3" s="1860"/>
      <c r="D3" s="1860" t="s">
        <v>183</v>
      </c>
      <c r="E3" s="1860"/>
    </row>
    <row r="4" spans="2:23">
      <c r="B4" s="1860" t="s">
        <v>184</v>
      </c>
      <c r="C4" s="1860"/>
      <c r="D4" s="1860" t="s">
        <v>185</v>
      </c>
      <c r="E4" s="1860"/>
    </row>
    <row r="5" spans="2:23">
      <c r="B5" s="1860" t="s">
        <v>186</v>
      </c>
      <c r="C5" s="1860"/>
      <c r="D5" s="1860" t="s">
        <v>187</v>
      </c>
      <c r="E5" s="1860"/>
    </row>
    <row r="6" spans="2:23">
      <c r="B6" s="1860" t="s">
        <v>188</v>
      </c>
      <c r="C6" s="1860"/>
      <c r="D6" s="1860" t="s">
        <v>189</v>
      </c>
      <c r="E6" s="1860"/>
    </row>
    <row r="7" spans="2:23">
      <c r="B7" s="1860" t="s">
        <v>190</v>
      </c>
      <c r="C7" s="1860"/>
      <c r="D7" s="1860" t="s">
        <v>2472</v>
      </c>
      <c r="E7" s="1860"/>
    </row>
    <row r="8" spans="2:23" ht="13.5" thickBot="1">
      <c r="M8" s="1906" t="s">
        <v>205</v>
      </c>
      <c r="O8" s="1906" t="s">
        <v>206</v>
      </c>
      <c r="T8" s="1811" t="s">
        <v>192</v>
      </c>
    </row>
    <row r="9" spans="2:23" ht="27" customHeight="1">
      <c r="B9" s="2462" t="s">
        <v>132</v>
      </c>
      <c r="C9" s="2475" t="s">
        <v>193</v>
      </c>
      <c r="D9" s="2475" t="s">
        <v>133</v>
      </c>
      <c r="E9" s="2467" t="s">
        <v>194</v>
      </c>
      <c r="F9" s="2462" t="s">
        <v>135</v>
      </c>
      <c r="G9" s="2469" t="s">
        <v>136</v>
      </c>
      <c r="H9" s="2467" t="s">
        <v>138</v>
      </c>
      <c r="I9" s="2469" t="s">
        <v>195</v>
      </c>
      <c r="J9" s="2469" t="s">
        <v>196</v>
      </c>
      <c r="K9" s="2471" t="s">
        <v>144</v>
      </c>
      <c r="L9" s="2500" t="s">
        <v>143</v>
      </c>
      <c r="M9" s="2501"/>
      <c r="N9" s="2475" t="s">
        <v>145</v>
      </c>
      <c r="O9" s="2462"/>
      <c r="P9" s="2460" t="s">
        <v>197</v>
      </c>
      <c r="Q9" s="2462" t="s">
        <v>198</v>
      </c>
      <c r="R9" s="2462"/>
      <c r="S9" s="2463" t="s">
        <v>199</v>
      </c>
      <c r="T9" s="2464"/>
      <c r="V9" s="2467" t="s">
        <v>147</v>
      </c>
    </row>
    <row r="10" spans="2:23" ht="27" customHeight="1">
      <c r="B10" s="2476"/>
      <c r="C10" s="2477"/>
      <c r="D10" s="2477"/>
      <c r="E10" s="2468"/>
      <c r="F10" s="2476"/>
      <c r="G10" s="2470"/>
      <c r="H10" s="2468"/>
      <c r="I10" s="2470"/>
      <c r="J10" s="2470"/>
      <c r="K10" s="2472"/>
      <c r="L10" s="1891" t="s">
        <v>148</v>
      </c>
      <c r="M10" s="1892" t="s">
        <v>149</v>
      </c>
      <c r="N10" s="1858" t="s">
        <v>148</v>
      </c>
      <c r="O10" s="1812" t="s">
        <v>149</v>
      </c>
      <c r="P10" s="2461"/>
      <c r="Q10" s="1812" t="s">
        <v>148</v>
      </c>
      <c r="R10" s="1812" t="s">
        <v>149</v>
      </c>
      <c r="S10" s="2465"/>
      <c r="T10" s="2466"/>
      <c r="V10" s="2468"/>
    </row>
    <row r="11" spans="2:23" ht="16.5" customHeight="1">
      <c r="B11" s="2435" t="s">
        <v>150</v>
      </c>
      <c r="C11" s="2435" t="s">
        <v>200</v>
      </c>
      <c r="D11" s="1859" t="str">
        <f>+'GM Batch1'!C11</f>
        <v>YJ NANSAN 1</v>
      </c>
      <c r="E11" s="1813">
        <v>1050000</v>
      </c>
      <c r="F11" s="1814">
        <f>+'GM Batch1'!D11</f>
        <v>999.58</v>
      </c>
      <c r="G11" s="1815">
        <f>+E11*F11*1.1/1470</f>
        <v>785384.28571428568</v>
      </c>
      <c r="H11" s="1816">
        <f>+I11+K11+P11</f>
        <v>288628725.00000006</v>
      </c>
      <c r="I11" s="1816"/>
      <c r="J11" s="2438"/>
      <c r="K11" s="1881">
        <f>+M11+O11</f>
        <v>230902980.00000006</v>
      </c>
      <c r="L11" s="1893">
        <f>+'GM Batch1'!AA11</f>
        <v>45920</v>
      </c>
      <c r="M11" s="1894">
        <f>+'GM Batch1'!AD11</f>
        <v>230902980.00000006</v>
      </c>
      <c r="N11" s="1885">
        <f>+'GM Batch1'!AH11</f>
        <v>45950</v>
      </c>
      <c r="O11" s="1816">
        <f>+'GM Batch1'!AK11</f>
        <v>0</v>
      </c>
      <c r="P11" s="1818">
        <f>+R11+T11</f>
        <v>57725745.000000015</v>
      </c>
      <c r="Q11" s="1817"/>
      <c r="R11" s="1819"/>
      <c r="S11" s="1817"/>
      <c r="T11" s="1816">
        <f>+'GM Batch1'!BM11</f>
        <v>57725745.000000015</v>
      </c>
      <c r="V11" s="1821" t="b">
        <f t="shared" ref="V11:V18" si="0">+I11+K11+P11=E11*F11*1.1</f>
        <v>0</v>
      </c>
      <c r="W11" s="1822"/>
    </row>
    <row r="12" spans="2:23" ht="16.5" customHeight="1">
      <c r="B12" s="2436"/>
      <c r="C12" s="2436"/>
      <c r="D12" s="1859" t="str">
        <f>+'GM Batch1'!C17</f>
        <v>YJ NANSAN 2</v>
      </c>
      <c r="E12" s="1823">
        <v>1050000</v>
      </c>
      <c r="F12" s="1824">
        <f>+'GM Batch1'!D17</f>
        <v>999.58</v>
      </c>
      <c r="G12" s="1825">
        <f t="shared" ref="G12:G18" si="1">+E12*F12*1.1/1470</f>
        <v>785384.28571428568</v>
      </c>
      <c r="H12" s="1818">
        <f t="shared" ref="H12:H18" si="2">+I12+K12+P12</f>
        <v>288628725.00000006</v>
      </c>
      <c r="I12" s="1818"/>
      <c r="J12" s="2439"/>
      <c r="K12" s="1881">
        <f t="shared" ref="K12:K18" si="3">+M12+O12</f>
        <v>230902980.00000006</v>
      </c>
      <c r="L12" s="1895">
        <f>+'GM Batch1'!AA17</f>
        <v>45920</v>
      </c>
      <c r="M12" s="1896">
        <f>+'GM Batch1'!AD17</f>
        <v>230902980.00000006</v>
      </c>
      <c r="N12" s="1886">
        <f>+'GM Batch1'!AH17</f>
        <v>45950</v>
      </c>
      <c r="O12" s="1818">
        <f>+'GM Batch1'!AK17</f>
        <v>0</v>
      </c>
      <c r="P12" s="1818">
        <f t="shared" ref="P12:P18" si="4">+R12+T12</f>
        <v>57725745.000000015</v>
      </c>
      <c r="Q12" s="1826"/>
      <c r="R12" s="1827"/>
      <c r="S12" s="1828"/>
      <c r="T12" s="1818">
        <f>+'GM Batch1'!BM17</f>
        <v>57725745.000000015</v>
      </c>
      <c r="V12" s="1871" t="b">
        <f t="shared" si="0"/>
        <v>0</v>
      </c>
      <c r="W12" s="1822"/>
    </row>
    <row r="13" spans="2:23" ht="16.5" customHeight="1">
      <c r="B13" s="2436"/>
      <c r="C13" s="2436"/>
      <c r="D13" s="1859" t="str">
        <f>+'GM Batch1'!C23</f>
        <v>YJ GASI 1</v>
      </c>
      <c r="E13" s="1823">
        <v>1050000</v>
      </c>
      <c r="F13" s="1824">
        <f>+'GM Batch1'!D23</f>
        <v>999.6</v>
      </c>
      <c r="G13" s="1825">
        <f t="shared" si="1"/>
        <v>785400</v>
      </c>
      <c r="H13" s="1818">
        <f t="shared" si="2"/>
        <v>288634500.00000006</v>
      </c>
      <c r="I13" s="1818"/>
      <c r="J13" s="2439"/>
      <c r="K13" s="1881">
        <f t="shared" si="3"/>
        <v>230907600.00000006</v>
      </c>
      <c r="L13" s="1895">
        <f>+'GM Batch1'!AA23</f>
        <v>45920</v>
      </c>
      <c r="M13" s="1896">
        <f>+'GM Batch1'!AD23</f>
        <v>230907600.00000006</v>
      </c>
      <c r="N13" s="1886">
        <f>+'GM Batch1'!AH23</f>
        <v>45950</v>
      </c>
      <c r="O13" s="1818">
        <f>+'GM Batch1'!AK23</f>
        <v>0</v>
      </c>
      <c r="P13" s="1818">
        <f t="shared" si="4"/>
        <v>57726900.000000015</v>
      </c>
      <c r="Q13" s="1826"/>
      <c r="R13" s="1827"/>
      <c r="S13" s="1828"/>
      <c r="T13" s="1818">
        <f>+'GM Batch1'!BM23</f>
        <v>57726900.000000015</v>
      </c>
      <c r="V13" s="1828" t="b">
        <f t="shared" si="0"/>
        <v>0</v>
      </c>
      <c r="W13" s="1822"/>
    </row>
    <row r="14" spans="2:23" ht="16.5" customHeight="1">
      <c r="B14" s="2436"/>
      <c r="C14" s="2436"/>
      <c r="D14" s="1859" t="str">
        <f>+'GM Batch1'!C29</f>
        <v>YJ GASI 2</v>
      </c>
      <c r="E14" s="1823">
        <v>1050000</v>
      </c>
      <c r="F14" s="1829">
        <f>+'GM Batch1'!D29</f>
        <v>999.6</v>
      </c>
      <c r="G14" s="1825">
        <f t="shared" si="1"/>
        <v>785400</v>
      </c>
      <c r="H14" s="1818">
        <f t="shared" si="2"/>
        <v>288634500.00000006</v>
      </c>
      <c r="I14" s="1818"/>
      <c r="J14" s="2439"/>
      <c r="K14" s="1881">
        <f t="shared" si="3"/>
        <v>230907600.00000006</v>
      </c>
      <c r="L14" s="1895">
        <f>+'GM Batch1'!AA29</f>
        <v>45920</v>
      </c>
      <c r="M14" s="1897">
        <f>+'GM Batch1'!AD29</f>
        <v>230907600.00000006</v>
      </c>
      <c r="N14" s="1886">
        <f>+'GM Batch1'!AH29</f>
        <v>45950</v>
      </c>
      <c r="O14" s="1818">
        <f>+'GM Batch1'!AK29</f>
        <v>0</v>
      </c>
      <c r="P14" s="1818">
        <f t="shared" si="4"/>
        <v>57726900.000000015</v>
      </c>
      <c r="Q14" s="1826"/>
      <c r="R14" s="1827"/>
      <c r="S14" s="1828"/>
      <c r="T14" s="1818">
        <f>+'GM Batch1'!BM29</f>
        <v>57726900.000000015</v>
      </c>
      <c r="V14" s="1828" t="b">
        <f t="shared" si="0"/>
        <v>0</v>
      </c>
      <c r="W14" s="1822"/>
    </row>
    <row r="15" spans="2:23" ht="16.5" customHeight="1">
      <c r="B15" s="2436"/>
      <c r="C15" s="2436"/>
      <c r="D15" s="1859" t="str">
        <f>+'GM Batch1'!C35</f>
        <v>Dream 1</v>
      </c>
      <c r="E15" s="1823">
        <v>1050000</v>
      </c>
      <c r="F15" s="1829">
        <f>+'GM Batch1'!D35</f>
        <v>999.24</v>
      </c>
      <c r="G15" s="1825">
        <f t="shared" si="1"/>
        <v>785117.14285714284</v>
      </c>
      <c r="H15" s="1818">
        <f t="shared" si="2"/>
        <v>288530550.00000006</v>
      </c>
      <c r="I15" s="1818"/>
      <c r="J15" s="2439"/>
      <c r="K15" s="1881">
        <f t="shared" si="3"/>
        <v>0</v>
      </c>
      <c r="L15" s="1895"/>
      <c r="M15" s="1897"/>
      <c r="N15" s="1886"/>
      <c r="O15" s="1830"/>
      <c r="P15" s="1818">
        <f t="shared" si="4"/>
        <v>288530550.00000006</v>
      </c>
      <c r="Q15" s="1826"/>
      <c r="R15" s="1827"/>
      <c r="S15" s="1828"/>
      <c r="T15" s="1818">
        <f>+'GM Batch1'!AD35+'GM Batch1'!AK35+'GM Batch1'!BM35</f>
        <v>288530550.00000006</v>
      </c>
      <c r="V15" s="1828" t="b">
        <f t="shared" si="0"/>
        <v>0</v>
      </c>
      <c r="W15" s="1822"/>
    </row>
    <row r="16" spans="2:23" ht="16.5" customHeight="1">
      <c r="B16" s="2436"/>
      <c r="C16" s="2436"/>
      <c r="D16" s="1859" t="str">
        <f>+'GM Batch1'!C41</f>
        <v>Dream 2</v>
      </c>
      <c r="E16" s="1823">
        <v>1050000</v>
      </c>
      <c r="F16" s="1829">
        <f>+'GM Batch1'!D41</f>
        <v>999.24</v>
      </c>
      <c r="G16" s="1825">
        <f t="shared" si="1"/>
        <v>785117.14285714284</v>
      </c>
      <c r="H16" s="1818">
        <f t="shared" si="2"/>
        <v>288530550.00000006</v>
      </c>
      <c r="I16" s="1818"/>
      <c r="J16" s="2439"/>
      <c r="K16" s="1881">
        <f t="shared" si="3"/>
        <v>0</v>
      </c>
      <c r="L16" s="1895"/>
      <c r="M16" s="1896"/>
      <c r="N16" s="1886"/>
      <c r="O16" s="1830"/>
      <c r="P16" s="1818">
        <f t="shared" si="4"/>
        <v>288530550.00000006</v>
      </c>
      <c r="Q16" s="1826"/>
      <c r="R16" s="1827"/>
      <c r="S16" s="1828"/>
      <c r="T16" s="1818">
        <f>+'GM Batch1'!AD41+'GM Batch1'!AK41+'GM Batch1'!BM41</f>
        <v>288530550.00000006</v>
      </c>
      <c r="V16" s="1828" t="b">
        <f t="shared" si="0"/>
        <v>0</v>
      </c>
      <c r="W16" s="1822"/>
    </row>
    <row r="17" spans="2:23" ht="16.5" customHeight="1">
      <c r="B17" s="2436"/>
      <c r="C17" s="2436"/>
      <c r="D17" s="1859" t="str">
        <f>+'GM Batch1'!C47</f>
        <v>JEIL TECH 1</v>
      </c>
      <c r="E17" s="1823">
        <v>1050000</v>
      </c>
      <c r="F17" s="1829">
        <f>+'GM Batch1'!D47</f>
        <v>999.44</v>
      </c>
      <c r="G17" s="1825">
        <f t="shared" si="1"/>
        <v>785274.28571428568</v>
      </c>
      <c r="H17" s="1818">
        <f t="shared" si="2"/>
        <v>288588300.00000006</v>
      </c>
      <c r="I17" s="1818"/>
      <c r="J17" s="2439"/>
      <c r="K17" s="1881">
        <f t="shared" si="3"/>
        <v>0</v>
      </c>
      <c r="L17" s="1895"/>
      <c r="M17" s="1896"/>
      <c r="N17" s="1886"/>
      <c r="O17" s="1830"/>
      <c r="P17" s="1818">
        <f t="shared" si="4"/>
        <v>288588300.00000006</v>
      </c>
      <c r="Q17" s="1826"/>
      <c r="R17" s="1827"/>
      <c r="S17" s="1828"/>
      <c r="T17" s="1818">
        <f>+'GM Batch1'!AD47+'GM Batch1'!AK47+'GM Batch1'!BM47</f>
        <v>288588300.00000006</v>
      </c>
      <c r="V17" s="1828" t="b">
        <f t="shared" si="0"/>
        <v>0</v>
      </c>
      <c r="W17" s="1822"/>
    </row>
    <row r="18" spans="2:23" ht="16.5" customHeight="1">
      <c r="B18" s="2436"/>
      <c r="C18" s="2436"/>
      <c r="D18" s="1859" t="str">
        <f>+'GM Batch1'!C53</f>
        <v>JEIL TECH 2</v>
      </c>
      <c r="E18" s="1823">
        <v>1050000</v>
      </c>
      <c r="F18" s="1829">
        <f>+'GM Batch1'!D53</f>
        <v>999.44</v>
      </c>
      <c r="G18" s="1825">
        <f t="shared" si="1"/>
        <v>785274.28571428568</v>
      </c>
      <c r="H18" s="1818">
        <f t="shared" si="2"/>
        <v>288588300.00000006</v>
      </c>
      <c r="I18" s="1818"/>
      <c r="J18" s="2439"/>
      <c r="K18" s="1881">
        <f t="shared" si="3"/>
        <v>0</v>
      </c>
      <c r="L18" s="1895"/>
      <c r="M18" s="1897"/>
      <c r="N18" s="1886"/>
      <c r="O18" s="1830"/>
      <c r="P18" s="1818">
        <f t="shared" si="4"/>
        <v>288588300.00000006</v>
      </c>
      <c r="Q18" s="1826"/>
      <c r="R18" s="1830"/>
      <c r="S18" s="1831"/>
      <c r="T18" s="1818">
        <f>+'GM Batch1'!AD53+'GM Batch1'!AK53+'GM Batch1'!BM53</f>
        <v>288588300.00000006</v>
      </c>
      <c r="V18" s="1831" t="b">
        <f t="shared" si="0"/>
        <v>0</v>
      </c>
      <c r="W18" s="1822"/>
    </row>
    <row r="19" spans="2:23" ht="16.5" customHeight="1">
      <c r="B19" s="2436"/>
      <c r="C19" s="2436"/>
      <c r="D19" s="2440" t="s">
        <v>138</v>
      </c>
      <c r="E19" s="2440"/>
      <c r="F19" s="2442">
        <f>SUM(F11:F18)</f>
        <v>7995.7200000000012</v>
      </c>
      <c r="G19" s="2444">
        <f>SUM(G11:G18)</f>
        <v>6282351.4285714282</v>
      </c>
      <c r="H19" s="1837">
        <f>H20/1470</f>
        <v>1570587.8571428575</v>
      </c>
      <c r="I19" s="1837">
        <f>I20/1470</f>
        <v>0</v>
      </c>
      <c r="J19" s="2439"/>
      <c r="K19" s="1882">
        <f>K20/1470</f>
        <v>628313.71428571444</v>
      </c>
      <c r="L19" s="1898"/>
      <c r="M19" s="1899">
        <f>M20/1470</f>
        <v>628313.71428571444</v>
      </c>
      <c r="N19" s="1887"/>
      <c r="O19" s="1838">
        <f>O20/1470</f>
        <v>0</v>
      </c>
      <c r="P19" s="1838">
        <f>P20/1470</f>
        <v>942274.14285714307</v>
      </c>
      <c r="Q19" s="1833"/>
      <c r="R19" s="1838">
        <f>R20/1470</f>
        <v>0</v>
      </c>
      <c r="S19" s="1835"/>
      <c r="T19" s="1838">
        <f>T20/1470</f>
        <v>942274.14285714307</v>
      </c>
      <c r="V19" s="1831"/>
      <c r="W19" s="1822"/>
    </row>
    <row r="20" spans="2:23" ht="16.5" customHeight="1">
      <c r="B20" s="2436"/>
      <c r="C20" s="2437"/>
      <c r="D20" s="2441"/>
      <c r="E20" s="2441"/>
      <c r="F20" s="2443"/>
      <c r="G20" s="2445"/>
      <c r="H20" s="1839">
        <f>+SUM(H11:H18)</f>
        <v>2308764150.0000005</v>
      </c>
      <c r="I20" s="1839">
        <f>+SUM(I11:I18)</f>
        <v>0</v>
      </c>
      <c r="J20" s="2439"/>
      <c r="K20" s="1883">
        <f>+SUM(K11:K18)</f>
        <v>923621160.00000024</v>
      </c>
      <c r="L20" s="1900"/>
      <c r="M20" s="1901">
        <f>+SUM(M11:M18)</f>
        <v>923621160.00000024</v>
      </c>
      <c r="N20" s="1888"/>
      <c r="O20" s="1839">
        <f>+SUM(O11:O18)</f>
        <v>0</v>
      </c>
      <c r="P20" s="1839">
        <f>+SUM(P11:P18)</f>
        <v>1385142990.0000002</v>
      </c>
      <c r="Q20" s="1840"/>
      <c r="R20" s="1839">
        <f>+SUM(R11:R18)</f>
        <v>0</v>
      </c>
      <c r="S20" s="1841"/>
      <c r="T20" s="1839">
        <f>+SUM(T11:T18)</f>
        <v>1385142990.0000002</v>
      </c>
      <c r="V20" s="1841"/>
      <c r="W20" s="1822"/>
    </row>
    <row r="21" spans="2:23" ht="16.5" customHeight="1">
      <c r="B21" s="2455" t="s">
        <v>138</v>
      </c>
      <c r="C21" s="2456"/>
      <c r="D21" s="2456"/>
      <c r="E21" s="2457"/>
      <c r="F21" s="2458">
        <f>+F19</f>
        <v>7995.7200000000012</v>
      </c>
      <c r="G21" s="2459">
        <f>+G19</f>
        <v>6282351.4285714282</v>
      </c>
      <c r="H21" s="1866">
        <f>H22/1470</f>
        <v>1570587.8571428575</v>
      </c>
      <c r="I21" s="1866">
        <f t="shared" ref="I21:T21" si="5">I22/1470</f>
        <v>0</v>
      </c>
      <c r="J21" s="1866">
        <f t="shared" si="5"/>
        <v>378254.36387755099</v>
      </c>
      <c r="K21" s="1882">
        <f t="shared" si="5"/>
        <v>628313.71428571444</v>
      </c>
      <c r="L21" s="1902"/>
      <c r="M21" s="1903">
        <f t="shared" si="5"/>
        <v>628313.71428571444</v>
      </c>
      <c r="N21" s="1889"/>
      <c r="O21" s="1867">
        <f t="shared" si="5"/>
        <v>0</v>
      </c>
      <c r="P21" s="1867">
        <f t="shared" si="5"/>
        <v>942274.14285714307</v>
      </c>
      <c r="Q21" s="1866"/>
      <c r="R21" s="1867">
        <f t="shared" si="5"/>
        <v>0</v>
      </c>
      <c r="S21" s="1866"/>
      <c r="T21" s="1867">
        <f t="shared" si="5"/>
        <v>942274.14285714307</v>
      </c>
      <c r="V21" s="1869"/>
      <c r="W21" s="1822"/>
    </row>
    <row r="22" spans="2:23" ht="16.5" customHeight="1" thickBot="1">
      <c r="B22" s="2426"/>
      <c r="C22" s="2427"/>
      <c r="D22" s="2427"/>
      <c r="E22" s="2428"/>
      <c r="F22" s="2430"/>
      <c r="G22" s="2398"/>
      <c r="H22" s="1868">
        <f>+H20</f>
        <v>2308764150.0000005</v>
      </c>
      <c r="I22" s="1868">
        <f>+I20</f>
        <v>0</v>
      </c>
      <c r="J22" s="1868">
        <f>+'Amount to be paid in 2025(Total'!J46</f>
        <v>556033914.89999998</v>
      </c>
      <c r="K22" s="1884">
        <f>+K20</f>
        <v>923621160.00000024</v>
      </c>
      <c r="L22" s="1904"/>
      <c r="M22" s="1905">
        <f>+M20</f>
        <v>923621160.00000024</v>
      </c>
      <c r="N22" s="1890"/>
      <c r="O22" s="1868">
        <f>+O20</f>
        <v>0</v>
      </c>
      <c r="P22" s="1868">
        <f>+P20</f>
        <v>1385142990.0000002</v>
      </c>
      <c r="Q22" s="1868"/>
      <c r="R22" s="1868">
        <f>+R20</f>
        <v>0</v>
      </c>
      <c r="S22" s="1868"/>
      <c r="T22" s="1868">
        <f>+T20</f>
        <v>1385142990.0000002</v>
      </c>
      <c r="V22" s="1870"/>
      <c r="W22" s="1822"/>
    </row>
    <row r="23" spans="2:23" ht="16.5" customHeight="1">
      <c r="F23" s="1809"/>
      <c r="G23" s="1809"/>
      <c r="J23" s="1822"/>
      <c r="L23" s="1809"/>
      <c r="N23" s="1809"/>
      <c r="S23" s="1809"/>
    </row>
    <row r="24" spans="2:23" ht="16.5" customHeight="1">
      <c r="F24" s="1809"/>
      <c r="G24" s="1809"/>
      <c r="I24" s="1822"/>
      <c r="J24" s="1822"/>
      <c r="L24" s="1809"/>
      <c r="N24" s="1809"/>
      <c r="S24" s="1809"/>
    </row>
    <row r="25" spans="2:23" ht="16.5" customHeight="1">
      <c r="D25" s="1911" t="s">
        <v>2431</v>
      </c>
      <c r="E25" s="1912">
        <v>220000000</v>
      </c>
      <c r="F25" s="1809"/>
      <c r="G25" s="1809"/>
      <c r="I25" s="1822"/>
      <c r="J25" s="1822"/>
      <c r="L25" s="1809"/>
      <c r="M25" s="1822"/>
      <c r="N25" s="1809"/>
      <c r="O25" s="1822"/>
      <c r="R25" s="1822"/>
      <c r="S25" s="1809"/>
      <c r="T25" s="1822"/>
    </row>
    <row r="26" spans="2:23" ht="16.5" customHeight="1">
      <c r="F26" s="1809"/>
      <c r="G26" s="1809"/>
      <c r="I26" s="1822"/>
      <c r="J26" s="1856"/>
      <c r="L26" s="1809"/>
      <c r="M26" s="1822"/>
      <c r="N26" s="1809"/>
      <c r="S26" s="1809"/>
      <c r="T26" s="1822"/>
    </row>
    <row r="27" spans="2:23" ht="16.5" customHeight="1">
      <c r="D27" s="1859" t="s">
        <v>151</v>
      </c>
      <c r="E27" s="1912">
        <f>+$E$25/8</f>
        <v>27500000</v>
      </c>
      <c r="F27" s="1809"/>
      <c r="G27" s="1809"/>
      <c r="I27" s="1822"/>
      <c r="J27" s="1856"/>
      <c r="L27" s="1809"/>
      <c r="M27" s="1857"/>
      <c r="N27" s="1809"/>
      <c r="S27" s="1809"/>
    </row>
    <row r="28" spans="2:23" ht="16.5" customHeight="1">
      <c r="D28" s="1859" t="s">
        <v>152</v>
      </c>
      <c r="E28" s="1912">
        <f t="shared" ref="E28:E34" si="6">+$E$25/8</f>
        <v>27500000</v>
      </c>
      <c r="F28" s="1809"/>
      <c r="G28" s="1809"/>
      <c r="I28" s="1856"/>
      <c r="L28" s="1809"/>
      <c r="N28" s="1809"/>
      <c r="S28" s="1809"/>
    </row>
    <row r="29" spans="2:23" ht="16.5" customHeight="1">
      <c r="D29" s="1859" t="s">
        <v>153</v>
      </c>
      <c r="E29" s="1912">
        <f t="shared" si="6"/>
        <v>27500000</v>
      </c>
      <c r="F29" s="1809"/>
    </row>
    <row r="30" spans="2:23" ht="16.5" customHeight="1">
      <c r="D30" s="1859" t="s">
        <v>154</v>
      </c>
      <c r="E30" s="1912">
        <f t="shared" si="6"/>
        <v>27500000</v>
      </c>
      <c r="F30" s="1809"/>
    </row>
    <row r="31" spans="2:23" ht="16.5" customHeight="1">
      <c r="D31" s="1859" t="s">
        <v>155</v>
      </c>
      <c r="E31" s="1912">
        <f t="shared" si="6"/>
        <v>27500000</v>
      </c>
      <c r="F31" s="1809"/>
    </row>
    <row r="32" spans="2:23" ht="16.5" customHeight="1">
      <c r="D32" s="1859" t="s">
        <v>156</v>
      </c>
      <c r="E32" s="1912">
        <f t="shared" si="6"/>
        <v>27500000</v>
      </c>
      <c r="F32" s="1809"/>
    </row>
    <row r="33" spans="4:5" ht="16.5" customHeight="1">
      <c r="D33" s="1859" t="s">
        <v>157</v>
      </c>
      <c r="E33" s="1912">
        <f t="shared" si="6"/>
        <v>27500000</v>
      </c>
    </row>
    <row r="34" spans="4:5" ht="16.5" customHeight="1">
      <c r="D34" s="1859" t="s">
        <v>158</v>
      </c>
      <c r="E34" s="1912">
        <f t="shared" si="6"/>
        <v>27500000</v>
      </c>
    </row>
    <row r="35" spans="4:5" ht="16.5" customHeight="1"/>
    <row r="36" spans="4:5" ht="16.5" customHeight="1"/>
    <row r="37" spans="4:5" ht="16.5" customHeight="1"/>
    <row r="38" spans="4:5" ht="16.5" customHeight="1"/>
  </sheetData>
  <mergeCells count="25">
    <mergeCell ref="J11:J20"/>
    <mergeCell ref="V9:V10"/>
    <mergeCell ref="D19:E20"/>
    <mergeCell ref="F19:F20"/>
    <mergeCell ref="G19:G20"/>
    <mergeCell ref="K9:K10"/>
    <mergeCell ref="L9:M9"/>
    <mergeCell ref="N9:O9"/>
    <mergeCell ref="P9:P10"/>
    <mergeCell ref="Q9:R9"/>
    <mergeCell ref="S9:T10"/>
    <mergeCell ref="H9:H10"/>
    <mergeCell ref="I9:I10"/>
    <mergeCell ref="J9:J10"/>
    <mergeCell ref="D9:D10"/>
    <mergeCell ref="E9:E10"/>
    <mergeCell ref="B11:B20"/>
    <mergeCell ref="B21:E22"/>
    <mergeCell ref="F21:F22"/>
    <mergeCell ref="G21:G22"/>
    <mergeCell ref="C9:C10"/>
    <mergeCell ref="C11:C20"/>
    <mergeCell ref="B9:B10"/>
    <mergeCell ref="F9:F10"/>
    <mergeCell ref="G9:G10"/>
  </mergeCells>
  <phoneticPr fontId="1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75B4-C53D-43E7-B9A1-C27A08D30707}">
  <dimension ref="B2:BP90"/>
  <sheetViews>
    <sheetView showGridLines="0" workbookViewId="0">
      <pane xSplit="8" ySplit="3" topLeftCell="I4" activePane="bottomRight" state="frozen"/>
      <selection activeCell="B4" sqref="B4:E19"/>
      <selection pane="topRight" activeCell="B4" sqref="B4:E19"/>
      <selection pane="bottomLeft" activeCell="B4" sqref="B4:E19"/>
      <selection pane="bottomRight" activeCell="B4" sqref="B4:E19"/>
    </sheetView>
  </sheetViews>
  <sheetFormatPr defaultColWidth="8" defaultRowHeight="12.75" outlineLevelCol="1"/>
  <cols>
    <col min="1" max="1" width="1.5" style="1809" customWidth="1"/>
    <col min="2" max="2" width="8" style="1809"/>
    <col min="3" max="3" width="23.875" style="1809" bestFit="1" customWidth="1"/>
    <col min="4" max="5" width="8.125" style="1809" customWidth="1"/>
    <col min="6" max="6" width="9.25" style="2183" bestFit="1" customWidth="1"/>
    <col min="7" max="7" width="9.25" style="2183" customWidth="1"/>
    <col min="8" max="8" width="13.625" style="1822" bestFit="1" customWidth="1"/>
    <col min="9" max="10" width="13.625" style="1822" customWidth="1"/>
    <col min="11" max="15" width="13.625" style="1822" hidden="1" customWidth="1" outlineLevel="1"/>
    <col min="16" max="16" width="13.625" style="2184" hidden="1" customWidth="1" outlineLevel="1"/>
    <col min="17" max="18" width="13.625" style="1822" hidden="1" customWidth="1" outlineLevel="1"/>
    <col min="19" max="19" width="11.125" style="1822" customWidth="1" collapsed="1"/>
    <col min="20" max="53" width="11.125" style="1822" customWidth="1"/>
    <col min="54" max="68" width="8" style="1822"/>
    <col min="69" max="16384" width="8" style="1809"/>
  </cols>
  <sheetData>
    <row r="2" spans="2:56" ht="13.5">
      <c r="B2" s="2503" t="s">
        <v>132</v>
      </c>
      <c r="C2" s="2503" t="s">
        <v>2558</v>
      </c>
      <c r="D2" s="2504" t="s">
        <v>135</v>
      </c>
      <c r="E2" s="2504" t="s">
        <v>2606</v>
      </c>
      <c r="F2" s="2505" t="s">
        <v>2559</v>
      </c>
      <c r="G2" s="2505" t="s">
        <v>2560</v>
      </c>
      <c r="H2" s="2502" t="s">
        <v>138</v>
      </c>
      <c r="I2" s="2507" t="s">
        <v>2561</v>
      </c>
      <c r="J2" s="2507" t="s">
        <v>2562</v>
      </c>
      <c r="K2" s="2509" t="s">
        <v>2563</v>
      </c>
      <c r="L2" s="2510"/>
      <c r="M2" s="2510"/>
      <c r="N2" s="2510"/>
      <c r="O2" s="2510"/>
      <c r="P2" s="2510"/>
      <c r="Q2" s="2510"/>
      <c r="R2" s="2511"/>
      <c r="S2" s="2502" t="s">
        <v>2607</v>
      </c>
      <c r="T2" s="2502"/>
      <c r="U2" s="2502"/>
      <c r="V2" s="2502"/>
      <c r="W2" s="2502"/>
      <c r="X2" s="2502" t="s">
        <v>2608</v>
      </c>
      <c r="Y2" s="2502"/>
      <c r="Z2" s="2502"/>
      <c r="AA2" s="2502"/>
      <c r="AB2" s="2502"/>
      <c r="AC2" s="2502" t="s">
        <v>2609</v>
      </c>
      <c r="AD2" s="2502"/>
      <c r="AE2" s="2502"/>
      <c r="AF2" s="2502"/>
      <c r="AG2" s="2502"/>
      <c r="AH2" s="2502" t="s">
        <v>2610</v>
      </c>
      <c r="AI2" s="2502"/>
      <c r="AJ2" s="2502"/>
      <c r="AK2" s="2502"/>
      <c r="AL2" s="2502"/>
      <c r="AM2" s="2502" t="s">
        <v>2611</v>
      </c>
      <c r="AN2" s="2502"/>
      <c r="AO2" s="2502"/>
      <c r="AP2" s="2502"/>
      <c r="AQ2" s="2502"/>
      <c r="AR2" s="2502" t="s">
        <v>2612</v>
      </c>
      <c r="AS2" s="2502"/>
      <c r="AT2" s="2502"/>
      <c r="AU2" s="2502"/>
      <c r="AV2" s="2502"/>
      <c r="AW2" s="2502" t="s">
        <v>2613</v>
      </c>
      <c r="AX2" s="2502"/>
      <c r="AY2" s="2502"/>
      <c r="AZ2" s="2502"/>
      <c r="BA2" s="2502"/>
    </row>
    <row r="3" spans="2:56" ht="13.5">
      <c r="B3" s="2503"/>
      <c r="C3" s="2503"/>
      <c r="D3" s="2504"/>
      <c r="E3" s="2504"/>
      <c r="F3" s="2505"/>
      <c r="G3" s="2505"/>
      <c r="H3" s="2502"/>
      <c r="I3" s="2508"/>
      <c r="J3" s="2508"/>
      <c r="K3" s="2166" t="s">
        <v>2564</v>
      </c>
      <c r="L3" s="2166" t="s">
        <v>2565</v>
      </c>
      <c r="M3" s="2166" t="s">
        <v>2566</v>
      </c>
      <c r="N3" s="2166" t="s">
        <v>2567</v>
      </c>
      <c r="O3" s="2166" t="s">
        <v>2568</v>
      </c>
      <c r="P3" s="2167" t="s">
        <v>2569</v>
      </c>
      <c r="Q3" s="2166" t="s">
        <v>2570</v>
      </c>
      <c r="R3" s="2166" t="s">
        <v>2571</v>
      </c>
      <c r="S3" s="2164" t="s">
        <v>148</v>
      </c>
      <c r="T3" s="2168">
        <v>0.1</v>
      </c>
      <c r="U3" s="2164" t="s">
        <v>148</v>
      </c>
      <c r="V3" s="2169" t="s">
        <v>2572</v>
      </c>
      <c r="W3" s="2169" t="s">
        <v>2573</v>
      </c>
      <c r="X3" s="2164" t="s">
        <v>148</v>
      </c>
      <c r="Y3" s="2168">
        <v>0.1</v>
      </c>
      <c r="Z3" s="2164" t="s">
        <v>148</v>
      </c>
      <c r="AA3" s="2169" t="s">
        <v>2572</v>
      </c>
      <c r="AB3" s="2169" t="s">
        <v>2573</v>
      </c>
      <c r="AC3" s="2164" t="s">
        <v>148</v>
      </c>
      <c r="AD3" s="2168">
        <v>0.1</v>
      </c>
      <c r="AE3" s="2164" t="s">
        <v>148</v>
      </c>
      <c r="AF3" s="2169" t="s">
        <v>2572</v>
      </c>
      <c r="AG3" s="2169" t="s">
        <v>2573</v>
      </c>
      <c r="AH3" s="2164" t="s">
        <v>148</v>
      </c>
      <c r="AI3" s="2168">
        <v>0.1</v>
      </c>
      <c r="AJ3" s="2164" t="s">
        <v>148</v>
      </c>
      <c r="AK3" s="2169" t="s">
        <v>2572</v>
      </c>
      <c r="AL3" s="2169" t="s">
        <v>2573</v>
      </c>
      <c r="AM3" s="2164" t="s">
        <v>148</v>
      </c>
      <c r="AN3" s="2168">
        <v>0.3</v>
      </c>
      <c r="AO3" s="2164" t="s">
        <v>148</v>
      </c>
      <c r="AP3" s="2169" t="s">
        <v>2572</v>
      </c>
      <c r="AQ3" s="2169" t="s">
        <v>2573</v>
      </c>
      <c r="AR3" s="2164" t="s">
        <v>148</v>
      </c>
      <c r="AS3" s="2168">
        <v>0.25</v>
      </c>
      <c r="AT3" s="2164" t="s">
        <v>148</v>
      </c>
      <c r="AU3" s="2169" t="s">
        <v>2572</v>
      </c>
      <c r="AV3" s="2169" t="s">
        <v>2573</v>
      </c>
      <c r="AW3" s="2164" t="s">
        <v>148</v>
      </c>
      <c r="AX3" s="2168">
        <v>0.05</v>
      </c>
      <c r="AY3" s="2164" t="s">
        <v>148</v>
      </c>
      <c r="AZ3" s="2169" t="s">
        <v>2572</v>
      </c>
      <c r="BA3" s="2169" t="s">
        <v>2573</v>
      </c>
    </row>
    <row r="4" spans="2:56">
      <c r="B4" s="2506" t="s">
        <v>2605</v>
      </c>
      <c r="C4" s="2170"/>
      <c r="D4" s="2171">
        <f>+SUM(D5:D18)</f>
        <v>7995.7200000000012</v>
      </c>
      <c r="E4" s="2171">
        <f>+SUM(E5:E18)</f>
        <v>8000</v>
      </c>
      <c r="F4" s="2172">
        <f>+F5</f>
        <v>1050000</v>
      </c>
      <c r="G4" s="2172">
        <v>1050000</v>
      </c>
      <c r="H4" s="1933">
        <f t="shared" ref="H4:O4" si="0">+SUM(H5:H18)</f>
        <v>9240000000</v>
      </c>
      <c r="I4" s="1933">
        <f t="shared" si="0"/>
        <v>3234000000</v>
      </c>
      <c r="J4" s="1933">
        <f t="shared" si="0"/>
        <v>0</v>
      </c>
      <c r="K4" s="1933">
        <f t="shared" si="0"/>
        <v>0</v>
      </c>
      <c r="L4" s="1933">
        <f t="shared" si="0"/>
        <v>0</v>
      </c>
      <c r="M4" s="1933">
        <f t="shared" si="0"/>
        <v>0</v>
      </c>
      <c r="N4" s="1933">
        <f t="shared" si="0"/>
        <v>0</v>
      </c>
      <c r="O4" s="1933">
        <f t="shared" si="0"/>
        <v>0</v>
      </c>
      <c r="P4" s="1933"/>
      <c r="Q4" s="1933">
        <f>+SUM(Q5:Q18)</f>
        <v>0</v>
      </c>
      <c r="R4" s="1933">
        <f>+SUM(R5:R18)</f>
        <v>0</v>
      </c>
      <c r="S4" s="2173"/>
      <c r="T4" s="1933">
        <f t="shared" ref="T4:W4" si="1">+SUM(T5:T18)</f>
        <v>924000000</v>
      </c>
      <c r="U4" s="1933"/>
      <c r="V4" s="1933">
        <f t="shared" si="1"/>
        <v>462000000</v>
      </c>
      <c r="W4" s="1933">
        <f t="shared" si="1"/>
        <v>462000000</v>
      </c>
      <c r="X4" s="1933"/>
      <c r="Y4" s="1933">
        <f t="shared" ref="Y4:BA4" si="2">+SUM(Y5:Y18)</f>
        <v>924000000</v>
      </c>
      <c r="Z4" s="1933"/>
      <c r="AA4" s="1933">
        <f t="shared" si="2"/>
        <v>462000000</v>
      </c>
      <c r="AB4" s="1933">
        <f t="shared" si="2"/>
        <v>462000000</v>
      </c>
      <c r="AC4" s="1933"/>
      <c r="AD4" s="1933">
        <f t="shared" si="2"/>
        <v>924000000</v>
      </c>
      <c r="AE4" s="1933"/>
      <c r="AF4" s="1933">
        <f t="shared" si="2"/>
        <v>462000000</v>
      </c>
      <c r="AG4" s="1933">
        <f t="shared" si="2"/>
        <v>462000000</v>
      </c>
      <c r="AH4" s="1933"/>
      <c r="AI4" s="1933">
        <f t="shared" si="2"/>
        <v>924000000</v>
      </c>
      <c r="AJ4" s="1933"/>
      <c r="AK4" s="1933">
        <f t="shared" si="2"/>
        <v>462000000</v>
      </c>
      <c r="AL4" s="1933">
        <f t="shared" si="2"/>
        <v>462000000</v>
      </c>
      <c r="AM4" s="1933"/>
      <c r="AN4" s="1933">
        <f t="shared" si="2"/>
        <v>2772000000</v>
      </c>
      <c r="AO4" s="1933"/>
      <c r="AP4" s="1933">
        <f t="shared" si="2"/>
        <v>1386000000</v>
      </c>
      <c r="AQ4" s="1933">
        <f t="shared" si="2"/>
        <v>1386000000</v>
      </c>
      <c r="AR4" s="1933"/>
      <c r="AS4" s="1933">
        <f t="shared" si="2"/>
        <v>2310000000</v>
      </c>
      <c r="AT4" s="1933"/>
      <c r="AU4" s="1933">
        <f t="shared" si="2"/>
        <v>0</v>
      </c>
      <c r="AV4" s="1933">
        <f t="shared" si="2"/>
        <v>2310000000</v>
      </c>
      <c r="AW4" s="1933"/>
      <c r="AX4" s="1933">
        <f t="shared" si="2"/>
        <v>462000000</v>
      </c>
      <c r="AY4" s="1933"/>
      <c r="AZ4" s="1933">
        <f t="shared" si="2"/>
        <v>0</v>
      </c>
      <c r="BA4" s="1933">
        <f t="shared" si="2"/>
        <v>462000000</v>
      </c>
      <c r="BC4" s="1822" t="b">
        <f>+T4+Y4+AD4+AI4+AN4+AS4+AX4=E4*G4*1.1</f>
        <v>1</v>
      </c>
    </row>
    <row r="5" spans="2:56">
      <c r="B5" s="2506"/>
      <c r="C5" s="2171" t="str">
        <f>+'GM Batch1'!C11</f>
        <v>YJ NANSAN 1</v>
      </c>
      <c r="D5" s="2171">
        <f>+'GM Batch1'!D11</f>
        <v>999.58</v>
      </c>
      <c r="E5" s="2171">
        <v>1000</v>
      </c>
      <c r="F5" s="2172">
        <v>1050000</v>
      </c>
      <c r="G5" s="2172">
        <v>1050000</v>
      </c>
      <c r="H5" s="1933">
        <f>+F5*E5*1.1</f>
        <v>1155000000</v>
      </c>
      <c r="I5" s="1933">
        <f>+V5+AA5+AF5+AK5+AP5+AU5+AZ5</f>
        <v>808500000</v>
      </c>
      <c r="J5" s="1933">
        <v>0</v>
      </c>
      <c r="K5" s="1933">
        <f t="shared" ref="K5:K18" si="3">+SUM(L5:O5)</f>
        <v>0</v>
      </c>
      <c r="L5" s="1933"/>
      <c r="M5" s="1933"/>
      <c r="N5" s="1933"/>
      <c r="O5" s="1933"/>
      <c r="P5" s="2174"/>
      <c r="Q5" s="1933"/>
      <c r="R5" s="1933">
        <f t="shared" ref="R5:R18" si="4">+K5-Q5</f>
        <v>0</v>
      </c>
      <c r="S5" s="2173">
        <v>45915</v>
      </c>
      <c r="T5" s="1933">
        <f t="shared" ref="T5:T18" si="5">+ROUND($H5*T$3,)</f>
        <v>115500000</v>
      </c>
      <c r="U5" s="2173">
        <v>45915</v>
      </c>
      <c r="V5" s="1933">
        <v>115500000</v>
      </c>
      <c r="W5" s="1933">
        <f>+T5-V5</f>
        <v>0</v>
      </c>
      <c r="X5" s="2173">
        <v>45915</v>
      </c>
      <c r="Y5" s="1933">
        <f t="shared" ref="Y5:AX18" si="6">+ROUND($H5*Y$3,)</f>
        <v>115500000</v>
      </c>
      <c r="Z5" s="2173">
        <v>45915</v>
      </c>
      <c r="AA5" s="1933">
        <v>115500000</v>
      </c>
      <c r="AB5" s="1933">
        <f>+Y5-AA5</f>
        <v>0</v>
      </c>
      <c r="AC5" s="2173">
        <v>45980</v>
      </c>
      <c r="AD5" s="1933">
        <f t="shared" si="6"/>
        <v>115500000</v>
      </c>
      <c r="AE5" s="2173">
        <v>45980</v>
      </c>
      <c r="AF5" s="1933">
        <v>115500000</v>
      </c>
      <c r="AG5" s="1933">
        <f>+AD5-AF5</f>
        <v>0</v>
      </c>
      <c r="AH5" s="2173">
        <v>45980</v>
      </c>
      <c r="AI5" s="1933">
        <f t="shared" si="6"/>
        <v>115500000</v>
      </c>
      <c r="AJ5" s="2173">
        <v>45980</v>
      </c>
      <c r="AK5" s="1933">
        <v>115500000</v>
      </c>
      <c r="AL5" s="1933">
        <f>+AI5-AK5</f>
        <v>0</v>
      </c>
      <c r="AM5" s="2173">
        <v>46003</v>
      </c>
      <c r="AN5" s="1933">
        <f t="shared" si="6"/>
        <v>346500000</v>
      </c>
      <c r="AO5" s="2173">
        <v>46003</v>
      </c>
      <c r="AP5" s="1933">
        <v>346500000</v>
      </c>
      <c r="AQ5" s="1933">
        <f>+AN5-AP5</f>
        <v>0</v>
      </c>
      <c r="AR5" s="1933"/>
      <c r="AS5" s="1933">
        <f t="shared" si="6"/>
        <v>288750000</v>
      </c>
      <c r="AT5" s="2173"/>
      <c r="AU5" s="1933"/>
      <c r="AV5" s="1933">
        <f>+AS5-AU5</f>
        <v>288750000</v>
      </c>
      <c r="AW5" s="2173"/>
      <c r="AX5" s="1933">
        <f t="shared" si="6"/>
        <v>57750000</v>
      </c>
      <c r="AY5" s="2173"/>
      <c r="AZ5" s="1933"/>
      <c r="BA5" s="1933">
        <f>+AX5-AZ5</f>
        <v>57750000</v>
      </c>
      <c r="BC5" s="1822" t="b">
        <f>+T5+Y5+AD5+AI5+AN5+AS5+AX5=E5*G5*1.1</f>
        <v>1</v>
      </c>
    </row>
    <row r="6" spans="2:56">
      <c r="B6" s="2506"/>
      <c r="C6" s="2171" t="str">
        <f>+'GM Batch1'!C17</f>
        <v>YJ NANSAN 2</v>
      </c>
      <c r="D6" s="2171">
        <f>+'GM Batch1'!D17</f>
        <v>999.58</v>
      </c>
      <c r="E6" s="2171">
        <v>1000</v>
      </c>
      <c r="F6" s="2172">
        <v>1050000</v>
      </c>
      <c r="G6" s="2172">
        <v>1050000</v>
      </c>
      <c r="H6" s="1933">
        <f t="shared" ref="H6:H18" si="7">+F6*E6*1.1</f>
        <v>1155000000</v>
      </c>
      <c r="I6" s="1933">
        <f t="shared" ref="I6:I18" si="8">+V6+AA6+AF6+AK6+AP6+AU6+AZ6</f>
        <v>808500000</v>
      </c>
      <c r="J6" s="1933">
        <v>0</v>
      </c>
      <c r="K6" s="1933">
        <f t="shared" si="3"/>
        <v>0</v>
      </c>
      <c r="L6" s="1933"/>
      <c r="M6" s="1933"/>
      <c r="N6" s="1933"/>
      <c r="O6" s="1933"/>
      <c r="P6" s="2174"/>
      <c r="Q6" s="1933"/>
      <c r="R6" s="1933">
        <f t="shared" si="4"/>
        <v>0</v>
      </c>
      <c r="S6" s="2173">
        <v>45915</v>
      </c>
      <c r="T6" s="1933">
        <f t="shared" si="5"/>
        <v>115500000</v>
      </c>
      <c r="U6" s="2173">
        <v>45915</v>
      </c>
      <c r="V6" s="1933">
        <v>115500000</v>
      </c>
      <c r="W6" s="1933">
        <f t="shared" ref="W6:W18" si="9">+T6-V6</f>
        <v>0</v>
      </c>
      <c r="X6" s="2173">
        <v>45915</v>
      </c>
      <c r="Y6" s="1933">
        <f t="shared" si="6"/>
        <v>115500000</v>
      </c>
      <c r="Z6" s="2173">
        <v>45915</v>
      </c>
      <c r="AA6" s="1933">
        <v>115500000</v>
      </c>
      <c r="AB6" s="1933">
        <f t="shared" ref="AB6:AB18" si="10">+Y6-AA6</f>
        <v>0</v>
      </c>
      <c r="AC6" s="2173">
        <v>45980</v>
      </c>
      <c r="AD6" s="1933">
        <f t="shared" si="6"/>
        <v>115500000</v>
      </c>
      <c r="AE6" s="2173">
        <v>45980</v>
      </c>
      <c r="AF6" s="1933">
        <v>115500000</v>
      </c>
      <c r="AG6" s="1933">
        <f t="shared" ref="AG6:AG18" si="11">+AD6-AF6</f>
        <v>0</v>
      </c>
      <c r="AH6" s="2173">
        <v>45980</v>
      </c>
      <c r="AI6" s="1933">
        <f t="shared" si="6"/>
        <v>115500000</v>
      </c>
      <c r="AJ6" s="2173">
        <v>45980</v>
      </c>
      <c r="AK6" s="1933">
        <v>115500000</v>
      </c>
      <c r="AL6" s="1933">
        <f t="shared" ref="AL6:AL18" si="12">+AI6-AK6</f>
        <v>0</v>
      </c>
      <c r="AM6" s="2173">
        <v>46003</v>
      </c>
      <c r="AN6" s="1933">
        <f t="shared" si="6"/>
        <v>346500000</v>
      </c>
      <c r="AO6" s="2173">
        <v>46003</v>
      </c>
      <c r="AP6" s="1933">
        <v>346500000</v>
      </c>
      <c r="AQ6" s="1933">
        <f t="shared" ref="AQ6:AQ18" si="13">+AN6-AP6</f>
        <v>0</v>
      </c>
      <c r="AR6" s="1933"/>
      <c r="AS6" s="1933">
        <f t="shared" si="6"/>
        <v>288750000</v>
      </c>
      <c r="AT6" s="2173"/>
      <c r="AU6" s="1933"/>
      <c r="AV6" s="1933">
        <f t="shared" ref="AV6:AV18" si="14">+AS6-AU6</f>
        <v>288750000</v>
      </c>
      <c r="AW6" s="2173"/>
      <c r="AX6" s="1933">
        <f t="shared" si="6"/>
        <v>57750000</v>
      </c>
      <c r="AY6" s="2173"/>
      <c r="AZ6" s="1933"/>
      <c r="BA6" s="1933">
        <f t="shared" ref="BA6:BA18" si="15">+AX6-AZ6</f>
        <v>57750000</v>
      </c>
      <c r="BC6" s="1822" t="b">
        <f t="shared" ref="BC6:BC18" si="16">+T6+Y6+AD6+AI6+AN6+AS6+AX6=E6*G6*1.1</f>
        <v>1</v>
      </c>
    </row>
    <row r="7" spans="2:56">
      <c r="B7" s="2506"/>
      <c r="C7" s="2171" t="str">
        <f>+'GM Batch1'!C23</f>
        <v>YJ GASI 1</v>
      </c>
      <c r="D7" s="2171">
        <f>+'GM Batch1'!D23</f>
        <v>999.6</v>
      </c>
      <c r="E7" s="2171">
        <v>1000</v>
      </c>
      <c r="F7" s="2172">
        <v>1050000</v>
      </c>
      <c r="G7" s="2172">
        <v>1050000</v>
      </c>
      <c r="H7" s="1933">
        <f t="shared" si="7"/>
        <v>1155000000</v>
      </c>
      <c r="I7" s="1933">
        <f t="shared" si="8"/>
        <v>808500000</v>
      </c>
      <c r="J7" s="1933">
        <v>0</v>
      </c>
      <c r="K7" s="1933">
        <f t="shared" si="3"/>
        <v>0</v>
      </c>
      <c r="L7" s="1933"/>
      <c r="M7" s="1933"/>
      <c r="N7" s="1933"/>
      <c r="O7" s="1933"/>
      <c r="P7" s="2174"/>
      <c r="Q7" s="1933"/>
      <c r="R7" s="1933">
        <f t="shared" si="4"/>
        <v>0</v>
      </c>
      <c r="S7" s="2173">
        <v>45915</v>
      </c>
      <c r="T7" s="1933">
        <f t="shared" si="5"/>
        <v>115500000</v>
      </c>
      <c r="U7" s="2173">
        <v>45915</v>
      </c>
      <c r="V7" s="1933">
        <v>115500000</v>
      </c>
      <c r="W7" s="1933">
        <f t="shared" si="9"/>
        <v>0</v>
      </c>
      <c r="X7" s="2173">
        <v>45915</v>
      </c>
      <c r="Y7" s="1933">
        <f t="shared" si="6"/>
        <v>115500000</v>
      </c>
      <c r="Z7" s="2173">
        <v>45915</v>
      </c>
      <c r="AA7" s="1933">
        <v>115500000</v>
      </c>
      <c r="AB7" s="1933">
        <f t="shared" si="10"/>
        <v>0</v>
      </c>
      <c r="AC7" s="2173">
        <v>45980</v>
      </c>
      <c r="AD7" s="1933">
        <f t="shared" si="6"/>
        <v>115500000</v>
      </c>
      <c r="AE7" s="2173">
        <v>45980</v>
      </c>
      <c r="AF7" s="1933">
        <v>115500000</v>
      </c>
      <c r="AG7" s="1933">
        <f t="shared" si="11"/>
        <v>0</v>
      </c>
      <c r="AH7" s="2173">
        <v>46003</v>
      </c>
      <c r="AI7" s="1933">
        <f t="shared" si="6"/>
        <v>115500000</v>
      </c>
      <c r="AJ7" s="2173">
        <v>46003</v>
      </c>
      <c r="AK7" s="1933">
        <v>115500000</v>
      </c>
      <c r="AL7" s="1933">
        <f t="shared" si="12"/>
        <v>0</v>
      </c>
      <c r="AM7" s="2173">
        <v>46014</v>
      </c>
      <c r="AN7" s="1933">
        <f t="shared" si="6"/>
        <v>346500000</v>
      </c>
      <c r="AO7" s="2173">
        <v>46014</v>
      </c>
      <c r="AP7" s="1933">
        <v>346500000</v>
      </c>
      <c r="AQ7" s="1933">
        <f t="shared" si="13"/>
        <v>0</v>
      </c>
      <c r="AR7" s="1933"/>
      <c r="AS7" s="1933">
        <f t="shared" si="6"/>
        <v>288750000</v>
      </c>
      <c r="AT7" s="2173"/>
      <c r="AU7" s="1933"/>
      <c r="AV7" s="1933">
        <f t="shared" si="14"/>
        <v>288750000</v>
      </c>
      <c r="AW7" s="2173"/>
      <c r="AX7" s="1933">
        <f t="shared" si="6"/>
        <v>57750000</v>
      </c>
      <c r="AY7" s="2173"/>
      <c r="AZ7" s="1933"/>
      <c r="BA7" s="1933">
        <f t="shared" si="15"/>
        <v>57750000</v>
      </c>
      <c r="BC7" s="1822" t="b">
        <f t="shared" si="16"/>
        <v>1</v>
      </c>
    </row>
    <row r="8" spans="2:56">
      <c r="B8" s="2506"/>
      <c r="C8" s="2171" t="str">
        <f>+'GM Batch1'!C29</f>
        <v>YJ GASI 2</v>
      </c>
      <c r="D8" s="2171">
        <f>+'GM Batch1'!D29</f>
        <v>999.6</v>
      </c>
      <c r="E8" s="2171">
        <v>1000</v>
      </c>
      <c r="F8" s="2172">
        <v>1050000</v>
      </c>
      <c r="G8" s="2172">
        <v>1050000</v>
      </c>
      <c r="H8" s="1933">
        <f t="shared" si="7"/>
        <v>1155000000</v>
      </c>
      <c r="I8" s="1933">
        <f t="shared" si="8"/>
        <v>808500000</v>
      </c>
      <c r="J8" s="1933">
        <v>0</v>
      </c>
      <c r="K8" s="1933">
        <f t="shared" si="3"/>
        <v>0</v>
      </c>
      <c r="L8" s="1933"/>
      <c r="M8" s="1933"/>
      <c r="N8" s="1933"/>
      <c r="O8" s="1933"/>
      <c r="P8" s="2174"/>
      <c r="Q8" s="1933"/>
      <c r="R8" s="1933">
        <f t="shared" si="4"/>
        <v>0</v>
      </c>
      <c r="S8" s="2173">
        <v>45915</v>
      </c>
      <c r="T8" s="1933">
        <f t="shared" si="5"/>
        <v>115500000</v>
      </c>
      <c r="U8" s="2173">
        <v>45915</v>
      </c>
      <c r="V8" s="1933">
        <v>115500000</v>
      </c>
      <c r="W8" s="1933">
        <f t="shared" si="9"/>
        <v>0</v>
      </c>
      <c r="X8" s="2173">
        <v>45915</v>
      </c>
      <c r="Y8" s="1933">
        <f t="shared" si="6"/>
        <v>115500000</v>
      </c>
      <c r="Z8" s="2173">
        <v>45915</v>
      </c>
      <c r="AA8" s="1933">
        <v>115500000</v>
      </c>
      <c r="AB8" s="1933">
        <f t="shared" si="10"/>
        <v>0</v>
      </c>
      <c r="AC8" s="2173">
        <v>45980</v>
      </c>
      <c r="AD8" s="1933">
        <f t="shared" si="6"/>
        <v>115500000</v>
      </c>
      <c r="AE8" s="2173">
        <v>45980</v>
      </c>
      <c r="AF8" s="1933">
        <v>115500000</v>
      </c>
      <c r="AG8" s="1933">
        <f t="shared" si="11"/>
        <v>0</v>
      </c>
      <c r="AH8" s="2173">
        <v>46003</v>
      </c>
      <c r="AI8" s="1933">
        <f t="shared" si="6"/>
        <v>115500000</v>
      </c>
      <c r="AJ8" s="2173">
        <v>46003</v>
      </c>
      <c r="AK8" s="1933">
        <v>115500000</v>
      </c>
      <c r="AL8" s="1933">
        <f t="shared" si="12"/>
        <v>0</v>
      </c>
      <c r="AM8" s="2173">
        <v>46014</v>
      </c>
      <c r="AN8" s="1933">
        <f t="shared" si="6"/>
        <v>346500000</v>
      </c>
      <c r="AO8" s="2173">
        <v>46014</v>
      </c>
      <c r="AP8" s="1933">
        <v>346500000</v>
      </c>
      <c r="AQ8" s="1933">
        <f t="shared" si="13"/>
        <v>0</v>
      </c>
      <c r="AR8" s="1933"/>
      <c r="AS8" s="1933">
        <f t="shared" si="6"/>
        <v>288750000</v>
      </c>
      <c r="AT8" s="2173"/>
      <c r="AU8" s="1933"/>
      <c r="AV8" s="1933">
        <f t="shared" si="14"/>
        <v>288750000</v>
      </c>
      <c r="AW8" s="2173"/>
      <c r="AX8" s="1933">
        <f t="shared" si="6"/>
        <v>57750000</v>
      </c>
      <c r="AY8" s="2173"/>
      <c r="AZ8" s="1933"/>
      <c r="BA8" s="1933">
        <f t="shared" si="15"/>
        <v>57750000</v>
      </c>
      <c r="BC8" s="1822" t="b">
        <f t="shared" si="16"/>
        <v>1</v>
      </c>
    </row>
    <row r="9" spans="2:56">
      <c r="B9" s="2506"/>
      <c r="C9" s="2171" t="str">
        <f>+'GM Batch1'!C35</f>
        <v>Dream 1</v>
      </c>
      <c r="D9" s="2171">
        <f>+'GM Batch1'!D35</f>
        <v>999.24</v>
      </c>
      <c r="E9" s="2171">
        <v>1000</v>
      </c>
      <c r="F9" s="2172">
        <v>1050000</v>
      </c>
      <c r="G9" s="2172">
        <v>1050000</v>
      </c>
      <c r="H9" s="1933">
        <f t="shared" si="7"/>
        <v>1155000000</v>
      </c>
      <c r="I9" s="1933">
        <f t="shared" si="8"/>
        <v>0</v>
      </c>
      <c r="J9" s="1933">
        <v>0</v>
      </c>
      <c r="K9" s="1933">
        <f t="shared" si="3"/>
        <v>0</v>
      </c>
      <c r="L9" s="1933"/>
      <c r="M9" s="1933"/>
      <c r="N9" s="1933"/>
      <c r="O9" s="1933"/>
      <c r="P9" s="2174"/>
      <c r="Q9" s="1933"/>
      <c r="R9" s="1933">
        <f t="shared" si="4"/>
        <v>0</v>
      </c>
      <c r="S9" s="2173"/>
      <c r="T9" s="1933">
        <f t="shared" si="5"/>
        <v>115500000</v>
      </c>
      <c r="U9" s="2173"/>
      <c r="V9" s="1933"/>
      <c r="W9" s="1933">
        <f t="shared" si="9"/>
        <v>115500000</v>
      </c>
      <c r="X9" s="2173"/>
      <c r="Y9" s="1933">
        <f t="shared" si="6"/>
        <v>115500000</v>
      </c>
      <c r="Z9" s="2173"/>
      <c r="AA9" s="1933"/>
      <c r="AB9" s="1933">
        <f t="shared" si="10"/>
        <v>115500000</v>
      </c>
      <c r="AC9" s="2173"/>
      <c r="AD9" s="1933">
        <f t="shared" si="6"/>
        <v>115500000</v>
      </c>
      <c r="AE9" s="2173"/>
      <c r="AF9" s="1933"/>
      <c r="AG9" s="1933">
        <f t="shared" si="11"/>
        <v>115500000</v>
      </c>
      <c r="AH9" s="1933"/>
      <c r="AI9" s="1933">
        <f t="shared" si="6"/>
        <v>115500000</v>
      </c>
      <c r="AJ9" s="2173"/>
      <c r="AK9" s="1933"/>
      <c r="AL9" s="1933">
        <f t="shared" si="12"/>
        <v>115500000</v>
      </c>
      <c r="AM9" s="2173"/>
      <c r="AN9" s="1933">
        <f t="shared" si="6"/>
        <v>346500000</v>
      </c>
      <c r="AO9" s="2173"/>
      <c r="AP9" s="1933"/>
      <c r="AQ9" s="1933">
        <f t="shared" si="13"/>
        <v>346500000</v>
      </c>
      <c r="AR9" s="1933"/>
      <c r="AS9" s="1933">
        <f t="shared" si="6"/>
        <v>288750000</v>
      </c>
      <c r="AT9" s="2173"/>
      <c r="AU9" s="1933"/>
      <c r="AV9" s="1933">
        <f t="shared" si="14"/>
        <v>288750000</v>
      </c>
      <c r="AW9" s="2173"/>
      <c r="AX9" s="1933">
        <f t="shared" si="6"/>
        <v>57750000</v>
      </c>
      <c r="AY9" s="2173"/>
      <c r="AZ9" s="1933"/>
      <c r="BA9" s="1933">
        <f t="shared" si="15"/>
        <v>57750000</v>
      </c>
      <c r="BC9" s="1822" t="b">
        <f t="shared" si="16"/>
        <v>1</v>
      </c>
    </row>
    <row r="10" spans="2:56">
      <c r="B10" s="2506"/>
      <c r="C10" s="2171" t="str">
        <f>+'GM Batch1'!C41</f>
        <v>Dream 2</v>
      </c>
      <c r="D10" s="2171">
        <f>+'GM Batch1'!D41</f>
        <v>999.24</v>
      </c>
      <c r="E10" s="2171">
        <v>1000</v>
      </c>
      <c r="F10" s="2172">
        <v>1050000</v>
      </c>
      <c r="G10" s="2172">
        <v>1050000</v>
      </c>
      <c r="H10" s="1933">
        <f t="shared" si="7"/>
        <v>1155000000</v>
      </c>
      <c r="I10" s="1933">
        <f t="shared" si="8"/>
        <v>0</v>
      </c>
      <c r="J10" s="1933">
        <v>0</v>
      </c>
      <c r="K10" s="1933">
        <f t="shared" si="3"/>
        <v>0</v>
      </c>
      <c r="L10" s="1933"/>
      <c r="M10" s="1933"/>
      <c r="N10" s="1933"/>
      <c r="O10" s="1933"/>
      <c r="P10" s="2174"/>
      <c r="Q10" s="1933"/>
      <c r="R10" s="1933">
        <f t="shared" si="4"/>
        <v>0</v>
      </c>
      <c r="S10" s="2173"/>
      <c r="T10" s="1933">
        <f t="shared" si="5"/>
        <v>115500000</v>
      </c>
      <c r="U10" s="2173"/>
      <c r="V10" s="1933"/>
      <c r="W10" s="1933">
        <f t="shared" si="9"/>
        <v>115500000</v>
      </c>
      <c r="X10" s="2173"/>
      <c r="Y10" s="1933">
        <f t="shared" si="6"/>
        <v>115500000</v>
      </c>
      <c r="Z10" s="2173"/>
      <c r="AA10" s="1933"/>
      <c r="AB10" s="1933">
        <f t="shared" si="10"/>
        <v>115500000</v>
      </c>
      <c r="AC10" s="2173"/>
      <c r="AD10" s="1933">
        <f t="shared" si="6"/>
        <v>115500000</v>
      </c>
      <c r="AE10" s="2173"/>
      <c r="AF10" s="1933"/>
      <c r="AG10" s="1933">
        <f t="shared" si="11"/>
        <v>115500000</v>
      </c>
      <c r="AH10" s="1933"/>
      <c r="AI10" s="1933">
        <f t="shared" si="6"/>
        <v>115500000</v>
      </c>
      <c r="AJ10" s="2173"/>
      <c r="AK10" s="1933"/>
      <c r="AL10" s="1933">
        <f t="shared" si="12"/>
        <v>115500000</v>
      </c>
      <c r="AM10" s="2173"/>
      <c r="AN10" s="1933">
        <f t="shared" si="6"/>
        <v>346500000</v>
      </c>
      <c r="AO10" s="2173"/>
      <c r="AP10" s="1933"/>
      <c r="AQ10" s="1933">
        <f t="shared" si="13"/>
        <v>346500000</v>
      </c>
      <c r="AR10" s="1933"/>
      <c r="AS10" s="1933">
        <f t="shared" si="6"/>
        <v>288750000</v>
      </c>
      <c r="AT10" s="2173"/>
      <c r="AU10" s="1933"/>
      <c r="AV10" s="1933">
        <f t="shared" si="14"/>
        <v>288750000</v>
      </c>
      <c r="AW10" s="2173"/>
      <c r="AX10" s="1933">
        <f t="shared" si="6"/>
        <v>57750000</v>
      </c>
      <c r="AY10" s="2173"/>
      <c r="AZ10" s="1933"/>
      <c r="BA10" s="1933">
        <f t="shared" si="15"/>
        <v>57750000</v>
      </c>
      <c r="BC10" s="1822" t="b">
        <f t="shared" si="16"/>
        <v>1</v>
      </c>
    </row>
    <row r="11" spans="2:56">
      <c r="B11" s="2506"/>
      <c r="C11" s="2171" t="str">
        <f>+'GM Batch1'!C47</f>
        <v>JEIL TECH 1</v>
      </c>
      <c r="D11" s="2171">
        <f>+'GM Batch1'!D47</f>
        <v>999.44</v>
      </c>
      <c r="E11" s="2171">
        <v>1000</v>
      </c>
      <c r="F11" s="2172">
        <v>1050000</v>
      </c>
      <c r="G11" s="2172">
        <v>1050000</v>
      </c>
      <c r="H11" s="1933">
        <f t="shared" si="7"/>
        <v>1155000000</v>
      </c>
      <c r="I11" s="1933">
        <f t="shared" si="8"/>
        <v>0</v>
      </c>
      <c r="J11" s="1933">
        <v>0</v>
      </c>
      <c r="K11" s="1933">
        <f t="shared" si="3"/>
        <v>0</v>
      </c>
      <c r="L11" s="1933"/>
      <c r="M11" s="1933"/>
      <c r="N11" s="1933"/>
      <c r="O11" s="1933"/>
      <c r="P11" s="2174"/>
      <c r="Q11" s="1933"/>
      <c r="R11" s="1933">
        <f t="shared" si="4"/>
        <v>0</v>
      </c>
      <c r="S11" s="2173"/>
      <c r="T11" s="1933">
        <f t="shared" si="5"/>
        <v>115500000</v>
      </c>
      <c r="U11" s="2173"/>
      <c r="V11" s="1933"/>
      <c r="W11" s="1933">
        <f t="shared" si="9"/>
        <v>115500000</v>
      </c>
      <c r="X11" s="2173"/>
      <c r="Y11" s="1933">
        <f t="shared" si="6"/>
        <v>115500000</v>
      </c>
      <c r="Z11" s="2173"/>
      <c r="AA11" s="1933"/>
      <c r="AB11" s="1933">
        <f t="shared" si="10"/>
        <v>115500000</v>
      </c>
      <c r="AC11" s="2173"/>
      <c r="AD11" s="1933">
        <f t="shared" si="6"/>
        <v>115500000</v>
      </c>
      <c r="AE11" s="2173"/>
      <c r="AF11" s="1933"/>
      <c r="AG11" s="1933">
        <f t="shared" si="11"/>
        <v>115500000</v>
      </c>
      <c r="AH11" s="1933"/>
      <c r="AI11" s="1933">
        <f t="shared" si="6"/>
        <v>115500000</v>
      </c>
      <c r="AJ11" s="2173"/>
      <c r="AK11" s="1933"/>
      <c r="AL11" s="1933">
        <f t="shared" si="12"/>
        <v>115500000</v>
      </c>
      <c r="AM11" s="2173"/>
      <c r="AN11" s="1933">
        <f t="shared" si="6"/>
        <v>346500000</v>
      </c>
      <c r="AO11" s="2173"/>
      <c r="AP11" s="1933"/>
      <c r="AQ11" s="1933">
        <f t="shared" si="13"/>
        <v>346500000</v>
      </c>
      <c r="AR11" s="1933"/>
      <c r="AS11" s="1933">
        <f t="shared" si="6"/>
        <v>288750000</v>
      </c>
      <c r="AT11" s="2173"/>
      <c r="AU11" s="1933"/>
      <c r="AV11" s="1933">
        <f t="shared" si="14"/>
        <v>288750000</v>
      </c>
      <c r="AW11" s="2173"/>
      <c r="AX11" s="1933">
        <f t="shared" si="6"/>
        <v>57750000</v>
      </c>
      <c r="AY11" s="2173"/>
      <c r="AZ11" s="1933"/>
      <c r="BA11" s="1933">
        <f t="shared" si="15"/>
        <v>57750000</v>
      </c>
      <c r="BC11" s="1822" t="b">
        <f t="shared" si="16"/>
        <v>1</v>
      </c>
    </row>
    <row r="12" spans="2:56">
      <c r="B12" s="2506"/>
      <c r="C12" s="2171" t="str">
        <f>+'GM Batch1'!C53</f>
        <v>JEIL TECH 2</v>
      </c>
      <c r="D12" s="2171">
        <f>+'GM Batch1'!D53</f>
        <v>999.44</v>
      </c>
      <c r="E12" s="2171">
        <v>1000</v>
      </c>
      <c r="F12" s="2172">
        <v>1050000</v>
      </c>
      <c r="G12" s="2172">
        <v>1050000</v>
      </c>
      <c r="H12" s="1933">
        <f t="shared" si="7"/>
        <v>1155000000</v>
      </c>
      <c r="I12" s="1933">
        <f t="shared" si="8"/>
        <v>0</v>
      </c>
      <c r="J12" s="1933">
        <v>0</v>
      </c>
      <c r="K12" s="1933">
        <f t="shared" si="3"/>
        <v>0</v>
      </c>
      <c r="L12" s="1933"/>
      <c r="M12" s="1933"/>
      <c r="N12" s="1933"/>
      <c r="O12" s="1933"/>
      <c r="P12" s="2174"/>
      <c r="Q12" s="1933"/>
      <c r="R12" s="1933">
        <f t="shared" si="4"/>
        <v>0</v>
      </c>
      <c r="S12" s="2173"/>
      <c r="T12" s="1933">
        <f t="shared" si="5"/>
        <v>115500000</v>
      </c>
      <c r="U12" s="2173"/>
      <c r="V12" s="1933"/>
      <c r="W12" s="1933">
        <f t="shared" si="9"/>
        <v>115500000</v>
      </c>
      <c r="X12" s="2173"/>
      <c r="Y12" s="1933">
        <f t="shared" si="6"/>
        <v>115500000</v>
      </c>
      <c r="Z12" s="2173"/>
      <c r="AA12" s="1933"/>
      <c r="AB12" s="1933">
        <f t="shared" si="10"/>
        <v>115500000</v>
      </c>
      <c r="AC12" s="2173"/>
      <c r="AD12" s="1933">
        <f t="shared" si="6"/>
        <v>115500000</v>
      </c>
      <c r="AE12" s="2173"/>
      <c r="AF12" s="1933"/>
      <c r="AG12" s="1933">
        <f t="shared" si="11"/>
        <v>115500000</v>
      </c>
      <c r="AH12" s="1933"/>
      <c r="AI12" s="1933">
        <f t="shared" si="6"/>
        <v>115500000</v>
      </c>
      <c r="AJ12" s="2173"/>
      <c r="AK12" s="1933"/>
      <c r="AL12" s="1933">
        <f t="shared" si="12"/>
        <v>115500000</v>
      </c>
      <c r="AM12" s="2173"/>
      <c r="AN12" s="1933">
        <f t="shared" si="6"/>
        <v>346500000</v>
      </c>
      <c r="AO12" s="2173"/>
      <c r="AP12" s="1933"/>
      <c r="AQ12" s="1933">
        <f t="shared" si="13"/>
        <v>346500000</v>
      </c>
      <c r="AR12" s="1933"/>
      <c r="AS12" s="1933">
        <f t="shared" si="6"/>
        <v>288750000</v>
      </c>
      <c r="AT12" s="2173"/>
      <c r="AU12" s="1933"/>
      <c r="AV12" s="1933">
        <f t="shared" si="14"/>
        <v>288750000</v>
      </c>
      <c r="AW12" s="2173"/>
      <c r="AX12" s="1933">
        <f t="shared" si="6"/>
        <v>57750000</v>
      </c>
      <c r="AY12" s="2173"/>
      <c r="AZ12" s="1933"/>
      <c r="BA12" s="1933">
        <f t="shared" si="15"/>
        <v>57750000</v>
      </c>
      <c r="BC12" s="1822" t="b">
        <f t="shared" si="16"/>
        <v>1</v>
      </c>
    </row>
    <row r="13" spans="2:56">
      <c r="B13" s="2506"/>
      <c r="C13" s="2171"/>
      <c r="D13" s="2171"/>
      <c r="E13" s="2171"/>
      <c r="F13" s="2172"/>
      <c r="G13" s="2172">
        <v>1050000</v>
      </c>
      <c r="H13" s="1933">
        <f t="shared" si="7"/>
        <v>0</v>
      </c>
      <c r="I13" s="1933">
        <f t="shared" si="8"/>
        <v>0</v>
      </c>
      <c r="J13" s="1933">
        <v>0</v>
      </c>
      <c r="K13" s="1933">
        <f t="shared" si="3"/>
        <v>0</v>
      </c>
      <c r="L13" s="1933"/>
      <c r="M13" s="1933"/>
      <c r="N13" s="1933"/>
      <c r="O13" s="1933"/>
      <c r="P13" s="2174"/>
      <c r="Q13" s="1933"/>
      <c r="R13" s="1933">
        <f t="shared" si="4"/>
        <v>0</v>
      </c>
      <c r="S13" s="2173"/>
      <c r="T13" s="1933">
        <f t="shared" si="5"/>
        <v>0</v>
      </c>
      <c r="U13" s="2173"/>
      <c r="V13" s="1933"/>
      <c r="W13" s="1933">
        <f t="shared" si="9"/>
        <v>0</v>
      </c>
      <c r="X13" s="2173"/>
      <c r="Y13" s="1933">
        <f t="shared" si="6"/>
        <v>0</v>
      </c>
      <c r="Z13" s="2173"/>
      <c r="AA13" s="1933"/>
      <c r="AB13" s="1933">
        <f t="shared" si="10"/>
        <v>0</v>
      </c>
      <c r="AC13" s="2173"/>
      <c r="AD13" s="1933">
        <f t="shared" si="6"/>
        <v>0</v>
      </c>
      <c r="AE13" s="2173"/>
      <c r="AF13" s="1933"/>
      <c r="AG13" s="1933">
        <f t="shared" si="11"/>
        <v>0</v>
      </c>
      <c r="AH13" s="1933"/>
      <c r="AI13" s="1933">
        <f t="shared" si="6"/>
        <v>0</v>
      </c>
      <c r="AJ13" s="2173"/>
      <c r="AK13" s="1933"/>
      <c r="AL13" s="1933">
        <f t="shared" si="12"/>
        <v>0</v>
      </c>
      <c r="AM13" s="2173"/>
      <c r="AN13" s="1933">
        <f t="shared" si="6"/>
        <v>0</v>
      </c>
      <c r="AO13" s="2173"/>
      <c r="AP13" s="1933"/>
      <c r="AQ13" s="1933">
        <f t="shared" si="13"/>
        <v>0</v>
      </c>
      <c r="AR13" s="1933"/>
      <c r="AS13" s="1933">
        <f t="shared" si="6"/>
        <v>0</v>
      </c>
      <c r="AT13" s="2173"/>
      <c r="AU13" s="1933"/>
      <c r="AV13" s="1933">
        <f t="shared" si="14"/>
        <v>0</v>
      </c>
      <c r="AW13" s="2173"/>
      <c r="AX13" s="1933">
        <f t="shared" si="6"/>
        <v>0</v>
      </c>
      <c r="AY13" s="2173"/>
      <c r="AZ13" s="1933"/>
      <c r="BA13" s="1933">
        <f t="shared" si="15"/>
        <v>0</v>
      </c>
      <c r="BC13" s="1822" t="b">
        <f t="shared" si="16"/>
        <v>1</v>
      </c>
    </row>
    <row r="14" spans="2:56">
      <c r="B14" s="2506"/>
      <c r="C14" s="2171"/>
      <c r="D14" s="2171"/>
      <c r="E14" s="2171"/>
      <c r="F14" s="2172"/>
      <c r="G14" s="2172">
        <v>1050000</v>
      </c>
      <c r="H14" s="1933">
        <f t="shared" si="7"/>
        <v>0</v>
      </c>
      <c r="I14" s="1933">
        <f t="shared" si="8"/>
        <v>0</v>
      </c>
      <c r="J14" s="1933">
        <v>0</v>
      </c>
      <c r="K14" s="1933">
        <f t="shared" si="3"/>
        <v>0</v>
      </c>
      <c r="L14" s="1933"/>
      <c r="M14" s="1933"/>
      <c r="N14" s="1933"/>
      <c r="O14" s="1933"/>
      <c r="P14" s="2174"/>
      <c r="Q14" s="1933"/>
      <c r="R14" s="1933">
        <f t="shared" si="4"/>
        <v>0</v>
      </c>
      <c r="S14" s="2173"/>
      <c r="T14" s="1933">
        <f t="shared" si="5"/>
        <v>0</v>
      </c>
      <c r="U14" s="2173"/>
      <c r="V14" s="1933"/>
      <c r="W14" s="1933">
        <f t="shared" si="9"/>
        <v>0</v>
      </c>
      <c r="X14" s="2173"/>
      <c r="Y14" s="1933">
        <f t="shared" si="6"/>
        <v>0</v>
      </c>
      <c r="Z14" s="2173"/>
      <c r="AA14" s="1933"/>
      <c r="AB14" s="1933">
        <f t="shared" si="10"/>
        <v>0</v>
      </c>
      <c r="AC14" s="2173"/>
      <c r="AD14" s="1933">
        <f t="shared" si="6"/>
        <v>0</v>
      </c>
      <c r="AE14" s="2173"/>
      <c r="AF14" s="1933"/>
      <c r="AG14" s="1933">
        <f t="shared" si="11"/>
        <v>0</v>
      </c>
      <c r="AH14" s="1933"/>
      <c r="AI14" s="1933">
        <f t="shared" si="6"/>
        <v>0</v>
      </c>
      <c r="AJ14" s="2173"/>
      <c r="AK14" s="1933"/>
      <c r="AL14" s="1933">
        <f t="shared" si="12"/>
        <v>0</v>
      </c>
      <c r="AM14" s="2173"/>
      <c r="AN14" s="1933">
        <f t="shared" si="6"/>
        <v>0</v>
      </c>
      <c r="AO14" s="2173"/>
      <c r="AP14" s="1933"/>
      <c r="AQ14" s="1933">
        <f t="shared" si="13"/>
        <v>0</v>
      </c>
      <c r="AR14" s="1933"/>
      <c r="AS14" s="1933">
        <f t="shared" si="6"/>
        <v>0</v>
      </c>
      <c r="AT14" s="2173"/>
      <c r="AU14" s="1933"/>
      <c r="AV14" s="1933">
        <f t="shared" si="14"/>
        <v>0</v>
      </c>
      <c r="AW14" s="2173"/>
      <c r="AX14" s="1933">
        <f t="shared" si="6"/>
        <v>0</v>
      </c>
      <c r="AY14" s="2173"/>
      <c r="AZ14" s="1933"/>
      <c r="BA14" s="1933">
        <f t="shared" si="15"/>
        <v>0</v>
      </c>
      <c r="BC14" s="1822" t="b">
        <f t="shared" si="16"/>
        <v>1</v>
      </c>
      <c r="BD14" s="2182"/>
    </row>
    <row r="15" spans="2:56">
      <c r="B15" s="2506"/>
      <c r="C15" s="2171"/>
      <c r="D15" s="2171"/>
      <c r="E15" s="2171"/>
      <c r="F15" s="2172"/>
      <c r="G15" s="2172">
        <v>1050000</v>
      </c>
      <c r="H15" s="1933">
        <f t="shared" si="7"/>
        <v>0</v>
      </c>
      <c r="I15" s="1933">
        <f t="shared" si="8"/>
        <v>0</v>
      </c>
      <c r="J15" s="1933">
        <v>0</v>
      </c>
      <c r="K15" s="1933">
        <f t="shared" si="3"/>
        <v>0</v>
      </c>
      <c r="L15" s="1933"/>
      <c r="M15" s="1933"/>
      <c r="N15" s="1933"/>
      <c r="O15" s="1933"/>
      <c r="P15" s="2174"/>
      <c r="Q15" s="1933"/>
      <c r="R15" s="1933">
        <f t="shared" si="4"/>
        <v>0</v>
      </c>
      <c r="S15" s="2173"/>
      <c r="T15" s="1933">
        <f t="shared" si="5"/>
        <v>0</v>
      </c>
      <c r="U15" s="2173"/>
      <c r="V15" s="1933"/>
      <c r="W15" s="1933">
        <f t="shared" si="9"/>
        <v>0</v>
      </c>
      <c r="X15" s="2173"/>
      <c r="Y15" s="1933">
        <f t="shared" si="6"/>
        <v>0</v>
      </c>
      <c r="Z15" s="2173"/>
      <c r="AA15" s="1933"/>
      <c r="AB15" s="1933">
        <f t="shared" si="10"/>
        <v>0</v>
      </c>
      <c r="AC15" s="2173"/>
      <c r="AD15" s="1933">
        <f t="shared" si="6"/>
        <v>0</v>
      </c>
      <c r="AE15" s="2173"/>
      <c r="AF15" s="1933"/>
      <c r="AG15" s="1933">
        <f t="shared" si="11"/>
        <v>0</v>
      </c>
      <c r="AH15" s="1933"/>
      <c r="AI15" s="1933">
        <f t="shared" si="6"/>
        <v>0</v>
      </c>
      <c r="AJ15" s="2173"/>
      <c r="AK15" s="1933"/>
      <c r="AL15" s="1933">
        <f t="shared" si="12"/>
        <v>0</v>
      </c>
      <c r="AM15" s="2173"/>
      <c r="AN15" s="1933">
        <f t="shared" si="6"/>
        <v>0</v>
      </c>
      <c r="AO15" s="2173"/>
      <c r="AP15" s="1933"/>
      <c r="AQ15" s="1933">
        <f t="shared" si="13"/>
        <v>0</v>
      </c>
      <c r="AR15" s="1933"/>
      <c r="AS15" s="1933">
        <f t="shared" si="6"/>
        <v>0</v>
      </c>
      <c r="AT15" s="2173"/>
      <c r="AU15" s="1933"/>
      <c r="AV15" s="1933">
        <f t="shared" si="14"/>
        <v>0</v>
      </c>
      <c r="AW15" s="2173"/>
      <c r="AX15" s="1933">
        <f t="shared" si="6"/>
        <v>0</v>
      </c>
      <c r="AY15" s="2173"/>
      <c r="AZ15" s="1933"/>
      <c r="BA15" s="1933">
        <f t="shared" si="15"/>
        <v>0</v>
      </c>
      <c r="BC15" s="1822" t="b">
        <f t="shared" si="16"/>
        <v>1</v>
      </c>
    </row>
    <row r="16" spans="2:56">
      <c r="B16" s="2506"/>
      <c r="C16" s="2171"/>
      <c r="D16" s="2171"/>
      <c r="E16" s="2171"/>
      <c r="F16" s="2172"/>
      <c r="G16" s="2172">
        <v>1050000</v>
      </c>
      <c r="H16" s="1933">
        <f t="shared" si="7"/>
        <v>0</v>
      </c>
      <c r="I16" s="1933">
        <f t="shared" si="8"/>
        <v>0</v>
      </c>
      <c r="J16" s="1933">
        <v>0</v>
      </c>
      <c r="K16" s="1933">
        <f t="shared" si="3"/>
        <v>0</v>
      </c>
      <c r="L16" s="1933"/>
      <c r="M16" s="1933"/>
      <c r="N16" s="1933"/>
      <c r="O16" s="1933"/>
      <c r="P16" s="2174"/>
      <c r="Q16" s="1933"/>
      <c r="R16" s="1933">
        <f t="shared" si="4"/>
        <v>0</v>
      </c>
      <c r="S16" s="2173"/>
      <c r="T16" s="1933">
        <f t="shared" si="5"/>
        <v>0</v>
      </c>
      <c r="U16" s="2173"/>
      <c r="V16" s="1933"/>
      <c r="W16" s="1933">
        <f t="shared" si="9"/>
        <v>0</v>
      </c>
      <c r="X16" s="2173"/>
      <c r="Y16" s="1933">
        <f t="shared" si="6"/>
        <v>0</v>
      </c>
      <c r="Z16" s="2173"/>
      <c r="AA16" s="1933"/>
      <c r="AB16" s="1933">
        <f t="shared" si="10"/>
        <v>0</v>
      </c>
      <c r="AC16" s="2173"/>
      <c r="AD16" s="1933">
        <f t="shared" si="6"/>
        <v>0</v>
      </c>
      <c r="AE16" s="2173"/>
      <c r="AF16" s="1933"/>
      <c r="AG16" s="1933">
        <f t="shared" si="11"/>
        <v>0</v>
      </c>
      <c r="AH16" s="1933"/>
      <c r="AI16" s="1933">
        <f t="shared" si="6"/>
        <v>0</v>
      </c>
      <c r="AJ16" s="2173"/>
      <c r="AK16" s="1933"/>
      <c r="AL16" s="1933">
        <f t="shared" si="12"/>
        <v>0</v>
      </c>
      <c r="AM16" s="2173"/>
      <c r="AN16" s="1933">
        <f t="shared" si="6"/>
        <v>0</v>
      </c>
      <c r="AO16" s="2173"/>
      <c r="AP16" s="1933"/>
      <c r="AQ16" s="1933">
        <f t="shared" si="13"/>
        <v>0</v>
      </c>
      <c r="AR16" s="1933"/>
      <c r="AS16" s="1933">
        <f t="shared" si="6"/>
        <v>0</v>
      </c>
      <c r="AT16" s="2173"/>
      <c r="AU16" s="1933"/>
      <c r="AV16" s="1933">
        <f t="shared" si="14"/>
        <v>0</v>
      </c>
      <c r="AW16" s="2173"/>
      <c r="AX16" s="1933">
        <f t="shared" si="6"/>
        <v>0</v>
      </c>
      <c r="AY16" s="2173"/>
      <c r="AZ16" s="1933"/>
      <c r="BA16" s="1933">
        <f t="shared" si="15"/>
        <v>0</v>
      </c>
      <c r="BC16" s="1822" t="b">
        <f t="shared" si="16"/>
        <v>1</v>
      </c>
    </row>
    <row r="17" spans="2:55" s="1822" customFormat="1">
      <c r="B17" s="2506"/>
      <c r="C17" s="2171"/>
      <c r="D17" s="2171"/>
      <c r="E17" s="2171"/>
      <c r="F17" s="2172"/>
      <c r="G17" s="2172">
        <v>1050000</v>
      </c>
      <c r="H17" s="1933">
        <f t="shared" si="7"/>
        <v>0</v>
      </c>
      <c r="I17" s="1933">
        <f t="shared" si="8"/>
        <v>0</v>
      </c>
      <c r="J17" s="1933">
        <v>0</v>
      </c>
      <c r="K17" s="1933">
        <f t="shared" si="3"/>
        <v>0</v>
      </c>
      <c r="L17" s="1933"/>
      <c r="M17" s="1933"/>
      <c r="N17" s="1933"/>
      <c r="O17" s="1933"/>
      <c r="P17" s="2174"/>
      <c r="Q17" s="1933"/>
      <c r="R17" s="1933">
        <f t="shared" si="4"/>
        <v>0</v>
      </c>
      <c r="S17" s="2173"/>
      <c r="T17" s="1933">
        <f t="shared" si="5"/>
        <v>0</v>
      </c>
      <c r="U17" s="2173"/>
      <c r="V17" s="1933"/>
      <c r="W17" s="1933">
        <f t="shared" si="9"/>
        <v>0</v>
      </c>
      <c r="X17" s="2173"/>
      <c r="Y17" s="1933">
        <f t="shared" si="6"/>
        <v>0</v>
      </c>
      <c r="Z17" s="2173"/>
      <c r="AA17" s="1933"/>
      <c r="AB17" s="1933">
        <f t="shared" si="10"/>
        <v>0</v>
      </c>
      <c r="AC17" s="2173"/>
      <c r="AD17" s="1933">
        <f t="shared" si="6"/>
        <v>0</v>
      </c>
      <c r="AE17" s="2173"/>
      <c r="AF17" s="1933"/>
      <c r="AG17" s="1933">
        <f t="shared" si="11"/>
        <v>0</v>
      </c>
      <c r="AH17" s="1933"/>
      <c r="AI17" s="1933">
        <f t="shared" si="6"/>
        <v>0</v>
      </c>
      <c r="AJ17" s="2173"/>
      <c r="AK17" s="1933"/>
      <c r="AL17" s="1933">
        <f t="shared" si="12"/>
        <v>0</v>
      </c>
      <c r="AM17" s="2173"/>
      <c r="AN17" s="1933">
        <f t="shared" si="6"/>
        <v>0</v>
      </c>
      <c r="AO17" s="2173"/>
      <c r="AP17" s="1933"/>
      <c r="AQ17" s="1933">
        <f t="shared" si="13"/>
        <v>0</v>
      </c>
      <c r="AR17" s="1933"/>
      <c r="AS17" s="1933">
        <f t="shared" si="6"/>
        <v>0</v>
      </c>
      <c r="AT17" s="2173"/>
      <c r="AU17" s="1933"/>
      <c r="AV17" s="1933">
        <f t="shared" si="14"/>
        <v>0</v>
      </c>
      <c r="AW17" s="2173"/>
      <c r="AX17" s="1933">
        <f t="shared" si="6"/>
        <v>0</v>
      </c>
      <c r="AY17" s="2173"/>
      <c r="AZ17" s="1933"/>
      <c r="BA17" s="1933">
        <f t="shared" si="15"/>
        <v>0</v>
      </c>
      <c r="BC17" s="1822" t="b">
        <f t="shared" si="16"/>
        <v>1</v>
      </c>
    </row>
    <row r="18" spans="2:55">
      <c r="B18" s="2506"/>
      <c r="C18" s="2171"/>
      <c r="D18" s="2171"/>
      <c r="E18" s="2171"/>
      <c r="F18" s="2172"/>
      <c r="G18" s="2172">
        <v>1050000</v>
      </c>
      <c r="H18" s="1933">
        <f t="shared" si="7"/>
        <v>0</v>
      </c>
      <c r="I18" s="1933">
        <f t="shared" si="8"/>
        <v>0</v>
      </c>
      <c r="J18" s="1933">
        <v>0</v>
      </c>
      <c r="K18" s="1933">
        <f t="shared" si="3"/>
        <v>0</v>
      </c>
      <c r="L18" s="1933"/>
      <c r="M18" s="1933"/>
      <c r="N18" s="1933"/>
      <c r="O18" s="1933"/>
      <c r="P18" s="2174"/>
      <c r="Q18" s="1933"/>
      <c r="R18" s="1933">
        <f t="shared" si="4"/>
        <v>0</v>
      </c>
      <c r="S18" s="2173"/>
      <c r="T18" s="1933">
        <f t="shared" si="5"/>
        <v>0</v>
      </c>
      <c r="U18" s="2173"/>
      <c r="V18" s="1933"/>
      <c r="W18" s="1933">
        <f t="shared" si="9"/>
        <v>0</v>
      </c>
      <c r="X18" s="2173"/>
      <c r="Y18" s="1933">
        <f t="shared" si="6"/>
        <v>0</v>
      </c>
      <c r="Z18" s="2173"/>
      <c r="AA18" s="1933"/>
      <c r="AB18" s="1933">
        <f t="shared" si="10"/>
        <v>0</v>
      </c>
      <c r="AC18" s="2173"/>
      <c r="AD18" s="1933">
        <f t="shared" si="6"/>
        <v>0</v>
      </c>
      <c r="AE18" s="2173"/>
      <c r="AF18" s="1933"/>
      <c r="AG18" s="1933">
        <f t="shared" si="11"/>
        <v>0</v>
      </c>
      <c r="AH18" s="1933"/>
      <c r="AI18" s="1933">
        <f t="shared" si="6"/>
        <v>0</v>
      </c>
      <c r="AJ18" s="2173"/>
      <c r="AK18" s="1933"/>
      <c r="AL18" s="1933">
        <f t="shared" si="12"/>
        <v>0</v>
      </c>
      <c r="AM18" s="2173"/>
      <c r="AN18" s="1933">
        <f t="shared" si="6"/>
        <v>0</v>
      </c>
      <c r="AO18" s="2173"/>
      <c r="AP18" s="1933"/>
      <c r="AQ18" s="1933">
        <f t="shared" si="13"/>
        <v>0</v>
      </c>
      <c r="AR18" s="1933"/>
      <c r="AS18" s="1933">
        <f t="shared" si="6"/>
        <v>0</v>
      </c>
      <c r="AT18" s="2173"/>
      <c r="AU18" s="1933"/>
      <c r="AV18" s="1933">
        <f t="shared" si="14"/>
        <v>0</v>
      </c>
      <c r="AW18" s="2173"/>
      <c r="AX18" s="1933">
        <f t="shared" si="6"/>
        <v>0</v>
      </c>
      <c r="AY18" s="2173"/>
      <c r="AZ18" s="1933"/>
      <c r="BA18" s="1933">
        <f t="shared" si="15"/>
        <v>0</v>
      </c>
      <c r="BC18" s="1822" t="b">
        <f t="shared" si="16"/>
        <v>1</v>
      </c>
    </row>
    <row r="20" spans="2:55" ht="15.6" customHeight="1">
      <c r="B20" s="2503" t="s">
        <v>132</v>
      </c>
      <c r="C20" s="2503" t="s">
        <v>2558</v>
      </c>
      <c r="D20" s="2504" t="s">
        <v>135</v>
      </c>
      <c r="E20" s="2163"/>
      <c r="F20" s="2505" t="s">
        <v>2559</v>
      </c>
      <c r="G20" s="2505" t="s">
        <v>2560</v>
      </c>
      <c r="H20" s="2502" t="s">
        <v>138</v>
      </c>
      <c r="I20" s="2507" t="s">
        <v>2561</v>
      </c>
      <c r="J20" s="2507" t="s">
        <v>2562</v>
      </c>
      <c r="K20" s="2509" t="s">
        <v>2563</v>
      </c>
      <c r="L20" s="2510"/>
      <c r="M20" s="2510"/>
      <c r="N20" s="2510"/>
      <c r="O20" s="2510"/>
      <c r="P20" s="2510"/>
      <c r="Q20" s="2510"/>
      <c r="R20" s="2511"/>
      <c r="S20" s="2502" t="s">
        <v>2574</v>
      </c>
      <c r="T20" s="2502"/>
      <c r="U20" s="2502"/>
      <c r="V20" s="2502"/>
      <c r="W20" s="2502"/>
      <c r="X20" s="2502" t="s">
        <v>238</v>
      </c>
      <c r="Y20" s="2502"/>
      <c r="Z20" s="2502"/>
      <c r="AA20" s="2502"/>
      <c r="AB20" s="2502"/>
      <c r="AC20" s="2502" t="s">
        <v>109</v>
      </c>
      <c r="AD20" s="2502"/>
      <c r="AE20" s="2502"/>
      <c r="AF20" s="2502"/>
      <c r="AG20" s="2502"/>
      <c r="AH20" s="2164"/>
      <c r="AI20" s="2164"/>
      <c r="AJ20" s="2164"/>
      <c r="AK20" s="2164"/>
      <c r="AL20" s="2164"/>
      <c r="AM20" s="2164"/>
      <c r="AN20" s="2164"/>
      <c r="AO20" s="2164"/>
      <c r="AP20" s="2164"/>
      <c r="AQ20" s="2164"/>
      <c r="AR20" s="2164"/>
      <c r="AS20" s="2164"/>
      <c r="AT20" s="2164"/>
      <c r="AU20" s="2164"/>
      <c r="AV20" s="2164"/>
      <c r="AW20" s="2502" t="s">
        <v>110</v>
      </c>
      <c r="AX20" s="2502"/>
      <c r="AY20" s="2502"/>
      <c r="AZ20" s="2502"/>
      <c r="BA20" s="2502"/>
    </row>
    <row r="21" spans="2:55" ht="13.5">
      <c r="B21" s="2503"/>
      <c r="C21" s="2503"/>
      <c r="D21" s="2504"/>
      <c r="E21" s="2163"/>
      <c r="F21" s="2505"/>
      <c r="G21" s="2505"/>
      <c r="H21" s="2502"/>
      <c r="I21" s="2508"/>
      <c r="J21" s="2508"/>
      <c r="K21" s="2165" t="s">
        <v>2564</v>
      </c>
      <c r="L21" s="2165" t="s">
        <v>2565</v>
      </c>
      <c r="M21" s="2165" t="s">
        <v>2566</v>
      </c>
      <c r="N21" s="2165" t="s">
        <v>2567</v>
      </c>
      <c r="O21" s="2165" t="s">
        <v>2568</v>
      </c>
      <c r="P21" s="2185" t="s">
        <v>2569</v>
      </c>
      <c r="Q21" s="2165" t="s">
        <v>2570</v>
      </c>
      <c r="R21" s="2165" t="s">
        <v>2571</v>
      </c>
      <c r="S21" s="2164" t="s">
        <v>148</v>
      </c>
      <c r="T21" s="2168">
        <v>0.5</v>
      </c>
      <c r="U21" s="2164" t="s">
        <v>148</v>
      </c>
      <c r="V21" s="2169" t="s">
        <v>2572</v>
      </c>
      <c r="W21" s="2169" t="s">
        <v>2573</v>
      </c>
      <c r="X21" s="2164" t="s">
        <v>148</v>
      </c>
      <c r="Y21" s="2168">
        <v>0.4</v>
      </c>
      <c r="Z21" s="2164" t="s">
        <v>148</v>
      </c>
      <c r="AA21" s="2169" t="s">
        <v>2572</v>
      </c>
      <c r="AB21" s="2169" t="s">
        <v>2573</v>
      </c>
      <c r="AC21" s="2164" t="s">
        <v>148</v>
      </c>
      <c r="AD21" s="2168">
        <v>0.1</v>
      </c>
      <c r="AE21" s="2164" t="s">
        <v>148</v>
      </c>
      <c r="AF21" s="2169" t="s">
        <v>2572</v>
      </c>
      <c r="AG21" s="2169" t="s">
        <v>2573</v>
      </c>
      <c r="AH21" s="2169"/>
      <c r="AI21" s="2169"/>
      <c r="AJ21" s="2169"/>
      <c r="AK21" s="2169"/>
      <c r="AL21" s="2169"/>
      <c r="AM21" s="2169"/>
      <c r="AN21" s="2169"/>
      <c r="AO21" s="2169"/>
      <c r="AP21" s="2169"/>
      <c r="AQ21" s="2169"/>
      <c r="AR21" s="2169"/>
      <c r="AS21" s="2169"/>
      <c r="AT21" s="2169"/>
      <c r="AU21" s="2169"/>
      <c r="AV21" s="2169"/>
      <c r="AW21" s="2164" t="s">
        <v>148</v>
      </c>
      <c r="AX21" s="2168">
        <v>0</v>
      </c>
      <c r="AY21" s="2164" t="s">
        <v>148</v>
      </c>
      <c r="AZ21" s="2169" t="s">
        <v>2572</v>
      </c>
      <c r="BA21" s="2169" t="s">
        <v>2573</v>
      </c>
    </row>
    <row r="22" spans="2:55">
      <c r="B22" s="2506" t="s">
        <v>2575</v>
      </c>
      <c r="C22" s="2170"/>
      <c r="D22" s="2171">
        <f>+SUM(D23:D36)</f>
        <v>4242.3249999999998</v>
      </c>
      <c r="E22" s="2171"/>
      <c r="F22" s="2172">
        <v>950000</v>
      </c>
      <c r="G22" s="2172">
        <v>1050000</v>
      </c>
      <c r="H22" s="1933">
        <f t="shared" ref="H22:O22" si="17">+SUM(H23:H36)</f>
        <v>4433229625</v>
      </c>
      <c r="I22" s="1933">
        <f t="shared" si="17"/>
        <v>0</v>
      </c>
      <c r="J22" s="1933">
        <f t="shared" si="17"/>
        <v>0</v>
      </c>
      <c r="K22" s="1933">
        <f t="shared" si="17"/>
        <v>237373380</v>
      </c>
      <c r="L22" s="1933">
        <f t="shared" si="17"/>
        <v>9083110</v>
      </c>
      <c r="M22" s="1933">
        <f t="shared" si="17"/>
        <v>14876680</v>
      </c>
      <c r="N22" s="1933">
        <f t="shared" si="17"/>
        <v>3300000</v>
      </c>
      <c r="O22" s="1933">
        <f t="shared" si="17"/>
        <v>210113590</v>
      </c>
      <c r="P22" s="1933"/>
      <c r="Q22" s="1933">
        <f>+SUM(Q23:Q36)</f>
        <v>124280560</v>
      </c>
      <c r="R22" s="1933">
        <f>+SUM(R23:R36)</f>
        <v>113092820</v>
      </c>
      <c r="S22" s="2173"/>
      <c r="T22" s="1933">
        <f>+SUM(T23:T36)</f>
        <v>2216614814</v>
      </c>
      <c r="U22" s="2173"/>
      <c r="V22" s="1933">
        <f>+SUM(V23:V36)</f>
        <v>0</v>
      </c>
      <c r="W22" s="1933">
        <f>+SUM(W23:W36)</f>
        <v>2216614814</v>
      </c>
      <c r="X22" s="2173"/>
      <c r="Y22" s="1933">
        <f t="shared" ref="Y22" si="18">+SUM(Y23:Y36)</f>
        <v>1773291850</v>
      </c>
      <c r="Z22" s="2173"/>
      <c r="AA22" s="1933"/>
      <c r="AB22" s="1933">
        <f>+SUM(AB23:AB36)</f>
        <v>1773291850</v>
      </c>
      <c r="AC22" s="2173"/>
      <c r="AD22" s="1933">
        <f t="shared" ref="AD22" si="19">+SUM(AD23:AD36)</f>
        <v>672605331</v>
      </c>
      <c r="AE22" s="2173"/>
      <c r="AF22" s="1933"/>
      <c r="AG22" s="1933">
        <f>+SUM(AG23:AG36)</f>
        <v>672605331</v>
      </c>
      <c r="AH22" s="1933"/>
      <c r="AI22" s="1933"/>
      <c r="AJ22" s="1933"/>
      <c r="AK22" s="1933"/>
      <c r="AL22" s="1933"/>
      <c r="AM22" s="1933"/>
      <c r="AN22" s="1933"/>
      <c r="AO22" s="1933"/>
      <c r="AP22" s="1933"/>
      <c r="AQ22" s="1933"/>
      <c r="AR22" s="1933"/>
      <c r="AS22" s="1933"/>
      <c r="AT22" s="1933"/>
      <c r="AU22" s="1933"/>
      <c r="AV22" s="1933"/>
      <c r="AW22" s="1933"/>
      <c r="AX22" s="1933">
        <f t="shared" ref="AX22" si="20">+SUM(AX23:AX36)</f>
        <v>0</v>
      </c>
      <c r="AY22" s="1933"/>
      <c r="AZ22" s="1933"/>
      <c r="BA22" s="1933">
        <f>+SUM(BA23:BA36)</f>
        <v>0</v>
      </c>
      <c r="BC22" s="1822" t="b">
        <f t="shared" ref="BC22:BC36" si="21">T22+Y22+AD22+AX22+K22=D22*G22*1.1</f>
        <v>1</v>
      </c>
    </row>
    <row r="23" spans="2:55">
      <c r="B23" s="2506"/>
      <c r="C23" s="2171" t="s">
        <v>1893</v>
      </c>
      <c r="D23" s="2171">
        <v>709.29499999999996</v>
      </c>
      <c r="E23" s="2171"/>
      <c r="F23" s="2172">
        <v>950000</v>
      </c>
      <c r="G23" s="2172">
        <v>1050000</v>
      </c>
      <c r="H23" s="1933">
        <f>+F23*D23*1.1</f>
        <v>741213275.00000012</v>
      </c>
      <c r="I23" s="1933">
        <f t="shared" ref="I23:I30" si="22">+V23+AA23+AF23+AZ23</f>
        <v>0</v>
      </c>
      <c r="J23" s="1933"/>
      <c r="K23" s="1933">
        <f t="shared" ref="K23:K36" si="23">+SUM(L23:O23)</f>
        <v>0</v>
      </c>
      <c r="L23" s="1933"/>
      <c r="M23" s="1933"/>
      <c r="N23" s="1933"/>
      <c r="O23" s="1933"/>
      <c r="P23" s="2174"/>
      <c r="Q23" s="1933"/>
      <c r="R23" s="1933">
        <f t="shared" ref="R23:R36" si="24">+K23-Q23</f>
        <v>0</v>
      </c>
      <c r="S23" s="2173"/>
      <c r="T23" s="1933">
        <f>+ROUND($H23*T$21,)</f>
        <v>370606638</v>
      </c>
      <c r="U23" s="2173"/>
      <c r="V23" s="1933"/>
      <c r="W23" s="1933">
        <f>+T23-V23</f>
        <v>370606638</v>
      </c>
      <c r="X23" s="2173"/>
      <c r="Y23" s="1933">
        <f>+ROUND($H23*Y$21,)</f>
        <v>296485310</v>
      </c>
      <c r="Z23" s="2173"/>
      <c r="AA23" s="1933"/>
      <c r="AB23" s="1933">
        <f>+Y23-AA23</f>
        <v>296485310</v>
      </c>
      <c r="AC23" s="2173"/>
      <c r="AD23" s="1933">
        <f t="shared" ref="AD23:AD36" si="25">+ROUND(D23*G23*1.1-Y23-T23-K23,)</f>
        <v>152143777</v>
      </c>
      <c r="AE23" s="2173"/>
      <c r="AF23" s="1933"/>
      <c r="AG23" s="1933">
        <f>+AD23-AF23</f>
        <v>152143777</v>
      </c>
      <c r="AH23" s="1933"/>
      <c r="AI23" s="1933"/>
      <c r="AJ23" s="1933"/>
      <c r="AK23" s="1933"/>
      <c r="AL23" s="1933"/>
      <c r="AM23" s="1933"/>
      <c r="AN23" s="1933"/>
      <c r="AO23" s="1933"/>
      <c r="AP23" s="1933"/>
      <c r="AQ23" s="1933"/>
      <c r="AR23" s="1933"/>
      <c r="AS23" s="1933"/>
      <c r="AT23" s="1933"/>
      <c r="AU23" s="1933"/>
      <c r="AV23" s="1933"/>
      <c r="AW23" s="1933"/>
      <c r="AX23" s="1933">
        <f>+ROUND($H23*AX$21,)</f>
        <v>0</v>
      </c>
      <c r="AY23" s="1933"/>
      <c r="AZ23" s="1933"/>
      <c r="BA23" s="1933">
        <f>+AX23-AZ23</f>
        <v>0</v>
      </c>
      <c r="BC23" s="1822" t="b">
        <f t="shared" si="21"/>
        <v>1</v>
      </c>
    </row>
    <row r="24" spans="2:55">
      <c r="B24" s="2506"/>
      <c r="C24" s="2171" t="s">
        <v>2576</v>
      </c>
      <c r="D24" s="2171">
        <v>522.60500000000002</v>
      </c>
      <c r="E24" s="2171"/>
      <c r="F24" s="2172">
        <v>950000</v>
      </c>
      <c r="G24" s="2172">
        <v>1050000</v>
      </c>
      <c r="H24" s="1933">
        <f t="shared" ref="H24:H36" si="26">+F24*D24*1.1</f>
        <v>546122225</v>
      </c>
      <c r="I24" s="1933">
        <f t="shared" si="22"/>
        <v>0</v>
      </c>
      <c r="J24" s="1933"/>
      <c r="K24" s="1933">
        <f t="shared" si="23"/>
        <v>1100000</v>
      </c>
      <c r="L24" s="1933"/>
      <c r="M24" s="1933"/>
      <c r="N24" s="1933">
        <v>1100000</v>
      </c>
      <c r="O24" s="1933"/>
      <c r="P24" s="2174">
        <v>45966</v>
      </c>
      <c r="Q24" s="1933">
        <v>1100000</v>
      </c>
      <c r="R24" s="1933">
        <f t="shared" si="24"/>
        <v>0</v>
      </c>
      <c r="S24" s="2173"/>
      <c r="T24" s="1933">
        <f t="shared" ref="T24:T36" si="27">+ROUND($H24*T$21,)</f>
        <v>273061113</v>
      </c>
      <c r="U24" s="2173"/>
      <c r="V24" s="1933"/>
      <c r="W24" s="1933">
        <f t="shared" ref="W24:W36" si="28">+T24-V24</f>
        <v>273061113</v>
      </c>
      <c r="X24" s="2173"/>
      <c r="Y24" s="1933">
        <f t="shared" ref="Y24:Y36" si="29">+ROUND($H24*Y$21,)</f>
        <v>218448890</v>
      </c>
      <c r="Z24" s="2173"/>
      <c r="AA24" s="1933"/>
      <c r="AB24" s="1933">
        <f t="shared" ref="AB24:AB36" si="30">+Y24-AA24</f>
        <v>218448890</v>
      </c>
      <c r="AC24" s="2173">
        <f>+'[6]BT 3HO'!AB17</f>
        <v>45930</v>
      </c>
      <c r="AD24" s="1933">
        <f t="shared" si="25"/>
        <v>110998772</v>
      </c>
      <c r="AE24" s="2173"/>
      <c r="AF24" s="1933"/>
      <c r="AG24" s="1933">
        <f t="shared" ref="AG24:AG36" si="31">+AD24-AF24</f>
        <v>110998772</v>
      </c>
      <c r="AH24" s="1933"/>
      <c r="AI24" s="1933"/>
      <c r="AJ24" s="1933"/>
      <c r="AK24" s="1933"/>
      <c r="AL24" s="1933"/>
      <c r="AM24" s="1933"/>
      <c r="AN24" s="1933"/>
      <c r="AO24" s="1933"/>
      <c r="AP24" s="1933"/>
      <c r="AQ24" s="1933"/>
      <c r="AR24" s="1933"/>
      <c r="AS24" s="1933"/>
      <c r="AT24" s="1933"/>
      <c r="AU24" s="1933"/>
      <c r="AV24" s="1933"/>
      <c r="AW24" s="1933"/>
      <c r="AX24" s="1933">
        <f t="shared" ref="AX24:AX36" si="32">+ROUND($H24*AX$21,)</f>
        <v>0</v>
      </c>
      <c r="AY24" s="1933"/>
      <c r="AZ24" s="1933"/>
      <c r="BA24" s="1933">
        <f t="shared" ref="BA24:BA36" si="33">+AX24-AZ24</f>
        <v>0</v>
      </c>
      <c r="BC24" s="1822" t="b">
        <f t="shared" si="21"/>
        <v>1</v>
      </c>
    </row>
    <row r="25" spans="2:55">
      <c r="B25" s="2506"/>
      <c r="C25" s="2171" t="s">
        <v>2577</v>
      </c>
      <c r="D25" s="2171">
        <v>499.11</v>
      </c>
      <c r="E25" s="2171"/>
      <c r="F25" s="2172">
        <v>950000</v>
      </c>
      <c r="G25" s="2172">
        <v>1050000</v>
      </c>
      <c r="H25" s="1933">
        <f t="shared" si="26"/>
        <v>521569950.00000006</v>
      </c>
      <c r="I25" s="1933">
        <f t="shared" si="22"/>
        <v>0</v>
      </c>
      <c r="J25" s="1933"/>
      <c r="K25" s="1933">
        <f t="shared" si="23"/>
        <v>67427460</v>
      </c>
      <c r="L25" s="1933">
        <v>1808870</v>
      </c>
      <c r="M25" s="1933">
        <v>3029700</v>
      </c>
      <c r="N25" s="1933"/>
      <c r="O25" s="1933">
        <v>62588890</v>
      </c>
      <c r="P25" s="2174">
        <v>45980</v>
      </c>
      <c r="Q25" s="1933">
        <v>67427460</v>
      </c>
      <c r="R25" s="1933">
        <f t="shared" si="24"/>
        <v>0</v>
      </c>
      <c r="S25" s="2173"/>
      <c r="T25" s="1933">
        <f t="shared" si="27"/>
        <v>260784975</v>
      </c>
      <c r="U25" s="2173"/>
      <c r="V25" s="1933"/>
      <c r="W25" s="1933">
        <f t="shared" si="28"/>
        <v>260784975</v>
      </c>
      <c r="X25" s="2173"/>
      <c r="Y25" s="1933">
        <f t="shared" si="29"/>
        <v>208627980</v>
      </c>
      <c r="Z25" s="2173"/>
      <c r="AA25" s="1933"/>
      <c r="AB25" s="1933">
        <f t="shared" si="30"/>
        <v>208627980</v>
      </c>
      <c r="AC25" s="2173">
        <f>+'[6]BT 3HO'!AB22</f>
        <v>45831</v>
      </c>
      <c r="AD25" s="1933">
        <f t="shared" si="25"/>
        <v>39631635</v>
      </c>
      <c r="AE25" s="2173"/>
      <c r="AF25" s="1933"/>
      <c r="AG25" s="1933">
        <f t="shared" si="31"/>
        <v>39631635</v>
      </c>
      <c r="AH25" s="1933"/>
      <c r="AI25" s="1933"/>
      <c r="AJ25" s="1933"/>
      <c r="AK25" s="1933"/>
      <c r="AL25" s="1933"/>
      <c r="AM25" s="1933"/>
      <c r="AN25" s="1933"/>
      <c r="AO25" s="1933"/>
      <c r="AP25" s="1933"/>
      <c r="AQ25" s="1933"/>
      <c r="AR25" s="1933"/>
      <c r="AS25" s="1933"/>
      <c r="AT25" s="1933"/>
      <c r="AU25" s="1933"/>
      <c r="AV25" s="1933"/>
      <c r="AW25" s="1933"/>
      <c r="AX25" s="1933">
        <f t="shared" si="32"/>
        <v>0</v>
      </c>
      <c r="AY25" s="1933"/>
      <c r="AZ25" s="1933"/>
      <c r="BA25" s="1933">
        <f t="shared" si="33"/>
        <v>0</v>
      </c>
      <c r="BC25" s="1822" t="b">
        <f t="shared" si="21"/>
        <v>1</v>
      </c>
    </row>
    <row r="26" spans="2:55">
      <c r="B26" s="2506"/>
      <c r="C26" s="2171" t="s">
        <v>2578</v>
      </c>
      <c r="D26" s="2171">
        <v>142.875</v>
      </c>
      <c r="E26" s="2171"/>
      <c r="F26" s="2172">
        <v>950000</v>
      </c>
      <c r="G26" s="2172">
        <v>1050000</v>
      </c>
      <c r="H26" s="1933">
        <f t="shared" si="26"/>
        <v>149304375</v>
      </c>
      <c r="I26" s="1933">
        <f t="shared" si="22"/>
        <v>0</v>
      </c>
      <c r="J26" s="1933"/>
      <c r="K26" s="1933">
        <f t="shared" si="23"/>
        <v>23162170</v>
      </c>
      <c r="L26" s="1933">
        <v>1808870</v>
      </c>
      <c r="M26" s="1933">
        <v>3029700</v>
      </c>
      <c r="N26" s="1933"/>
      <c r="O26" s="1933">
        <v>18323600</v>
      </c>
      <c r="P26" s="2174">
        <v>45976</v>
      </c>
      <c r="Q26" s="1933">
        <v>23162170</v>
      </c>
      <c r="R26" s="1933">
        <f t="shared" si="24"/>
        <v>0</v>
      </c>
      <c r="S26" s="2173"/>
      <c r="T26" s="1933">
        <f t="shared" si="27"/>
        <v>74652188</v>
      </c>
      <c r="U26" s="2173"/>
      <c r="V26" s="1933"/>
      <c r="W26" s="1933">
        <f t="shared" si="28"/>
        <v>74652188</v>
      </c>
      <c r="X26" s="2173"/>
      <c r="Y26" s="1933">
        <f t="shared" si="29"/>
        <v>59721750</v>
      </c>
      <c r="Z26" s="2173"/>
      <c r="AA26" s="1933"/>
      <c r="AB26" s="1933">
        <f t="shared" si="30"/>
        <v>59721750</v>
      </c>
      <c r="AC26" s="2173">
        <f>+'[6]BT 3HO'!AB27</f>
        <v>45831</v>
      </c>
      <c r="AD26" s="1933">
        <f t="shared" si="25"/>
        <v>7484517</v>
      </c>
      <c r="AE26" s="2173"/>
      <c r="AF26" s="1933"/>
      <c r="AG26" s="1933">
        <f t="shared" si="31"/>
        <v>7484517</v>
      </c>
      <c r="AH26" s="1933"/>
      <c r="AI26" s="1933"/>
      <c r="AJ26" s="1933"/>
      <c r="AK26" s="1933"/>
      <c r="AL26" s="1933"/>
      <c r="AM26" s="1933"/>
      <c r="AN26" s="1933"/>
      <c r="AO26" s="1933"/>
      <c r="AP26" s="1933"/>
      <c r="AQ26" s="1933"/>
      <c r="AR26" s="1933"/>
      <c r="AS26" s="1933"/>
      <c r="AT26" s="1933"/>
      <c r="AU26" s="1933"/>
      <c r="AV26" s="1933"/>
      <c r="AW26" s="1933"/>
      <c r="AX26" s="1933">
        <f t="shared" si="32"/>
        <v>0</v>
      </c>
      <c r="AY26" s="1933"/>
      <c r="AZ26" s="1933"/>
      <c r="BA26" s="1933">
        <f t="shared" si="33"/>
        <v>0</v>
      </c>
      <c r="BC26" s="1822" t="b">
        <f t="shared" si="21"/>
        <v>1</v>
      </c>
    </row>
    <row r="27" spans="2:55">
      <c r="B27" s="2506"/>
      <c r="C27" s="2171" t="s">
        <v>2579</v>
      </c>
      <c r="D27" s="2171">
        <v>897.89</v>
      </c>
      <c r="E27" s="2171"/>
      <c r="F27" s="2172">
        <v>950000</v>
      </c>
      <c r="G27" s="2172">
        <v>1050000</v>
      </c>
      <c r="H27" s="1933">
        <f t="shared" si="26"/>
        <v>938295050.00000012</v>
      </c>
      <c r="I27" s="1933">
        <f t="shared" si="22"/>
        <v>0</v>
      </c>
      <c r="J27" s="1933"/>
      <c r="K27" s="1933">
        <f t="shared" si="23"/>
        <v>31490930</v>
      </c>
      <c r="L27" s="1933">
        <v>2433490</v>
      </c>
      <c r="M27" s="1933">
        <v>4408640</v>
      </c>
      <c r="N27" s="1933">
        <v>1100000</v>
      </c>
      <c r="O27" s="1933">
        <v>23548800</v>
      </c>
      <c r="P27" s="2174">
        <v>45980</v>
      </c>
      <c r="Q27" s="1933">
        <v>31490930</v>
      </c>
      <c r="R27" s="1933">
        <f t="shared" si="24"/>
        <v>0</v>
      </c>
      <c r="S27" s="2173"/>
      <c r="T27" s="1933">
        <f t="shared" si="27"/>
        <v>469147525</v>
      </c>
      <c r="U27" s="2173"/>
      <c r="V27" s="1933"/>
      <c r="W27" s="1933">
        <f t="shared" si="28"/>
        <v>469147525</v>
      </c>
      <c r="X27" s="2173"/>
      <c r="Y27" s="1933">
        <f t="shared" si="29"/>
        <v>375318020</v>
      </c>
      <c r="Z27" s="2173"/>
      <c r="AA27" s="1933"/>
      <c r="AB27" s="1933">
        <f t="shared" si="30"/>
        <v>375318020</v>
      </c>
      <c r="AC27" s="2173">
        <f>+'[6]BT 3HO'!AB32</f>
        <v>45930</v>
      </c>
      <c r="AD27" s="1933">
        <f t="shared" si="25"/>
        <v>161106475</v>
      </c>
      <c r="AE27" s="2173"/>
      <c r="AF27" s="1933"/>
      <c r="AG27" s="1933">
        <f t="shared" si="31"/>
        <v>161106475</v>
      </c>
      <c r="AH27" s="1933"/>
      <c r="AI27" s="1933"/>
      <c r="AJ27" s="1933"/>
      <c r="AK27" s="1933"/>
      <c r="AL27" s="1933"/>
      <c r="AM27" s="1933"/>
      <c r="AN27" s="1933"/>
      <c r="AO27" s="1933"/>
      <c r="AP27" s="1933"/>
      <c r="AQ27" s="1933"/>
      <c r="AR27" s="1933"/>
      <c r="AS27" s="1933"/>
      <c r="AT27" s="1933"/>
      <c r="AU27" s="1933"/>
      <c r="AV27" s="1933"/>
      <c r="AW27" s="1933"/>
      <c r="AX27" s="1933">
        <f t="shared" si="32"/>
        <v>0</v>
      </c>
      <c r="AY27" s="1933"/>
      <c r="AZ27" s="1933"/>
      <c r="BA27" s="1933">
        <f t="shared" si="33"/>
        <v>0</v>
      </c>
      <c r="BC27" s="1822" t="b">
        <f t="shared" si="21"/>
        <v>1</v>
      </c>
    </row>
    <row r="28" spans="2:55">
      <c r="B28" s="2506"/>
      <c r="C28" s="2171" t="s">
        <v>2580</v>
      </c>
      <c r="D28" s="2171">
        <v>166.37</v>
      </c>
      <c r="E28" s="2171"/>
      <c r="F28" s="2172">
        <v>950000</v>
      </c>
      <c r="G28" s="2172">
        <v>1050000</v>
      </c>
      <c r="H28" s="1933">
        <f t="shared" si="26"/>
        <v>173856650</v>
      </c>
      <c r="I28" s="1933">
        <f t="shared" si="22"/>
        <v>0</v>
      </c>
      <c r="J28" s="1933"/>
      <c r="K28" s="1933">
        <f t="shared" si="23"/>
        <v>0</v>
      </c>
      <c r="L28" s="1933"/>
      <c r="M28" s="1933"/>
      <c r="N28" s="1933"/>
      <c r="O28" s="1933"/>
      <c r="P28" s="2174"/>
      <c r="Q28" s="1933"/>
      <c r="R28" s="1933">
        <f t="shared" si="24"/>
        <v>0</v>
      </c>
      <c r="S28" s="2173"/>
      <c r="T28" s="1933">
        <f t="shared" si="27"/>
        <v>86928325</v>
      </c>
      <c r="U28" s="2173"/>
      <c r="V28" s="1933"/>
      <c r="W28" s="1933">
        <f t="shared" si="28"/>
        <v>86928325</v>
      </c>
      <c r="X28" s="2173"/>
      <c r="Y28" s="1933">
        <f t="shared" si="29"/>
        <v>69542660</v>
      </c>
      <c r="Z28" s="2173"/>
      <c r="AA28" s="1933"/>
      <c r="AB28" s="1933">
        <f t="shared" si="30"/>
        <v>69542660</v>
      </c>
      <c r="AC28" s="2173">
        <f>+'[6]BT 3HO'!AB37</f>
        <v>45930</v>
      </c>
      <c r="AD28" s="1933">
        <f t="shared" si="25"/>
        <v>35686365</v>
      </c>
      <c r="AE28" s="2173"/>
      <c r="AF28" s="1933"/>
      <c r="AG28" s="1933">
        <f t="shared" si="31"/>
        <v>35686365</v>
      </c>
      <c r="AH28" s="1933"/>
      <c r="AI28" s="1933"/>
      <c r="AJ28" s="1933"/>
      <c r="AK28" s="1933"/>
      <c r="AL28" s="1933"/>
      <c r="AM28" s="1933"/>
      <c r="AN28" s="1933"/>
      <c r="AO28" s="1933"/>
      <c r="AP28" s="1933"/>
      <c r="AQ28" s="1933"/>
      <c r="AR28" s="1933"/>
      <c r="AS28" s="1933"/>
      <c r="AT28" s="1933"/>
      <c r="AU28" s="1933"/>
      <c r="AV28" s="1933"/>
      <c r="AW28" s="1933"/>
      <c r="AX28" s="1933">
        <f t="shared" si="32"/>
        <v>0</v>
      </c>
      <c r="AY28" s="1933"/>
      <c r="AZ28" s="1933"/>
      <c r="BA28" s="1933">
        <f t="shared" si="33"/>
        <v>0</v>
      </c>
      <c r="BC28" s="1822" t="b">
        <f t="shared" si="21"/>
        <v>1</v>
      </c>
    </row>
    <row r="29" spans="2:55">
      <c r="B29" s="2506"/>
      <c r="C29" s="2171" t="s">
        <v>2581</v>
      </c>
      <c r="D29" s="2171">
        <v>1155.7</v>
      </c>
      <c r="E29" s="2171"/>
      <c r="F29" s="2172">
        <v>950000</v>
      </c>
      <c r="G29" s="2172">
        <v>1050000</v>
      </c>
      <c r="H29" s="1933">
        <f t="shared" si="26"/>
        <v>1207706500</v>
      </c>
      <c r="I29" s="1933">
        <f t="shared" si="22"/>
        <v>0</v>
      </c>
      <c r="J29" s="1933"/>
      <c r="K29" s="1933">
        <f t="shared" si="23"/>
        <v>114192820</v>
      </c>
      <c r="L29" s="1933">
        <v>3031880</v>
      </c>
      <c r="M29" s="1933">
        <v>4408640</v>
      </c>
      <c r="N29" s="1933">
        <v>1100000</v>
      </c>
      <c r="O29" s="1933">
        <v>105652300</v>
      </c>
      <c r="P29" s="2174"/>
      <c r="Q29" s="1933">
        <v>1100000</v>
      </c>
      <c r="R29" s="1933">
        <f t="shared" si="24"/>
        <v>113092820</v>
      </c>
      <c r="S29" s="2173"/>
      <c r="T29" s="1933">
        <f t="shared" si="27"/>
        <v>603853250</v>
      </c>
      <c r="U29" s="2173"/>
      <c r="V29" s="1933"/>
      <c r="W29" s="1933">
        <f t="shared" si="28"/>
        <v>603853250</v>
      </c>
      <c r="X29" s="2173"/>
      <c r="Y29" s="1933">
        <f t="shared" si="29"/>
        <v>483082600</v>
      </c>
      <c r="Z29" s="2173"/>
      <c r="AA29" s="1933"/>
      <c r="AB29" s="1933">
        <f t="shared" si="30"/>
        <v>483082600</v>
      </c>
      <c r="AC29" s="2173">
        <f>+'[6]BT 3HO'!AB42</f>
        <v>45930</v>
      </c>
      <c r="AD29" s="1933">
        <f t="shared" si="25"/>
        <v>133704830</v>
      </c>
      <c r="AE29" s="2173"/>
      <c r="AF29" s="1933"/>
      <c r="AG29" s="1933">
        <f t="shared" si="31"/>
        <v>133704830</v>
      </c>
      <c r="AH29" s="1933"/>
      <c r="AI29" s="1933"/>
      <c r="AJ29" s="1933"/>
      <c r="AK29" s="1933"/>
      <c r="AL29" s="1933"/>
      <c r="AM29" s="1933"/>
      <c r="AN29" s="1933"/>
      <c r="AO29" s="1933"/>
      <c r="AP29" s="1933"/>
      <c r="AQ29" s="1933"/>
      <c r="AR29" s="1933"/>
      <c r="AS29" s="1933"/>
      <c r="AT29" s="1933"/>
      <c r="AU29" s="1933"/>
      <c r="AV29" s="1933"/>
      <c r="AW29" s="1933"/>
      <c r="AX29" s="1933">
        <f t="shared" si="32"/>
        <v>0</v>
      </c>
      <c r="AY29" s="1933"/>
      <c r="AZ29" s="1933"/>
      <c r="BA29" s="1933">
        <f t="shared" si="33"/>
        <v>0</v>
      </c>
      <c r="BC29" s="1822" t="b">
        <f t="shared" si="21"/>
        <v>1</v>
      </c>
    </row>
    <row r="30" spans="2:55">
      <c r="B30" s="2506"/>
      <c r="C30" s="2171" t="s">
        <v>2582</v>
      </c>
      <c r="D30" s="2171">
        <v>148.47999999999999</v>
      </c>
      <c r="E30" s="2171"/>
      <c r="F30" s="2172">
        <v>950000</v>
      </c>
      <c r="G30" s="2172">
        <v>1050000</v>
      </c>
      <c r="H30" s="1933">
        <f t="shared" si="26"/>
        <v>155161600</v>
      </c>
      <c r="I30" s="1933">
        <f t="shared" si="22"/>
        <v>0</v>
      </c>
      <c r="J30" s="1933"/>
      <c r="K30" s="1933">
        <f t="shared" si="23"/>
        <v>0</v>
      </c>
      <c r="L30" s="1933"/>
      <c r="M30" s="1933"/>
      <c r="N30" s="1933"/>
      <c r="O30" s="1933"/>
      <c r="P30" s="2174"/>
      <c r="Q30" s="1933"/>
      <c r="R30" s="1933">
        <f t="shared" si="24"/>
        <v>0</v>
      </c>
      <c r="S30" s="2173"/>
      <c r="T30" s="1933">
        <f t="shared" si="27"/>
        <v>77580800</v>
      </c>
      <c r="U30" s="2173"/>
      <c r="V30" s="1933"/>
      <c r="W30" s="1933">
        <f t="shared" si="28"/>
        <v>77580800</v>
      </c>
      <c r="X30" s="2173"/>
      <c r="Y30" s="1933">
        <f t="shared" si="29"/>
        <v>62064640</v>
      </c>
      <c r="Z30" s="2173"/>
      <c r="AA30" s="1933"/>
      <c r="AB30" s="1933">
        <f t="shared" si="30"/>
        <v>62064640</v>
      </c>
      <c r="AC30" s="2173"/>
      <c r="AD30" s="1933">
        <f t="shared" si="25"/>
        <v>31848960</v>
      </c>
      <c r="AE30" s="2173"/>
      <c r="AF30" s="1933"/>
      <c r="AG30" s="1933">
        <f t="shared" si="31"/>
        <v>31848960</v>
      </c>
      <c r="AH30" s="1933"/>
      <c r="AI30" s="1933"/>
      <c r="AJ30" s="1933"/>
      <c r="AK30" s="1933"/>
      <c r="AL30" s="1933"/>
      <c r="AM30" s="1933"/>
      <c r="AN30" s="1933"/>
      <c r="AO30" s="1933"/>
      <c r="AP30" s="1933"/>
      <c r="AQ30" s="1933"/>
      <c r="AR30" s="1933"/>
      <c r="AS30" s="1933"/>
      <c r="AT30" s="1933"/>
      <c r="AU30" s="1933"/>
      <c r="AV30" s="1933"/>
      <c r="AW30" s="1933"/>
      <c r="AX30" s="1933">
        <f t="shared" si="32"/>
        <v>0</v>
      </c>
      <c r="AY30" s="1933"/>
      <c r="AZ30" s="1933"/>
      <c r="BA30" s="1933">
        <f t="shared" si="33"/>
        <v>0</v>
      </c>
      <c r="BC30" s="1822" t="b">
        <f t="shared" si="21"/>
        <v>1</v>
      </c>
    </row>
    <row r="31" spans="2:55">
      <c r="B31" s="2506"/>
      <c r="C31" s="2171">
        <v>0</v>
      </c>
      <c r="D31" s="2171">
        <f>+'[6]BT 2HO'!D69</f>
        <v>0</v>
      </c>
      <c r="E31" s="2171"/>
      <c r="F31" s="2172">
        <v>950000</v>
      </c>
      <c r="G31" s="2172">
        <v>1050000</v>
      </c>
      <c r="H31" s="1933">
        <f t="shared" si="26"/>
        <v>0</v>
      </c>
      <c r="I31" s="1933"/>
      <c r="J31" s="1933"/>
      <c r="K31" s="1933">
        <f t="shared" si="23"/>
        <v>0</v>
      </c>
      <c r="L31" s="1933"/>
      <c r="M31" s="1933"/>
      <c r="N31" s="1933"/>
      <c r="O31" s="1933"/>
      <c r="P31" s="2174"/>
      <c r="Q31" s="1933"/>
      <c r="R31" s="1933">
        <f t="shared" si="24"/>
        <v>0</v>
      </c>
      <c r="S31" s="2173"/>
      <c r="T31" s="1933">
        <f t="shared" si="27"/>
        <v>0</v>
      </c>
      <c r="U31" s="2173"/>
      <c r="V31" s="1933"/>
      <c r="W31" s="1933">
        <f t="shared" si="28"/>
        <v>0</v>
      </c>
      <c r="X31" s="2173"/>
      <c r="Y31" s="1933">
        <f t="shared" si="29"/>
        <v>0</v>
      </c>
      <c r="Z31" s="2173"/>
      <c r="AA31" s="1933"/>
      <c r="AB31" s="1933">
        <f t="shared" si="30"/>
        <v>0</v>
      </c>
      <c r="AC31" s="2173"/>
      <c r="AD31" s="1933">
        <f t="shared" si="25"/>
        <v>0</v>
      </c>
      <c r="AE31" s="2173"/>
      <c r="AF31" s="1933"/>
      <c r="AG31" s="1933">
        <f t="shared" si="31"/>
        <v>0</v>
      </c>
      <c r="AH31" s="1933"/>
      <c r="AI31" s="1933"/>
      <c r="AJ31" s="1933"/>
      <c r="AK31" s="1933"/>
      <c r="AL31" s="1933"/>
      <c r="AM31" s="1933"/>
      <c r="AN31" s="1933"/>
      <c r="AO31" s="1933"/>
      <c r="AP31" s="1933"/>
      <c r="AQ31" s="1933"/>
      <c r="AR31" s="1933"/>
      <c r="AS31" s="1933"/>
      <c r="AT31" s="1933"/>
      <c r="AU31" s="1933"/>
      <c r="AV31" s="1933"/>
      <c r="AW31" s="1933"/>
      <c r="AX31" s="1933">
        <f t="shared" si="32"/>
        <v>0</v>
      </c>
      <c r="AY31" s="1933"/>
      <c r="AZ31" s="1933"/>
      <c r="BA31" s="1933">
        <f t="shared" si="33"/>
        <v>0</v>
      </c>
      <c r="BC31" s="1822" t="b">
        <f t="shared" si="21"/>
        <v>1</v>
      </c>
    </row>
    <row r="32" spans="2:55">
      <c r="B32" s="2506"/>
      <c r="C32" s="2171">
        <v>0</v>
      </c>
      <c r="D32" s="2171">
        <f>+'[6]BT 2HO'!D74</f>
        <v>0</v>
      </c>
      <c r="E32" s="2171"/>
      <c r="F32" s="2172">
        <v>950000</v>
      </c>
      <c r="G32" s="2172">
        <v>1050000</v>
      </c>
      <c r="H32" s="1933">
        <f t="shared" si="26"/>
        <v>0</v>
      </c>
      <c r="I32" s="1933"/>
      <c r="J32" s="1933"/>
      <c r="K32" s="1933">
        <f t="shared" si="23"/>
        <v>0</v>
      </c>
      <c r="L32" s="1933"/>
      <c r="M32" s="1933"/>
      <c r="N32" s="1933"/>
      <c r="O32" s="1933"/>
      <c r="P32" s="2174"/>
      <c r="Q32" s="1933"/>
      <c r="R32" s="1933">
        <f t="shared" si="24"/>
        <v>0</v>
      </c>
      <c r="S32" s="2173"/>
      <c r="T32" s="1933">
        <f t="shared" si="27"/>
        <v>0</v>
      </c>
      <c r="U32" s="2173"/>
      <c r="V32" s="1933"/>
      <c r="W32" s="1933">
        <f t="shared" si="28"/>
        <v>0</v>
      </c>
      <c r="X32" s="2173"/>
      <c r="Y32" s="1933">
        <f t="shared" si="29"/>
        <v>0</v>
      </c>
      <c r="Z32" s="2173"/>
      <c r="AA32" s="1933"/>
      <c r="AB32" s="1933">
        <f t="shared" si="30"/>
        <v>0</v>
      </c>
      <c r="AC32" s="2173"/>
      <c r="AD32" s="1933">
        <f t="shared" si="25"/>
        <v>0</v>
      </c>
      <c r="AE32" s="2173"/>
      <c r="AF32" s="1933"/>
      <c r="AG32" s="1933">
        <f t="shared" si="31"/>
        <v>0</v>
      </c>
      <c r="AH32" s="1933"/>
      <c r="AI32" s="1933"/>
      <c r="AJ32" s="1933"/>
      <c r="AK32" s="1933"/>
      <c r="AL32" s="1933"/>
      <c r="AM32" s="1933"/>
      <c r="AN32" s="1933"/>
      <c r="AO32" s="1933"/>
      <c r="AP32" s="1933"/>
      <c r="AQ32" s="1933"/>
      <c r="AR32" s="1933"/>
      <c r="AS32" s="1933"/>
      <c r="AT32" s="1933"/>
      <c r="AU32" s="1933"/>
      <c r="AV32" s="1933"/>
      <c r="AW32" s="1933"/>
      <c r="AX32" s="1933">
        <f t="shared" si="32"/>
        <v>0</v>
      </c>
      <c r="AY32" s="1933"/>
      <c r="AZ32" s="1933"/>
      <c r="BA32" s="1933">
        <f t="shared" si="33"/>
        <v>0</v>
      </c>
      <c r="BC32" s="1822" t="b">
        <f t="shared" si="21"/>
        <v>1</v>
      </c>
    </row>
    <row r="33" spans="2:68">
      <c r="B33" s="2506"/>
      <c r="C33" s="2171">
        <v>0</v>
      </c>
      <c r="D33" s="2171">
        <f>+'[6]BT 2HO'!D79</f>
        <v>0</v>
      </c>
      <c r="E33" s="2171"/>
      <c r="F33" s="2172">
        <v>950000</v>
      </c>
      <c r="G33" s="2172">
        <v>1050000</v>
      </c>
      <c r="H33" s="1933">
        <f t="shared" si="26"/>
        <v>0</v>
      </c>
      <c r="I33" s="1933"/>
      <c r="J33" s="1933"/>
      <c r="K33" s="1933">
        <f t="shared" si="23"/>
        <v>0</v>
      </c>
      <c r="L33" s="1933"/>
      <c r="M33" s="1933"/>
      <c r="N33" s="1933"/>
      <c r="O33" s="1933"/>
      <c r="P33" s="2174"/>
      <c r="Q33" s="1933"/>
      <c r="R33" s="1933">
        <f t="shared" si="24"/>
        <v>0</v>
      </c>
      <c r="S33" s="2173"/>
      <c r="T33" s="1933">
        <f t="shared" si="27"/>
        <v>0</v>
      </c>
      <c r="U33" s="2173"/>
      <c r="V33" s="1933"/>
      <c r="W33" s="1933">
        <f t="shared" si="28"/>
        <v>0</v>
      </c>
      <c r="X33" s="2173"/>
      <c r="Y33" s="1933">
        <f t="shared" si="29"/>
        <v>0</v>
      </c>
      <c r="Z33" s="2173"/>
      <c r="AA33" s="1933"/>
      <c r="AB33" s="1933">
        <f t="shared" si="30"/>
        <v>0</v>
      </c>
      <c r="AC33" s="2173"/>
      <c r="AD33" s="1933">
        <f t="shared" si="25"/>
        <v>0</v>
      </c>
      <c r="AE33" s="2173"/>
      <c r="AF33" s="1933"/>
      <c r="AG33" s="1933">
        <f t="shared" si="31"/>
        <v>0</v>
      </c>
      <c r="AH33" s="1933"/>
      <c r="AI33" s="1933"/>
      <c r="AJ33" s="1933"/>
      <c r="AK33" s="1933"/>
      <c r="AL33" s="1933"/>
      <c r="AM33" s="1933"/>
      <c r="AN33" s="1933"/>
      <c r="AO33" s="1933"/>
      <c r="AP33" s="1933"/>
      <c r="AQ33" s="1933"/>
      <c r="AR33" s="1933"/>
      <c r="AS33" s="1933"/>
      <c r="AT33" s="1933"/>
      <c r="AU33" s="1933"/>
      <c r="AV33" s="1933"/>
      <c r="AW33" s="1933"/>
      <c r="AX33" s="1933">
        <f t="shared" si="32"/>
        <v>0</v>
      </c>
      <c r="AY33" s="1933"/>
      <c r="AZ33" s="1933"/>
      <c r="BA33" s="1933">
        <f t="shared" si="33"/>
        <v>0</v>
      </c>
      <c r="BC33" s="1822" t="b">
        <f t="shared" si="21"/>
        <v>1</v>
      </c>
    </row>
    <row r="34" spans="2:68">
      <c r="B34" s="2506"/>
      <c r="C34" s="2171">
        <v>0</v>
      </c>
      <c r="D34" s="2171">
        <f>+'[6]BT 2HO'!D84</f>
        <v>0</v>
      </c>
      <c r="E34" s="2171"/>
      <c r="F34" s="2172">
        <v>950000</v>
      </c>
      <c r="G34" s="2172">
        <v>1050000</v>
      </c>
      <c r="H34" s="1933">
        <f t="shared" si="26"/>
        <v>0</v>
      </c>
      <c r="I34" s="1933"/>
      <c r="J34" s="1933"/>
      <c r="K34" s="1933">
        <f t="shared" si="23"/>
        <v>0</v>
      </c>
      <c r="L34" s="1933"/>
      <c r="M34" s="1933"/>
      <c r="N34" s="1933"/>
      <c r="O34" s="1933"/>
      <c r="P34" s="2174"/>
      <c r="Q34" s="1933"/>
      <c r="R34" s="1933">
        <f t="shared" si="24"/>
        <v>0</v>
      </c>
      <c r="S34" s="2173"/>
      <c r="T34" s="1933">
        <f t="shared" si="27"/>
        <v>0</v>
      </c>
      <c r="U34" s="2173"/>
      <c r="V34" s="1933"/>
      <c r="W34" s="1933">
        <f t="shared" si="28"/>
        <v>0</v>
      </c>
      <c r="X34" s="2173"/>
      <c r="Y34" s="1933">
        <f t="shared" si="29"/>
        <v>0</v>
      </c>
      <c r="Z34" s="2173"/>
      <c r="AA34" s="1933"/>
      <c r="AB34" s="1933">
        <f t="shared" si="30"/>
        <v>0</v>
      </c>
      <c r="AC34" s="2173"/>
      <c r="AD34" s="1933">
        <f t="shared" si="25"/>
        <v>0</v>
      </c>
      <c r="AE34" s="2173"/>
      <c r="AF34" s="1933"/>
      <c r="AG34" s="1933">
        <f t="shared" si="31"/>
        <v>0</v>
      </c>
      <c r="AH34" s="1933"/>
      <c r="AI34" s="1933"/>
      <c r="AJ34" s="1933"/>
      <c r="AK34" s="1933"/>
      <c r="AL34" s="1933"/>
      <c r="AM34" s="1933"/>
      <c r="AN34" s="1933"/>
      <c r="AO34" s="1933"/>
      <c r="AP34" s="1933"/>
      <c r="AQ34" s="1933"/>
      <c r="AR34" s="1933"/>
      <c r="AS34" s="1933"/>
      <c r="AT34" s="1933"/>
      <c r="AU34" s="1933"/>
      <c r="AV34" s="1933"/>
      <c r="AW34" s="1933"/>
      <c r="AX34" s="1933">
        <f t="shared" si="32"/>
        <v>0</v>
      </c>
      <c r="AY34" s="1933"/>
      <c r="AZ34" s="1933"/>
      <c r="BA34" s="1933">
        <f t="shared" si="33"/>
        <v>0</v>
      </c>
      <c r="BC34" s="1822" t="b">
        <f t="shared" si="21"/>
        <v>1</v>
      </c>
    </row>
    <row r="35" spans="2:68">
      <c r="B35" s="2506"/>
      <c r="C35" s="2171">
        <v>0</v>
      </c>
      <c r="D35" s="2171">
        <f>+'[6]BT 2HO'!D89</f>
        <v>0</v>
      </c>
      <c r="E35" s="2171"/>
      <c r="F35" s="2172">
        <v>950000</v>
      </c>
      <c r="G35" s="2172">
        <v>1050000</v>
      </c>
      <c r="H35" s="1933">
        <f t="shared" si="26"/>
        <v>0</v>
      </c>
      <c r="I35" s="1933"/>
      <c r="J35" s="1933"/>
      <c r="K35" s="1933">
        <f t="shared" si="23"/>
        <v>0</v>
      </c>
      <c r="L35" s="1933"/>
      <c r="M35" s="1933"/>
      <c r="N35" s="1933"/>
      <c r="O35" s="1933"/>
      <c r="P35" s="2174"/>
      <c r="Q35" s="1933"/>
      <c r="R35" s="1933">
        <f t="shared" si="24"/>
        <v>0</v>
      </c>
      <c r="S35" s="2173"/>
      <c r="T35" s="1933">
        <f t="shared" si="27"/>
        <v>0</v>
      </c>
      <c r="U35" s="2173"/>
      <c r="V35" s="1933"/>
      <c r="W35" s="1933">
        <f t="shared" si="28"/>
        <v>0</v>
      </c>
      <c r="X35" s="2173"/>
      <c r="Y35" s="1933">
        <f t="shared" si="29"/>
        <v>0</v>
      </c>
      <c r="Z35" s="2173"/>
      <c r="AA35" s="1933"/>
      <c r="AB35" s="1933">
        <f t="shared" si="30"/>
        <v>0</v>
      </c>
      <c r="AC35" s="2173"/>
      <c r="AD35" s="1933">
        <f t="shared" si="25"/>
        <v>0</v>
      </c>
      <c r="AE35" s="2173"/>
      <c r="AF35" s="1933"/>
      <c r="AG35" s="1933">
        <f t="shared" si="31"/>
        <v>0</v>
      </c>
      <c r="AH35" s="1933"/>
      <c r="AI35" s="1933"/>
      <c r="AJ35" s="1933"/>
      <c r="AK35" s="1933"/>
      <c r="AL35" s="1933"/>
      <c r="AM35" s="1933"/>
      <c r="AN35" s="1933"/>
      <c r="AO35" s="1933"/>
      <c r="AP35" s="1933"/>
      <c r="AQ35" s="1933"/>
      <c r="AR35" s="1933"/>
      <c r="AS35" s="1933"/>
      <c r="AT35" s="1933"/>
      <c r="AU35" s="1933"/>
      <c r="AV35" s="1933"/>
      <c r="AW35" s="1933"/>
      <c r="AX35" s="1933">
        <f t="shared" si="32"/>
        <v>0</v>
      </c>
      <c r="AY35" s="1933"/>
      <c r="AZ35" s="1933"/>
      <c r="BA35" s="1933">
        <f t="shared" si="33"/>
        <v>0</v>
      </c>
      <c r="BC35" s="1822" t="b">
        <f t="shared" si="21"/>
        <v>1</v>
      </c>
    </row>
    <row r="36" spans="2:68">
      <c r="B36" s="2506"/>
      <c r="C36" s="2171">
        <v>0</v>
      </c>
      <c r="D36" s="2171">
        <f>+'[6]BT 2HO'!D94</f>
        <v>0</v>
      </c>
      <c r="E36" s="2171"/>
      <c r="F36" s="2172">
        <v>950000</v>
      </c>
      <c r="G36" s="2172">
        <v>1050000</v>
      </c>
      <c r="H36" s="1933">
        <f t="shared" si="26"/>
        <v>0</v>
      </c>
      <c r="I36" s="1933"/>
      <c r="J36" s="1933"/>
      <c r="K36" s="1933">
        <f t="shared" si="23"/>
        <v>0</v>
      </c>
      <c r="L36" s="1933"/>
      <c r="M36" s="1933"/>
      <c r="N36" s="1933"/>
      <c r="O36" s="1933"/>
      <c r="P36" s="2174"/>
      <c r="Q36" s="1933"/>
      <c r="R36" s="1933">
        <f t="shared" si="24"/>
        <v>0</v>
      </c>
      <c r="S36" s="2173"/>
      <c r="T36" s="1933">
        <f t="shared" si="27"/>
        <v>0</v>
      </c>
      <c r="U36" s="2173"/>
      <c r="V36" s="1933"/>
      <c r="W36" s="1933">
        <f t="shared" si="28"/>
        <v>0</v>
      </c>
      <c r="X36" s="2173"/>
      <c r="Y36" s="1933">
        <f t="shared" si="29"/>
        <v>0</v>
      </c>
      <c r="Z36" s="2173"/>
      <c r="AA36" s="1933"/>
      <c r="AB36" s="1933">
        <f t="shared" si="30"/>
        <v>0</v>
      </c>
      <c r="AC36" s="2173"/>
      <c r="AD36" s="1933">
        <f t="shared" si="25"/>
        <v>0</v>
      </c>
      <c r="AE36" s="2173"/>
      <c r="AF36" s="1933"/>
      <c r="AG36" s="1933">
        <f t="shared" si="31"/>
        <v>0</v>
      </c>
      <c r="AH36" s="1933"/>
      <c r="AI36" s="1933"/>
      <c r="AJ36" s="1933"/>
      <c r="AK36" s="1933"/>
      <c r="AL36" s="1933"/>
      <c r="AM36" s="1933"/>
      <c r="AN36" s="1933"/>
      <c r="AO36" s="1933"/>
      <c r="AP36" s="1933"/>
      <c r="AQ36" s="1933"/>
      <c r="AR36" s="1933"/>
      <c r="AS36" s="1933"/>
      <c r="AT36" s="1933"/>
      <c r="AU36" s="1933"/>
      <c r="AV36" s="1933"/>
      <c r="AW36" s="1933"/>
      <c r="AX36" s="1933">
        <f t="shared" si="32"/>
        <v>0</v>
      </c>
      <c r="AY36" s="1933"/>
      <c r="AZ36" s="1933"/>
      <c r="BA36" s="1933">
        <f t="shared" si="33"/>
        <v>0</v>
      </c>
      <c r="BC36" s="1822" t="b">
        <f t="shared" si="21"/>
        <v>1</v>
      </c>
    </row>
    <row r="38" spans="2:68" ht="15.6" customHeight="1">
      <c r="B38" s="2503" t="s">
        <v>132</v>
      </c>
      <c r="C38" s="2503" t="s">
        <v>2558</v>
      </c>
      <c r="D38" s="2504" t="s">
        <v>135</v>
      </c>
      <c r="E38" s="2163"/>
      <c r="F38" s="2505" t="s">
        <v>2559</v>
      </c>
      <c r="G38" s="2505" t="s">
        <v>2560</v>
      </c>
      <c r="H38" s="2502" t="s">
        <v>138</v>
      </c>
      <c r="I38" s="2507" t="s">
        <v>2561</v>
      </c>
      <c r="J38" s="2507" t="s">
        <v>2562</v>
      </c>
      <c r="K38" s="2509" t="s">
        <v>2563</v>
      </c>
      <c r="L38" s="2510"/>
      <c r="M38" s="2510"/>
      <c r="N38" s="2510"/>
      <c r="O38" s="2510"/>
      <c r="P38" s="2510"/>
      <c r="Q38" s="2510"/>
      <c r="R38" s="2511"/>
      <c r="S38" s="2502" t="s">
        <v>2574</v>
      </c>
      <c r="T38" s="2502"/>
      <c r="U38" s="2502"/>
      <c r="V38" s="2502"/>
      <c r="W38" s="2502"/>
      <c r="X38" s="2502" t="s">
        <v>238</v>
      </c>
      <c r="Y38" s="2502"/>
      <c r="Z38" s="2502"/>
      <c r="AA38" s="2502"/>
      <c r="AB38" s="2502"/>
      <c r="AC38" s="2502" t="s">
        <v>109</v>
      </c>
      <c r="AD38" s="2502"/>
      <c r="AE38" s="2502"/>
      <c r="AF38" s="2502"/>
      <c r="AG38" s="2502"/>
      <c r="AH38" s="2164"/>
      <c r="AI38" s="2164"/>
      <c r="AJ38" s="2164"/>
      <c r="AK38" s="2164"/>
      <c r="AL38" s="2164"/>
      <c r="AM38" s="2164"/>
      <c r="AN38" s="2164"/>
      <c r="AO38" s="2164"/>
      <c r="AP38" s="2164"/>
      <c r="AQ38" s="2164"/>
      <c r="AR38" s="2164"/>
      <c r="AS38" s="2164"/>
      <c r="AT38" s="2164"/>
      <c r="AU38" s="2164"/>
      <c r="AV38" s="2164"/>
      <c r="AW38" s="2502" t="s">
        <v>110</v>
      </c>
      <c r="AX38" s="2502"/>
      <c r="AY38" s="2502"/>
      <c r="AZ38" s="2502"/>
      <c r="BA38" s="2502"/>
    </row>
    <row r="39" spans="2:68" ht="13.5">
      <c r="B39" s="2503"/>
      <c r="C39" s="2503"/>
      <c r="D39" s="2504"/>
      <c r="E39" s="2163"/>
      <c r="F39" s="2505"/>
      <c r="G39" s="2505"/>
      <c r="H39" s="2502"/>
      <c r="I39" s="2508"/>
      <c r="J39" s="2508"/>
      <c r="K39" s="2165" t="s">
        <v>2564</v>
      </c>
      <c r="L39" s="2165" t="s">
        <v>2565</v>
      </c>
      <c r="M39" s="2165" t="s">
        <v>2566</v>
      </c>
      <c r="N39" s="2165" t="s">
        <v>2567</v>
      </c>
      <c r="O39" s="2165" t="s">
        <v>2568</v>
      </c>
      <c r="P39" s="2185" t="s">
        <v>2569</v>
      </c>
      <c r="Q39" s="2165" t="s">
        <v>2570</v>
      </c>
      <c r="R39" s="2165" t="s">
        <v>2571</v>
      </c>
      <c r="S39" s="2164" t="s">
        <v>148</v>
      </c>
      <c r="T39" s="2168">
        <v>0.5</v>
      </c>
      <c r="U39" s="2164" t="s">
        <v>148</v>
      </c>
      <c r="V39" s="2169" t="s">
        <v>2572</v>
      </c>
      <c r="W39" s="2169" t="s">
        <v>2573</v>
      </c>
      <c r="X39" s="2164" t="s">
        <v>148</v>
      </c>
      <c r="Y39" s="2168">
        <v>0.4</v>
      </c>
      <c r="Z39" s="2164" t="s">
        <v>148</v>
      </c>
      <c r="AA39" s="2169" t="s">
        <v>2572</v>
      </c>
      <c r="AB39" s="2169" t="s">
        <v>2573</v>
      </c>
      <c r="AC39" s="2164" t="s">
        <v>148</v>
      </c>
      <c r="AD39" s="2168">
        <v>0.1</v>
      </c>
      <c r="AE39" s="2164" t="s">
        <v>148</v>
      </c>
      <c r="AF39" s="2169" t="s">
        <v>2572</v>
      </c>
      <c r="AG39" s="2169" t="s">
        <v>2573</v>
      </c>
      <c r="AH39" s="2169"/>
      <c r="AI39" s="2169"/>
      <c r="AJ39" s="2169"/>
      <c r="AK39" s="2169"/>
      <c r="AL39" s="2169"/>
      <c r="AM39" s="2169"/>
      <c r="AN39" s="2169"/>
      <c r="AO39" s="2169"/>
      <c r="AP39" s="2169"/>
      <c r="AQ39" s="2169"/>
      <c r="AR39" s="2169"/>
      <c r="AS39" s="2169"/>
      <c r="AT39" s="2169"/>
      <c r="AU39" s="2169"/>
      <c r="AV39" s="2169"/>
      <c r="AW39" s="2164" t="s">
        <v>148</v>
      </c>
      <c r="AX39" s="2168">
        <v>0</v>
      </c>
      <c r="AY39" s="2164" t="s">
        <v>148</v>
      </c>
      <c r="AZ39" s="2169" t="s">
        <v>2572</v>
      </c>
      <c r="BA39" s="2169" t="s">
        <v>2573</v>
      </c>
    </row>
    <row r="40" spans="2:68">
      <c r="B40" s="2506" t="s">
        <v>2583</v>
      </c>
      <c r="C40" s="2170"/>
      <c r="D40" s="2171">
        <f>+SUM(D41:D54)</f>
        <v>3853</v>
      </c>
      <c r="E40" s="2171"/>
      <c r="F40" s="2172">
        <v>950000</v>
      </c>
      <c r="G40" s="2172">
        <v>1050000</v>
      </c>
      <c r="H40" s="1933">
        <f t="shared" ref="H40:O40" si="34">+SUM(H41:H54)</f>
        <v>4026385000</v>
      </c>
      <c r="I40" s="1933">
        <f t="shared" si="34"/>
        <v>51975000</v>
      </c>
      <c r="J40" s="1933">
        <f t="shared" si="34"/>
        <v>0</v>
      </c>
      <c r="K40" s="1933">
        <f t="shared" si="34"/>
        <v>0</v>
      </c>
      <c r="L40" s="1933">
        <f t="shared" si="34"/>
        <v>0</v>
      </c>
      <c r="M40" s="1933">
        <f t="shared" si="34"/>
        <v>0</v>
      </c>
      <c r="N40" s="1933">
        <f t="shared" si="34"/>
        <v>0</v>
      </c>
      <c r="O40" s="1933">
        <f t="shared" si="34"/>
        <v>0</v>
      </c>
      <c r="P40" s="1933"/>
      <c r="Q40" s="1933">
        <f>+SUM(Q41:Q54)</f>
        <v>0</v>
      </c>
      <c r="R40" s="1933">
        <f>+SUM(R41:R54)</f>
        <v>0</v>
      </c>
      <c r="S40" s="2173"/>
      <c r="T40" s="1933">
        <f>+SUM(T41:T54)</f>
        <v>2013192500</v>
      </c>
      <c r="U40" s="2173"/>
      <c r="V40" s="1933">
        <f>+SUM(V41:V54)</f>
        <v>51975000</v>
      </c>
      <c r="W40" s="1933">
        <f>+SUM(W41:W54)</f>
        <v>1961217500</v>
      </c>
      <c r="X40" s="1933"/>
      <c r="Y40" s="1933">
        <f t="shared" ref="Y40" si="35">+SUM(Y41:Y54)</f>
        <v>1610554000</v>
      </c>
      <c r="Z40" s="1933"/>
      <c r="AA40" s="1933"/>
      <c r="AB40" s="1933">
        <f>+SUM(AB41:AB54)</f>
        <v>1610554000</v>
      </c>
      <c r="AC40" s="1933"/>
      <c r="AD40" s="1933">
        <f t="shared" ref="AD40" si="36">+SUM(AD41:AD54)</f>
        <v>826468500</v>
      </c>
      <c r="AE40" s="1933"/>
      <c r="AF40" s="1933"/>
      <c r="AG40" s="1933">
        <f>+SUM(AG41:AG54)</f>
        <v>826468500</v>
      </c>
      <c r="AH40" s="1933"/>
      <c r="AI40" s="1933"/>
      <c r="AJ40" s="1933"/>
      <c r="AK40" s="1933"/>
      <c r="AL40" s="1933"/>
      <c r="AM40" s="1933"/>
      <c r="AN40" s="1933"/>
      <c r="AO40" s="1933"/>
      <c r="AP40" s="1933"/>
      <c r="AQ40" s="1933"/>
      <c r="AR40" s="1933"/>
      <c r="AS40" s="1933"/>
      <c r="AT40" s="1933"/>
      <c r="AU40" s="1933"/>
      <c r="AV40" s="1933"/>
      <c r="AW40" s="1933"/>
      <c r="AX40" s="1933">
        <f t="shared" ref="AX40" si="37">+SUM(AX41:AX54)</f>
        <v>0</v>
      </c>
      <c r="AY40" s="1933"/>
      <c r="AZ40" s="1933"/>
      <c r="BA40" s="1933">
        <f>+SUM(BA41:BA54)</f>
        <v>0</v>
      </c>
      <c r="BC40" s="1822" t="b">
        <f t="shared" ref="BC40:BC54" si="38">T40+Y40+AD40+AX40+K40=D40*G40*1.1</f>
        <v>1</v>
      </c>
    </row>
    <row r="41" spans="2:68">
      <c r="B41" s="2506"/>
      <c r="C41" s="2171" t="s">
        <v>2584</v>
      </c>
      <c r="D41" s="2171">
        <v>991</v>
      </c>
      <c r="E41" s="2171"/>
      <c r="F41" s="2172">
        <v>950000</v>
      </c>
      <c r="G41" s="2172">
        <v>1050000</v>
      </c>
      <c r="H41" s="1933">
        <f>+F41*D41*1.1</f>
        <v>1035595000.0000001</v>
      </c>
      <c r="I41" s="1933">
        <f t="shared" ref="I41:I48" si="39">+V41+AA41+AF41+AZ41</f>
        <v>0</v>
      </c>
      <c r="J41" s="1933"/>
      <c r="K41" s="1933">
        <f t="shared" ref="K41:K54" si="40">+SUM(L41:O41)</f>
        <v>0</v>
      </c>
      <c r="L41" s="1933"/>
      <c r="M41" s="1933"/>
      <c r="N41" s="1933"/>
      <c r="O41" s="1933"/>
      <c r="P41" s="2174"/>
      <c r="Q41" s="1933"/>
      <c r="R41" s="1933">
        <f t="shared" ref="R41:R54" si="41">+K41-Q41</f>
        <v>0</v>
      </c>
      <c r="S41" s="2173"/>
      <c r="T41" s="1933">
        <f>+ROUND($H41*T$39,)</f>
        <v>517797500</v>
      </c>
      <c r="U41" s="2173"/>
      <c r="V41" s="1933"/>
      <c r="W41" s="1933">
        <f>+T41-V41</f>
        <v>517797500</v>
      </c>
      <c r="X41" s="1933"/>
      <c r="Y41" s="1933">
        <f>+ROUND($H41*Y$39,)</f>
        <v>414238000</v>
      </c>
      <c r="Z41" s="1933"/>
      <c r="AA41" s="1933"/>
      <c r="AB41" s="1933">
        <f>+Y41-AA41</f>
        <v>414238000</v>
      </c>
      <c r="AC41" s="1933"/>
      <c r="AD41" s="1933">
        <f t="shared" ref="AD41:AD54" si="42">+ROUND(D41*G41*1.1-Y41-T41-K41,)</f>
        <v>212569500</v>
      </c>
      <c r="AE41" s="1933"/>
      <c r="AF41" s="1933"/>
      <c r="AG41" s="1933">
        <f>+AD41-AF41</f>
        <v>212569500</v>
      </c>
      <c r="AH41" s="1933"/>
      <c r="AI41" s="1933"/>
      <c r="AJ41" s="1933"/>
      <c r="AK41" s="1933"/>
      <c r="AL41" s="1933"/>
      <c r="AM41" s="1933"/>
      <c r="AN41" s="1933"/>
      <c r="AO41" s="1933"/>
      <c r="AP41" s="1933"/>
      <c r="AQ41" s="1933"/>
      <c r="AR41" s="1933"/>
      <c r="AS41" s="1933"/>
      <c r="AT41" s="1933"/>
      <c r="AU41" s="1933"/>
      <c r="AV41" s="1933"/>
      <c r="AW41" s="1933"/>
      <c r="AX41" s="1933">
        <f>+ROUND($H41*AX$39,)</f>
        <v>0</v>
      </c>
      <c r="AY41" s="1933"/>
      <c r="AZ41" s="1933"/>
      <c r="BA41" s="1933">
        <f>+AX41-AZ41</f>
        <v>0</v>
      </c>
      <c r="BC41" s="1822" t="b">
        <f t="shared" si="38"/>
        <v>1</v>
      </c>
    </row>
    <row r="42" spans="2:68">
      <c r="B42" s="2506"/>
      <c r="C42" s="2171" t="s">
        <v>2585</v>
      </c>
      <c r="D42" s="2171">
        <v>315</v>
      </c>
      <c r="E42" s="2171"/>
      <c r="F42" s="2172">
        <v>950000</v>
      </c>
      <c r="G42" s="2172">
        <v>1050000</v>
      </c>
      <c r="H42" s="1933">
        <f t="shared" ref="H42:H54" si="43">+F42*D42*1.1</f>
        <v>329175000</v>
      </c>
      <c r="I42" s="1933">
        <f t="shared" si="39"/>
        <v>51975000</v>
      </c>
      <c r="J42" s="1933"/>
      <c r="K42" s="1933">
        <f t="shared" si="40"/>
        <v>0</v>
      </c>
      <c r="L42" s="1933"/>
      <c r="M42" s="1933"/>
      <c r="N42" s="1933"/>
      <c r="O42" s="1933"/>
      <c r="P42" s="2174"/>
      <c r="Q42" s="1933"/>
      <c r="R42" s="1933">
        <f t="shared" si="41"/>
        <v>0</v>
      </c>
      <c r="S42" s="2173">
        <f>+'[6]BT 2HO'!O82</f>
        <v>45922</v>
      </c>
      <c r="T42" s="1933">
        <f t="shared" ref="T42:T54" si="44">+ROUND($H42*T$39,)</f>
        <v>164587500</v>
      </c>
      <c r="U42" s="2173">
        <f>+'[6]BT 2HO'!O82</f>
        <v>45922</v>
      </c>
      <c r="V42" s="1933">
        <f>+'[6]BT 2HO'!R82+'[6]BT 2HO'!R83</f>
        <v>51975000</v>
      </c>
      <c r="W42" s="1933">
        <f t="shared" ref="W42:W54" si="45">+T42-V42</f>
        <v>112612500</v>
      </c>
      <c r="X42" s="1933"/>
      <c r="Y42" s="1933">
        <f t="shared" ref="Y42:Y54" si="46">+ROUND($H42*Y$39,)</f>
        <v>131670000</v>
      </c>
      <c r="Z42" s="1933"/>
      <c r="AA42" s="1933"/>
      <c r="AB42" s="1933">
        <f t="shared" ref="AB42:AB54" si="47">+Y42-AA42</f>
        <v>131670000</v>
      </c>
      <c r="AC42" s="1933"/>
      <c r="AD42" s="1933">
        <f t="shared" si="42"/>
        <v>67567500</v>
      </c>
      <c r="AE42" s="1933"/>
      <c r="AF42" s="1933"/>
      <c r="AG42" s="1933">
        <f t="shared" ref="AG42:AG54" si="48">+AD42-AF42</f>
        <v>67567500</v>
      </c>
      <c r="AH42" s="1933"/>
      <c r="AI42" s="1933"/>
      <c r="AJ42" s="1933"/>
      <c r="AK42" s="1933"/>
      <c r="AL42" s="1933"/>
      <c r="AM42" s="1933"/>
      <c r="AN42" s="1933"/>
      <c r="AO42" s="1933"/>
      <c r="AP42" s="1933"/>
      <c r="AQ42" s="1933"/>
      <c r="AR42" s="1933"/>
      <c r="AS42" s="1933"/>
      <c r="AT42" s="1933"/>
      <c r="AU42" s="1933"/>
      <c r="AV42" s="1933"/>
      <c r="AW42" s="1933"/>
      <c r="AX42" s="1933">
        <f t="shared" ref="AX42:AX54" si="49">+ROUND($H42*AX$39,)</f>
        <v>0</v>
      </c>
      <c r="AY42" s="1933"/>
      <c r="AZ42" s="1933"/>
      <c r="BA42" s="1933">
        <f t="shared" ref="BA42:BA54" si="50">+AX42-AZ42</f>
        <v>0</v>
      </c>
      <c r="BC42" s="1822" t="b">
        <f t="shared" si="38"/>
        <v>1</v>
      </c>
    </row>
    <row r="43" spans="2:68">
      <c r="B43" s="2506"/>
      <c r="C43" s="2171" t="s">
        <v>2586</v>
      </c>
      <c r="D43" s="2171">
        <v>156</v>
      </c>
      <c r="E43" s="2171"/>
      <c r="F43" s="2172">
        <v>950000</v>
      </c>
      <c r="G43" s="2172">
        <v>1050000</v>
      </c>
      <c r="H43" s="1933">
        <f t="shared" si="43"/>
        <v>163020000</v>
      </c>
      <c r="I43" s="1933">
        <f t="shared" si="39"/>
        <v>0</v>
      </c>
      <c r="J43" s="1933"/>
      <c r="K43" s="1933">
        <f t="shared" si="40"/>
        <v>0</v>
      </c>
      <c r="L43" s="1933"/>
      <c r="M43" s="1933"/>
      <c r="N43" s="1933"/>
      <c r="O43" s="1933"/>
      <c r="P43" s="2174"/>
      <c r="Q43" s="1933"/>
      <c r="R43" s="1933">
        <f t="shared" si="41"/>
        <v>0</v>
      </c>
      <c r="S43" s="2173"/>
      <c r="T43" s="1933">
        <f t="shared" si="44"/>
        <v>81510000</v>
      </c>
      <c r="U43" s="2173"/>
      <c r="V43" s="1933"/>
      <c r="W43" s="1933">
        <f t="shared" si="45"/>
        <v>81510000</v>
      </c>
      <c r="X43" s="1933"/>
      <c r="Y43" s="1933">
        <f t="shared" si="46"/>
        <v>65208000</v>
      </c>
      <c r="Z43" s="1933"/>
      <c r="AA43" s="1933"/>
      <c r="AB43" s="1933">
        <f t="shared" si="47"/>
        <v>65208000</v>
      </c>
      <c r="AC43" s="1933"/>
      <c r="AD43" s="1933">
        <f t="shared" si="42"/>
        <v>33462000</v>
      </c>
      <c r="AE43" s="1933"/>
      <c r="AF43" s="1933"/>
      <c r="AG43" s="1933">
        <f t="shared" si="48"/>
        <v>33462000</v>
      </c>
      <c r="AH43" s="1933"/>
      <c r="AI43" s="1933"/>
      <c r="AJ43" s="1933"/>
      <c r="AK43" s="1933"/>
      <c r="AL43" s="1933"/>
      <c r="AM43" s="1933"/>
      <c r="AN43" s="1933"/>
      <c r="AO43" s="1933"/>
      <c r="AP43" s="1933"/>
      <c r="AQ43" s="1933"/>
      <c r="AR43" s="1933"/>
      <c r="AS43" s="1933"/>
      <c r="AT43" s="1933"/>
      <c r="AU43" s="1933"/>
      <c r="AV43" s="1933"/>
      <c r="AW43" s="1933"/>
      <c r="AX43" s="1933">
        <f t="shared" si="49"/>
        <v>0</v>
      </c>
      <c r="AY43" s="1933"/>
      <c r="AZ43" s="1933"/>
      <c r="BA43" s="1933">
        <f t="shared" si="50"/>
        <v>0</v>
      </c>
      <c r="BC43" s="1822" t="b">
        <f t="shared" si="38"/>
        <v>1</v>
      </c>
    </row>
    <row r="44" spans="2:68">
      <c r="B44" s="2506"/>
      <c r="C44" s="2171" t="s">
        <v>2587</v>
      </c>
      <c r="D44" s="2171">
        <v>1000</v>
      </c>
      <c r="E44" s="2171"/>
      <c r="F44" s="2172">
        <v>950000</v>
      </c>
      <c r="G44" s="2172">
        <v>1050000</v>
      </c>
      <c r="H44" s="1933">
        <f t="shared" si="43"/>
        <v>1045000000.0000001</v>
      </c>
      <c r="I44" s="1933">
        <f t="shared" si="39"/>
        <v>0</v>
      </c>
      <c r="J44" s="1933"/>
      <c r="K44" s="1933">
        <f t="shared" si="40"/>
        <v>0</v>
      </c>
      <c r="L44" s="1933"/>
      <c r="M44" s="1933"/>
      <c r="N44" s="1933"/>
      <c r="O44" s="1933"/>
      <c r="P44" s="2174"/>
      <c r="Q44" s="1933"/>
      <c r="R44" s="1933">
        <f t="shared" si="41"/>
        <v>0</v>
      </c>
      <c r="S44" s="2173"/>
      <c r="T44" s="1933">
        <f t="shared" si="44"/>
        <v>522500000</v>
      </c>
      <c r="U44" s="2173"/>
      <c r="V44" s="1933"/>
      <c r="W44" s="1933">
        <f t="shared" si="45"/>
        <v>522500000</v>
      </c>
      <c r="X44" s="1933"/>
      <c r="Y44" s="1933">
        <f t="shared" si="46"/>
        <v>418000000</v>
      </c>
      <c r="Z44" s="1933"/>
      <c r="AA44" s="1933"/>
      <c r="AB44" s="1933">
        <f t="shared" si="47"/>
        <v>418000000</v>
      </c>
      <c r="AC44" s="1933"/>
      <c r="AD44" s="1933">
        <f t="shared" si="42"/>
        <v>214500000</v>
      </c>
      <c r="AE44" s="1933"/>
      <c r="AF44" s="1933"/>
      <c r="AG44" s="1933">
        <f t="shared" si="48"/>
        <v>214500000</v>
      </c>
      <c r="AH44" s="1933"/>
      <c r="AI44" s="1933"/>
      <c r="AJ44" s="1933"/>
      <c r="AK44" s="1933"/>
      <c r="AL44" s="1933"/>
      <c r="AM44" s="1933"/>
      <c r="AN44" s="1933"/>
      <c r="AO44" s="1933"/>
      <c r="AP44" s="1933"/>
      <c r="AQ44" s="1933"/>
      <c r="AR44" s="1933"/>
      <c r="AS44" s="1933"/>
      <c r="AT44" s="1933"/>
      <c r="AU44" s="1933"/>
      <c r="AV44" s="1933"/>
      <c r="AW44" s="1933"/>
      <c r="AX44" s="1933">
        <f t="shared" si="49"/>
        <v>0</v>
      </c>
      <c r="AY44" s="1933"/>
      <c r="AZ44" s="1933"/>
      <c r="BA44" s="1933">
        <f t="shared" si="50"/>
        <v>0</v>
      </c>
      <c r="BC44" s="1822" t="b">
        <f t="shared" si="38"/>
        <v>1</v>
      </c>
    </row>
    <row r="45" spans="2:68" s="2181" customFormat="1">
      <c r="B45" s="2506"/>
      <c r="C45" s="2175" t="s">
        <v>2588</v>
      </c>
      <c r="D45" s="2175">
        <v>200</v>
      </c>
      <c r="E45" s="2175"/>
      <c r="F45" s="2176">
        <v>950000</v>
      </c>
      <c r="G45" s="2176">
        <v>1050000</v>
      </c>
      <c r="H45" s="2177">
        <f t="shared" si="43"/>
        <v>209000000.00000003</v>
      </c>
      <c r="I45" s="2177">
        <f t="shared" si="39"/>
        <v>0</v>
      </c>
      <c r="J45" s="2177"/>
      <c r="K45" s="2177">
        <f t="shared" si="40"/>
        <v>0</v>
      </c>
      <c r="L45" s="2177"/>
      <c r="M45" s="2177"/>
      <c r="N45" s="2177"/>
      <c r="O45" s="2177"/>
      <c r="P45" s="2178"/>
      <c r="Q45" s="2177"/>
      <c r="R45" s="2177">
        <f t="shared" si="41"/>
        <v>0</v>
      </c>
      <c r="S45" s="2179"/>
      <c r="T45" s="2177">
        <f t="shared" si="44"/>
        <v>104500000</v>
      </c>
      <c r="U45" s="2179"/>
      <c r="V45" s="2177"/>
      <c r="W45" s="2177">
        <f t="shared" si="45"/>
        <v>104500000</v>
      </c>
      <c r="X45" s="2177"/>
      <c r="Y45" s="2177">
        <f t="shared" si="46"/>
        <v>83600000</v>
      </c>
      <c r="Z45" s="2177"/>
      <c r="AA45" s="2177"/>
      <c r="AB45" s="2177">
        <f t="shared" si="47"/>
        <v>83600000</v>
      </c>
      <c r="AC45" s="2177"/>
      <c r="AD45" s="2177">
        <f t="shared" si="42"/>
        <v>42900000</v>
      </c>
      <c r="AE45" s="2177"/>
      <c r="AF45" s="2177"/>
      <c r="AG45" s="2177">
        <f t="shared" si="48"/>
        <v>42900000</v>
      </c>
      <c r="AH45" s="2177"/>
      <c r="AI45" s="2177"/>
      <c r="AJ45" s="2177"/>
      <c r="AK45" s="2177"/>
      <c r="AL45" s="2177"/>
      <c r="AM45" s="2177"/>
      <c r="AN45" s="2177"/>
      <c r="AO45" s="2177"/>
      <c r="AP45" s="2177"/>
      <c r="AQ45" s="2177"/>
      <c r="AR45" s="2177"/>
      <c r="AS45" s="2177"/>
      <c r="AT45" s="2177"/>
      <c r="AU45" s="2177"/>
      <c r="AV45" s="2177"/>
      <c r="AW45" s="2177"/>
      <c r="AX45" s="2177">
        <f t="shared" si="49"/>
        <v>0</v>
      </c>
      <c r="AY45" s="2177"/>
      <c r="AZ45" s="2177"/>
      <c r="BA45" s="2177">
        <f t="shared" si="50"/>
        <v>0</v>
      </c>
      <c r="BB45" s="2180"/>
      <c r="BC45" s="2180" t="b">
        <f t="shared" si="38"/>
        <v>1</v>
      </c>
      <c r="BD45" s="2180"/>
      <c r="BE45" s="2180"/>
      <c r="BF45" s="2180"/>
      <c r="BG45" s="2180"/>
      <c r="BH45" s="2180"/>
      <c r="BI45" s="2180"/>
      <c r="BJ45" s="2180"/>
      <c r="BK45" s="2180"/>
      <c r="BL45" s="2180"/>
      <c r="BM45" s="2180"/>
      <c r="BN45" s="2180"/>
      <c r="BO45" s="2180"/>
      <c r="BP45" s="2180"/>
    </row>
    <row r="46" spans="2:68">
      <c r="B46" s="2506"/>
      <c r="C46" s="2171" t="s">
        <v>2589</v>
      </c>
      <c r="D46" s="2171">
        <v>173</v>
      </c>
      <c r="E46" s="2171"/>
      <c r="F46" s="2172">
        <v>950000</v>
      </c>
      <c r="G46" s="2172">
        <v>1050000</v>
      </c>
      <c r="H46" s="1933">
        <f t="shared" si="43"/>
        <v>180785000</v>
      </c>
      <c r="I46" s="1933">
        <f t="shared" si="39"/>
        <v>0</v>
      </c>
      <c r="J46" s="1933"/>
      <c r="K46" s="1933">
        <f t="shared" si="40"/>
        <v>0</v>
      </c>
      <c r="L46" s="1933"/>
      <c r="M46" s="1933"/>
      <c r="N46" s="1933"/>
      <c r="O46" s="1933"/>
      <c r="P46" s="2174"/>
      <c r="Q46" s="1933"/>
      <c r="R46" s="1933">
        <f t="shared" si="41"/>
        <v>0</v>
      </c>
      <c r="S46" s="2173"/>
      <c r="T46" s="1933">
        <f t="shared" si="44"/>
        <v>90392500</v>
      </c>
      <c r="U46" s="2173"/>
      <c r="V46" s="1933"/>
      <c r="W46" s="1933">
        <f t="shared" si="45"/>
        <v>90392500</v>
      </c>
      <c r="X46" s="1933"/>
      <c r="Y46" s="1933">
        <f t="shared" si="46"/>
        <v>72314000</v>
      </c>
      <c r="Z46" s="1933"/>
      <c r="AA46" s="1933"/>
      <c r="AB46" s="1933">
        <f t="shared" si="47"/>
        <v>72314000</v>
      </c>
      <c r="AC46" s="1933"/>
      <c r="AD46" s="1933">
        <f t="shared" si="42"/>
        <v>37108500</v>
      </c>
      <c r="AE46" s="1933"/>
      <c r="AF46" s="1933"/>
      <c r="AG46" s="1933">
        <f t="shared" si="48"/>
        <v>37108500</v>
      </c>
      <c r="AH46" s="1933"/>
      <c r="AI46" s="1933"/>
      <c r="AJ46" s="1933"/>
      <c r="AK46" s="1933"/>
      <c r="AL46" s="1933"/>
      <c r="AM46" s="1933"/>
      <c r="AN46" s="1933"/>
      <c r="AO46" s="1933"/>
      <c r="AP46" s="1933"/>
      <c r="AQ46" s="1933"/>
      <c r="AR46" s="1933"/>
      <c r="AS46" s="1933"/>
      <c r="AT46" s="1933"/>
      <c r="AU46" s="1933"/>
      <c r="AV46" s="1933"/>
      <c r="AW46" s="1933"/>
      <c r="AX46" s="1933">
        <f t="shared" si="49"/>
        <v>0</v>
      </c>
      <c r="AY46" s="1933"/>
      <c r="AZ46" s="1933"/>
      <c r="BA46" s="1933">
        <f t="shared" si="50"/>
        <v>0</v>
      </c>
      <c r="BC46" s="1822" t="b">
        <f t="shared" si="38"/>
        <v>1</v>
      </c>
    </row>
    <row r="47" spans="2:68">
      <c r="B47" s="2506"/>
      <c r="C47" s="2171" t="s">
        <v>2590</v>
      </c>
      <c r="D47" s="2171">
        <f>0.371*1000</f>
        <v>371</v>
      </c>
      <c r="E47" s="2171"/>
      <c r="F47" s="2172">
        <v>950000</v>
      </c>
      <c r="G47" s="2172">
        <v>1050000</v>
      </c>
      <c r="H47" s="1933">
        <f t="shared" si="43"/>
        <v>387695000.00000006</v>
      </c>
      <c r="I47" s="1933">
        <f t="shared" si="39"/>
        <v>0</v>
      </c>
      <c r="J47" s="1933"/>
      <c r="K47" s="1933">
        <f t="shared" si="40"/>
        <v>0</v>
      </c>
      <c r="L47" s="1933"/>
      <c r="M47" s="1933"/>
      <c r="N47" s="1933"/>
      <c r="O47" s="1933"/>
      <c r="P47" s="2174"/>
      <c r="Q47" s="1933"/>
      <c r="R47" s="1933">
        <f t="shared" si="41"/>
        <v>0</v>
      </c>
      <c r="S47" s="2173"/>
      <c r="T47" s="1933">
        <f t="shared" si="44"/>
        <v>193847500</v>
      </c>
      <c r="U47" s="2173"/>
      <c r="V47" s="1933"/>
      <c r="W47" s="1933">
        <f t="shared" si="45"/>
        <v>193847500</v>
      </c>
      <c r="X47" s="1933"/>
      <c r="Y47" s="1933">
        <f t="shared" si="46"/>
        <v>155078000</v>
      </c>
      <c r="Z47" s="1933"/>
      <c r="AA47" s="1933"/>
      <c r="AB47" s="1933">
        <f t="shared" si="47"/>
        <v>155078000</v>
      </c>
      <c r="AC47" s="1933"/>
      <c r="AD47" s="1933">
        <f t="shared" si="42"/>
        <v>79579500</v>
      </c>
      <c r="AE47" s="1933"/>
      <c r="AF47" s="1933"/>
      <c r="AG47" s="1933">
        <f t="shared" si="48"/>
        <v>79579500</v>
      </c>
      <c r="AH47" s="1933"/>
      <c r="AI47" s="1933"/>
      <c r="AJ47" s="1933"/>
      <c r="AK47" s="1933"/>
      <c r="AL47" s="1933"/>
      <c r="AM47" s="1933"/>
      <c r="AN47" s="1933"/>
      <c r="AO47" s="1933"/>
      <c r="AP47" s="1933"/>
      <c r="AQ47" s="1933"/>
      <c r="AR47" s="1933"/>
      <c r="AS47" s="1933"/>
      <c r="AT47" s="1933"/>
      <c r="AU47" s="1933"/>
      <c r="AV47" s="1933"/>
      <c r="AW47" s="1933"/>
      <c r="AX47" s="1933">
        <f t="shared" si="49"/>
        <v>0</v>
      </c>
      <c r="AY47" s="1933"/>
      <c r="AZ47" s="1933"/>
      <c r="BA47" s="1933">
        <f t="shared" si="50"/>
        <v>0</v>
      </c>
      <c r="BC47" s="1822" t="b">
        <f t="shared" si="38"/>
        <v>1</v>
      </c>
    </row>
    <row r="48" spans="2:68">
      <c r="B48" s="2506"/>
      <c r="C48" s="2171" t="s">
        <v>2591</v>
      </c>
      <c r="D48" s="2171">
        <f>0.187*1000</f>
        <v>187</v>
      </c>
      <c r="E48" s="2171"/>
      <c r="F48" s="2172">
        <v>950000</v>
      </c>
      <c r="G48" s="2172">
        <v>1050000</v>
      </c>
      <c r="H48" s="1933">
        <f t="shared" si="43"/>
        <v>195415000.00000003</v>
      </c>
      <c r="I48" s="1933">
        <f t="shared" si="39"/>
        <v>0</v>
      </c>
      <c r="J48" s="1933"/>
      <c r="K48" s="1933">
        <f t="shared" si="40"/>
        <v>0</v>
      </c>
      <c r="L48" s="1933"/>
      <c r="M48" s="1933"/>
      <c r="N48" s="1933"/>
      <c r="O48" s="1933"/>
      <c r="P48" s="2174"/>
      <c r="Q48" s="1933"/>
      <c r="R48" s="1933">
        <f t="shared" si="41"/>
        <v>0</v>
      </c>
      <c r="S48" s="2173"/>
      <c r="T48" s="1933">
        <f t="shared" si="44"/>
        <v>97707500</v>
      </c>
      <c r="U48" s="2173"/>
      <c r="V48" s="1933"/>
      <c r="W48" s="1933">
        <f t="shared" si="45"/>
        <v>97707500</v>
      </c>
      <c r="X48" s="1933"/>
      <c r="Y48" s="1933">
        <f t="shared" si="46"/>
        <v>78166000</v>
      </c>
      <c r="Z48" s="1933"/>
      <c r="AA48" s="1933"/>
      <c r="AB48" s="1933">
        <f t="shared" si="47"/>
        <v>78166000</v>
      </c>
      <c r="AC48" s="1933"/>
      <c r="AD48" s="1933">
        <f t="shared" si="42"/>
        <v>40111500</v>
      </c>
      <c r="AE48" s="1933"/>
      <c r="AF48" s="1933"/>
      <c r="AG48" s="1933">
        <f t="shared" si="48"/>
        <v>40111500</v>
      </c>
      <c r="AH48" s="1933"/>
      <c r="AI48" s="1933"/>
      <c r="AJ48" s="1933"/>
      <c r="AK48" s="1933"/>
      <c r="AL48" s="1933"/>
      <c r="AM48" s="1933"/>
      <c r="AN48" s="1933"/>
      <c r="AO48" s="1933"/>
      <c r="AP48" s="1933"/>
      <c r="AQ48" s="1933"/>
      <c r="AR48" s="1933"/>
      <c r="AS48" s="1933"/>
      <c r="AT48" s="1933"/>
      <c r="AU48" s="1933"/>
      <c r="AV48" s="1933"/>
      <c r="AW48" s="1933"/>
      <c r="AX48" s="1933">
        <f t="shared" si="49"/>
        <v>0</v>
      </c>
      <c r="AY48" s="1933"/>
      <c r="AZ48" s="1933"/>
      <c r="BA48" s="1933">
        <f t="shared" si="50"/>
        <v>0</v>
      </c>
      <c r="BC48" s="1822" t="b">
        <f t="shared" si="38"/>
        <v>1</v>
      </c>
    </row>
    <row r="49" spans="2:68">
      <c r="B49" s="2506"/>
      <c r="C49" s="2171" t="s">
        <v>2592</v>
      </c>
      <c r="D49" s="2171">
        <v>227</v>
      </c>
      <c r="E49" s="2171"/>
      <c r="F49" s="2172">
        <v>950000</v>
      </c>
      <c r="G49" s="2172">
        <v>1050000</v>
      </c>
      <c r="H49" s="1933">
        <f t="shared" si="43"/>
        <v>237215000.00000003</v>
      </c>
      <c r="I49" s="1933"/>
      <c r="J49" s="1933"/>
      <c r="K49" s="1933">
        <f t="shared" si="40"/>
        <v>0</v>
      </c>
      <c r="L49" s="1933"/>
      <c r="M49" s="1933"/>
      <c r="N49" s="1933"/>
      <c r="O49" s="1933"/>
      <c r="P49" s="2174"/>
      <c r="Q49" s="1933"/>
      <c r="R49" s="1933">
        <f t="shared" si="41"/>
        <v>0</v>
      </c>
      <c r="S49" s="2173"/>
      <c r="T49" s="1933">
        <f t="shared" si="44"/>
        <v>118607500</v>
      </c>
      <c r="U49" s="2173"/>
      <c r="V49" s="1933"/>
      <c r="W49" s="1933">
        <f t="shared" si="45"/>
        <v>118607500</v>
      </c>
      <c r="X49" s="1933"/>
      <c r="Y49" s="1933">
        <f t="shared" si="46"/>
        <v>94886000</v>
      </c>
      <c r="Z49" s="1933"/>
      <c r="AA49" s="1933"/>
      <c r="AB49" s="1933">
        <f t="shared" si="47"/>
        <v>94886000</v>
      </c>
      <c r="AC49" s="1933"/>
      <c r="AD49" s="1933">
        <f t="shared" si="42"/>
        <v>48691500</v>
      </c>
      <c r="AE49" s="1933"/>
      <c r="AF49" s="1933"/>
      <c r="AG49" s="1933">
        <f t="shared" si="48"/>
        <v>48691500</v>
      </c>
      <c r="AH49" s="1933"/>
      <c r="AI49" s="1933"/>
      <c r="AJ49" s="1933"/>
      <c r="AK49" s="1933"/>
      <c r="AL49" s="1933"/>
      <c r="AM49" s="1933"/>
      <c r="AN49" s="1933"/>
      <c r="AO49" s="1933"/>
      <c r="AP49" s="1933"/>
      <c r="AQ49" s="1933"/>
      <c r="AR49" s="1933"/>
      <c r="AS49" s="1933"/>
      <c r="AT49" s="1933"/>
      <c r="AU49" s="1933"/>
      <c r="AV49" s="1933"/>
      <c r="AW49" s="1933"/>
      <c r="AX49" s="1933">
        <f t="shared" si="49"/>
        <v>0</v>
      </c>
      <c r="AY49" s="1933"/>
      <c r="AZ49" s="1933"/>
      <c r="BA49" s="1933">
        <f t="shared" si="50"/>
        <v>0</v>
      </c>
      <c r="BC49" s="1822" t="b">
        <f t="shared" si="38"/>
        <v>1</v>
      </c>
    </row>
    <row r="50" spans="2:68">
      <c r="B50" s="2506"/>
      <c r="C50" s="2171" t="s">
        <v>2593</v>
      </c>
      <c r="D50" s="2171">
        <v>233</v>
      </c>
      <c r="E50" s="2171"/>
      <c r="F50" s="2172">
        <v>950000</v>
      </c>
      <c r="G50" s="2172">
        <v>1050000</v>
      </c>
      <c r="H50" s="1933">
        <f t="shared" si="43"/>
        <v>243485000.00000003</v>
      </c>
      <c r="I50" s="1933"/>
      <c r="J50" s="1933"/>
      <c r="K50" s="1933">
        <f t="shared" si="40"/>
        <v>0</v>
      </c>
      <c r="L50" s="1933"/>
      <c r="M50" s="1933"/>
      <c r="N50" s="1933"/>
      <c r="O50" s="1933"/>
      <c r="P50" s="2174"/>
      <c r="Q50" s="1933"/>
      <c r="R50" s="1933">
        <f t="shared" si="41"/>
        <v>0</v>
      </c>
      <c r="S50" s="2173"/>
      <c r="T50" s="1933">
        <f t="shared" si="44"/>
        <v>121742500</v>
      </c>
      <c r="U50" s="2173"/>
      <c r="V50" s="1933"/>
      <c r="W50" s="1933">
        <f t="shared" si="45"/>
        <v>121742500</v>
      </c>
      <c r="X50" s="1933"/>
      <c r="Y50" s="1933">
        <f t="shared" si="46"/>
        <v>97394000</v>
      </c>
      <c r="Z50" s="1933"/>
      <c r="AA50" s="1933"/>
      <c r="AB50" s="1933">
        <f t="shared" si="47"/>
        <v>97394000</v>
      </c>
      <c r="AC50" s="1933"/>
      <c r="AD50" s="1933">
        <f t="shared" si="42"/>
        <v>49978500</v>
      </c>
      <c r="AE50" s="1933"/>
      <c r="AF50" s="1933"/>
      <c r="AG50" s="1933">
        <f t="shared" si="48"/>
        <v>49978500</v>
      </c>
      <c r="AH50" s="1933"/>
      <c r="AI50" s="1933"/>
      <c r="AJ50" s="1933"/>
      <c r="AK50" s="1933"/>
      <c r="AL50" s="1933"/>
      <c r="AM50" s="1933"/>
      <c r="AN50" s="1933"/>
      <c r="AO50" s="1933"/>
      <c r="AP50" s="1933"/>
      <c r="AQ50" s="1933"/>
      <c r="AR50" s="1933"/>
      <c r="AS50" s="1933"/>
      <c r="AT50" s="1933"/>
      <c r="AU50" s="1933"/>
      <c r="AV50" s="1933"/>
      <c r="AW50" s="1933"/>
      <c r="AX50" s="1933">
        <f t="shared" si="49"/>
        <v>0</v>
      </c>
      <c r="AY50" s="1933"/>
      <c r="AZ50" s="1933"/>
      <c r="BA50" s="1933">
        <f t="shared" si="50"/>
        <v>0</v>
      </c>
      <c r="BC50" s="1822" t="b">
        <f t="shared" si="38"/>
        <v>1</v>
      </c>
    </row>
    <row r="51" spans="2:68">
      <c r="B51" s="2506"/>
      <c r="C51" s="2171">
        <f>+'[6]BT 2HO'!C97</f>
        <v>0</v>
      </c>
      <c r="D51" s="2171">
        <f>+'[6]BT 2HO'!D97</f>
        <v>0</v>
      </c>
      <c r="E51" s="2171"/>
      <c r="F51" s="2172">
        <v>950000</v>
      </c>
      <c r="G51" s="2172">
        <v>1050000</v>
      </c>
      <c r="H51" s="1933">
        <f t="shared" si="43"/>
        <v>0</v>
      </c>
      <c r="I51" s="1933"/>
      <c r="J51" s="1933"/>
      <c r="K51" s="1933">
        <f t="shared" si="40"/>
        <v>0</v>
      </c>
      <c r="L51" s="1933"/>
      <c r="M51" s="1933"/>
      <c r="N51" s="1933"/>
      <c r="O51" s="1933"/>
      <c r="P51" s="2174"/>
      <c r="Q51" s="1933"/>
      <c r="R51" s="1933">
        <f t="shared" si="41"/>
        <v>0</v>
      </c>
      <c r="S51" s="2173"/>
      <c r="T51" s="1933">
        <f t="shared" si="44"/>
        <v>0</v>
      </c>
      <c r="U51" s="2173"/>
      <c r="V51" s="1933"/>
      <c r="W51" s="1933">
        <f t="shared" si="45"/>
        <v>0</v>
      </c>
      <c r="X51" s="1933"/>
      <c r="Y51" s="1933">
        <f t="shared" si="46"/>
        <v>0</v>
      </c>
      <c r="Z51" s="1933"/>
      <c r="AA51" s="1933"/>
      <c r="AB51" s="1933">
        <f t="shared" si="47"/>
        <v>0</v>
      </c>
      <c r="AC51" s="1933"/>
      <c r="AD51" s="1933">
        <f t="shared" si="42"/>
        <v>0</v>
      </c>
      <c r="AE51" s="1933"/>
      <c r="AF51" s="1933"/>
      <c r="AG51" s="1933">
        <f t="shared" si="48"/>
        <v>0</v>
      </c>
      <c r="AH51" s="1933"/>
      <c r="AI51" s="1933"/>
      <c r="AJ51" s="1933"/>
      <c r="AK51" s="1933"/>
      <c r="AL51" s="1933"/>
      <c r="AM51" s="1933"/>
      <c r="AN51" s="1933"/>
      <c r="AO51" s="1933"/>
      <c r="AP51" s="1933"/>
      <c r="AQ51" s="1933"/>
      <c r="AR51" s="1933"/>
      <c r="AS51" s="1933"/>
      <c r="AT51" s="1933"/>
      <c r="AU51" s="1933"/>
      <c r="AV51" s="1933"/>
      <c r="AW51" s="1933"/>
      <c r="AX51" s="1933">
        <f t="shared" si="49"/>
        <v>0</v>
      </c>
      <c r="AY51" s="1933"/>
      <c r="AZ51" s="1933"/>
      <c r="BA51" s="1933">
        <f t="shared" si="50"/>
        <v>0</v>
      </c>
      <c r="BC51" s="1822" t="b">
        <f t="shared" si="38"/>
        <v>1</v>
      </c>
    </row>
    <row r="52" spans="2:68">
      <c r="B52" s="2506"/>
      <c r="C52" s="2171">
        <f>+'[6]BT 2HO'!C102</f>
        <v>0</v>
      </c>
      <c r="D52" s="2171">
        <f>+'[6]BT 2HO'!D102</f>
        <v>0</v>
      </c>
      <c r="E52" s="2171"/>
      <c r="F52" s="2172">
        <v>950000</v>
      </c>
      <c r="G52" s="2172">
        <v>1050000</v>
      </c>
      <c r="H52" s="1933">
        <f t="shared" si="43"/>
        <v>0</v>
      </c>
      <c r="I52" s="1933"/>
      <c r="J52" s="1933"/>
      <c r="K52" s="1933">
        <f t="shared" si="40"/>
        <v>0</v>
      </c>
      <c r="L52" s="1933"/>
      <c r="M52" s="1933"/>
      <c r="N52" s="1933"/>
      <c r="O52" s="1933"/>
      <c r="P52" s="2174"/>
      <c r="Q52" s="1933"/>
      <c r="R52" s="1933">
        <f t="shared" si="41"/>
        <v>0</v>
      </c>
      <c r="S52" s="2173"/>
      <c r="T52" s="1933">
        <f t="shared" si="44"/>
        <v>0</v>
      </c>
      <c r="U52" s="2173"/>
      <c r="V52" s="1933"/>
      <c r="W52" s="1933">
        <f t="shared" si="45"/>
        <v>0</v>
      </c>
      <c r="X52" s="1933"/>
      <c r="Y52" s="1933">
        <f t="shared" si="46"/>
        <v>0</v>
      </c>
      <c r="Z52" s="1933"/>
      <c r="AA52" s="1933"/>
      <c r="AB52" s="1933">
        <f t="shared" si="47"/>
        <v>0</v>
      </c>
      <c r="AC52" s="1933"/>
      <c r="AD52" s="1933">
        <f t="shared" si="42"/>
        <v>0</v>
      </c>
      <c r="AE52" s="1933"/>
      <c r="AF52" s="1933"/>
      <c r="AG52" s="1933">
        <f t="shared" si="48"/>
        <v>0</v>
      </c>
      <c r="AH52" s="1933"/>
      <c r="AI52" s="1933"/>
      <c r="AJ52" s="1933"/>
      <c r="AK52" s="1933"/>
      <c r="AL52" s="1933"/>
      <c r="AM52" s="1933"/>
      <c r="AN52" s="1933"/>
      <c r="AO52" s="1933"/>
      <c r="AP52" s="1933"/>
      <c r="AQ52" s="1933"/>
      <c r="AR52" s="1933"/>
      <c r="AS52" s="1933"/>
      <c r="AT52" s="1933"/>
      <c r="AU52" s="1933"/>
      <c r="AV52" s="1933"/>
      <c r="AW52" s="1933"/>
      <c r="AX52" s="1933">
        <f t="shared" si="49"/>
        <v>0</v>
      </c>
      <c r="AY52" s="1933"/>
      <c r="AZ52" s="1933"/>
      <c r="BA52" s="1933">
        <f t="shared" si="50"/>
        <v>0</v>
      </c>
      <c r="BC52" s="1822" t="b">
        <f t="shared" si="38"/>
        <v>1</v>
      </c>
    </row>
    <row r="53" spans="2:68">
      <c r="B53" s="2506"/>
      <c r="C53" s="2171">
        <f>+'[6]BT 2HO'!C107</f>
        <v>0</v>
      </c>
      <c r="D53" s="2171">
        <f>+'[6]BT 2HO'!D107</f>
        <v>0</v>
      </c>
      <c r="E53" s="2171"/>
      <c r="F53" s="2172">
        <v>950000</v>
      </c>
      <c r="G53" s="2172">
        <v>1050000</v>
      </c>
      <c r="H53" s="1933">
        <f t="shared" si="43"/>
        <v>0</v>
      </c>
      <c r="I53" s="1933"/>
      <c r="J53" s="1933"/>
      <c r="K53" s="1933">
        <f t="shared" si="40"/>
        <v>0</v>
      </c>
      <c r="L53" s="1933"/>
      <c r="M53" s="1933"/>
      <c r="N53" s="1933"/>
      <c r="O53" s="1933"/>
      <c r="P53" s="2174"/>
      <c r="Q53" s="1933"/>
      <c r="R53" s="1933">
        <f t="shared" si="41"/>
        <v>0</v>
      </c>
      <c r="S53" s="2173"/>
      <c r="T53" s="1933">
        <f t="shared" si="44"/>
        <v>0</v>
      </c>
      <c r="U53" s="2173"/>
      <c r="V53" s="1933"/>
      <c r="W53" s="1933">
        <f t="shared" si="45"/>
        <v>0</v>
      </c>
      <c r="X53" s="1933"/>
      <c r="Y53" s="1933">
        <f t="shared" si="46"/>
        <v>0</v>
      </c>
      <c r="Z53" s="1933"/>
      <c r="AA53" s="1933"/>
      <c r="AB53" s="1933">
        <f t="shared" si="47"/>
        <v>0</v>
      </c>
      <c r="AC53" s="1933"/>
      <c r="AD53" s="1933">
        <f t="shared" si="42"/>
        <v>0</v>
      </c>
      <c r="AE53" s="1933"/>
      <c r="AF53" s="1933"/>
      <c r="AG53" s="1933">
        <f t="shared" si="48"/>
        <v>0</v>
      </c>
      <c r="AH53" s="1933"/>
      <c r="AI53" s="1933"/>
      <c r="AJ53" s="1933"/>
      <c r="AK53" s="1933"/>
      <c r="AL53" s="1933"/>
      <c r="AM53" s="1933"/>
      <c r="AN53" s="1933"/>
      <c r="AO53" s="1933"/>
      <c r="AP53" s="1933"/>
      <c r="AQ53" s="1933"/>
      <c r="AR53" s="1933"/>
      <c r="AS53" s="1933"/>
      <c r="AT53" s="1933"/>
      <c r="AU53" s="1933"/>
      <c r="AV53" s="1933"/>
      <c r="AW53" s="1933"/>
      <c r="AX53" s="1933">
        <f t="shared" si="49"/>
        <v>0</v>
      </c>
      <c r="AY53" s="1933"/>
      <c r="AZ53" s="1933"/>
      <c r="BA53" s="1933">
        <f t="shared" si="50"/>
        <v>0</v>
      </c>
      <c r="BC53" s="1822" t="b">
        <f t="shared" si="38"/>
        <v>1</v>
      </c>
    </row>
    <row r="54" spans="2:68">
      <c r="B54" s="2506"/>
      <c r="C54" s="2171">
        <f>+'[6]BT 2HO'!C112</f>
        <v>0</v>
      </c>
      <c r="D54" s="2171">
        <f>+'[6]BT 2HO'!D112</f>
        <v>0</v>
      </c>
      <c r="E54" s="2171"/>
      <c r="F54" s="2172">
        <v>950000</v>
      </c>
      <c r="G54" s="2172">
        <v>1050000</v>
      </c>
      <c r="H54" s="1933">
        <f t="shared" si="43"/>
        <v>0</v>
      </c>
      <c r="I54" s="1933"/>
      <c r="J54" s="1933"/>
      <c r="K54" s="1933">
        <f t="shared" si="40"/>
        <v>0</v>
      </c>
      <c r="L54" s="1933"/>
      <c r="M54" s="1933"/>
      <c r="N54" s="1933"/>
      <c r="O54" s="1933"/>
      <c r="P54" s="2174"/>
      <c r="Q54" s="1933"/>
      <c r="R54" s="1933">
        <f t="shared" si="41"/>
        <v>0</v>
      </c>
      <c r="S54" s="2173"/>
      <c r="T54" s="1933">
        <f t="shared" si="44"/>
        <v>0</v>
      </c>
      <c r="U54" s="2173"/>
      <c r="V54" s="1933"/>
      <c r="W54" s="1933">
        <f t="shared" si="45"/>
        <v>0</v>
      </c>
      <c r="X54" s="1933"/>
      <c r="Y54" s="1933">
        <f t="shared" si="46"/>
        <v>0</v>
      </c>
      <c r="Z54" s="1933"/>
      <c r="AA54" s="1933"/>
      <c r="AB54" s="1933">
        <f t="shared" si="47"/>
        <v>0</v>
      </c>
      <c r="AC54" s="1933"/>
      <c r="AD54" s="1933">
        <f t="shared" si="42"/>
        <v>0</v>
      </c>
      <c r="AE54" s="1933"/>
      <c r="AF54" s="1933"/>
      <c r="AG54" s="1933">
        <f t="shared" si="48"/>
        <v>0</v>
      </c>
      <c r="AH54" s="1933"/>
      <c r="AI54" s="1933"/>
      <c r="AJ54" s="1933"/>
      <c r="AK54" s="1933"/>
      <c r="AL54" s="1933"/>
      <c r="AM54" s="1933"/>
      <c r="AN54" s="1933"/>
      <c r="AO54" s="1933"/>
      <c r="AP54" s="1933"/>
      <c r="AQ54" s="1933"/>
      <c r="AR54" s="1933"/>
      <c r="AS54" s="1933"/>
      <c r="AT54" s="1933"/>
      <c r="AU54" s="1933"/>
      <c r="AV54" s="1933"/>
      <c r="AW54" s="1933"/>
      <c r="AX54" s="1933">
        <f t="shared" si="49"/>
        <v>0</v>
      </c>
      <c r="AY54" s="1933"/>
      <c r="AZ54" s="1933"/>
      <c r="BA54" s="1933">
        <f t="shared" si="50"/>
        <v>0</v>
      </c>
      <c r="BC54" s="1822" t="b">
        <f t="shared" si="38"/>
        <v>1</v>
      </c>
    </row>
    <row r="56" spans="2:68" ht="15.6" customHeight="1">
      <c r="B56" s="2503" t="s">
        <v>132</v>
      </c>
      <c r="C56" s="2503" t="s">
        <v>2558</v>
      </c>
      <c r="D56" s="2504" t="s">
        <v>135</v>
      </c>
      <c r="E56" s="2163"/>
      <c r="F56" s="2505" t="s">
        <v>2559</v>
      </c>
      <c r="G56" s="2505" t="s">
        <v>2560</v>
      </c>
      <c r="H56" s="2502" t="s">
        <v>138</v>
      </c>
      <c r="I56" s="2507" t="s">
        <v>2561</v>
      </c>
      <c r="J56" s="2507" t="s">
        <v>2562</v>
      </c>
      <c r="K56" s="2509" t="s">
        <v>2563</v>
      </c>
      <c r="L56" s="2510"/>
      <c r="M56" s="2510"/>
      <c r="N56" s="2510"/>
      <c r="O56" s="2510"/>
      <c r="P56" s="2510"/>
      <c r="Q56" s="2510"/>
      <c r="R56" s="2511"/>
      <c r="S56" s="2502" t="s">
        <v>2574</v>
      </c>
      <c r="T56" s="2502"/>
      <c r="U56" s="2502"/>
      <c r="V56" s="2502"/>
      <c r="W56" s="2502"/>
      <c r="X56" s="2502" t="s">
        <v>238</v>
      </c>
      <c r="Y56" s="2502"/>
      <c r="Z56" s="2502"/>
      <c r="AA56" s="2502"/>
      <c r="AB56" s="2502"/>
      <c r="AC56" s="2502" t="s">
        <v>109</v>
      </c>
      <c r="AD56" s="2502"/>
      <c r="AE56" s="2502"/>
      <c r="AF56" s="2502"/>
      <c r="AG56" s="2502"/>
      <c r="AH56" s="2164"/>
      <c r="AI56" s="2164"/>
      <c r="AJ56" s="2164"/>
      <c r="AK56" s="2164"/>
      <c r="AL56" s="2164"/>
      <c r="AM56" s="2164"/>
      <c r="AN56" s="2164"/>
      <c r="AO56" s="2164"/>
      <c r="AP56" s="2164"/>
      <c r="AQ56" s="2164"/>
      <c r="AR56" s="2164"/>
      <c r="AS56" s="2164"/>
      <c r="AT56" s="2164"/>
      <c r="AU56" s="2164"/>
      <c r="AV56" s="2164"/>
      <c r="AW56" s="2502" t="s">
        <v>110</v>
      </c>
      <c r="AX56" s="2502"/>
      <c r="AY56" s="2502"/>
      <c r="AZ56" s="2502"/>
      <c r="BA56" s="2502"/>
    </row>
    <row r="57" spans="2:68" ht="13.5">
      <c r="B57" s="2503"/>
      <c r="C57" s="2503"/>
      <c r="D57" s="2504"/>
      <c r="E57" s="2163"/>
      <c r="F57" s="2505"/>
      <c r="G57" s="2505"/>
      <c r="H57" s="2502"/>
      <c r="I57" s="2508"/>
      <c r="J57" s="2508"/>
      <c r="K57" s="2165" t="s">
        <v>2564</v>
      </c>
      <c r="L57" s="2165" t="s">
        <v>2565</v>
      </c>
      <c r="M57" s="2165" t="s">
        <v>2566</v>
      </c>
      <c r="N57" s="2165" t="s">
        <v>2567</v>
      </c>
      <c r="O57" s="2165" t="s">
        <v>2568</v>
      </c>
      <c r="P57" s="2185" t="s">
        <v>2569</v>
      </c>
      <c r="Q57" s="2165" t="s">
        <v>2570</v>
      </c>
      <c r="R57" s="2165" t="s">
        <v>2571</v>
      </c>
      <c r="S57" s="2164" t="s">
        <v>148</v>
      </c>
      <c r="T57" s="2168">
        <v>0.5</v>
      </c>
      <c r="U57" s="2164" t="s">
        <v>148</v>
      </c>
      <c r="V57" s="2169" t="s">
        <v>2572</v>
      </c>
      <c r="W57" s="2169" t="s">
        <v>2573</v>
      </c>
      <c r="X57" s="2164" t="s">
        <v>148</v>
      </c>
      <c r="Y57" s="2168">
        <v>0.4</v>
      </c>
      <c r="Z57" s="2164" t="s">
        <v>148</v>
      </c>
      <c r="AA57" s="2169" t="s">
        <v>2572</v>
      </c>
      <c r="AB57" s="2169" t="s">
        <v>2573</v>
      </c>
      <c r="AC57" s="2164" t="s">
        <v>148</v>
      </c>
      <c r="AD57" s="2168">
        <v>0.1</v>
      </c>
      <c r="AE57" s="2164" t="s">
        <v>148</v>
      </c>
      <c r="AF57" s="2169" t="s">
        <v>2572</v>
      </c>
      <c r="AG57" s="2169" t="s">
        <v>2573</v>
      </c>
      <c r="AH57" s="2169"/>
      <c r="AI57" s="2169"/>
      <c r="AJ57" s="2169"/>
      <c r="AK57" s="2169"/>
      <c r="AL57" s="2169"/>
      <c r="AM57" s="2169"/>
      <c r="AN57" s="2169"/>
      <c r="AO57" s="2169"/>
      <c r="AP57" s="2169"/>
      <c r="AQ57" s="2169"/>
      <c r="AR57" s="2169"/>
      <c r="AS57" s="2169"/>
      <c r="AT57" s="2169"/>
      <c r="AU57" s="2169"/>
      <c r="AV57" s="2169"/>
      <c r="AW57" s="2164" t="s">
        <v>148</v>
      </c>
      <c r="AX57" s="2168">
        <v>0</v>
      </c>
      <c r="AY57" s="2164" t="s">
        <v>148</v>
      </c>
      <c r="AZ57" s="2169" t="s">
        <v>2572</v>
      </c>
      <c r="BA57" s="2169" t="s">
        <v>2573</v>
      </c>
    </row>
    <row r="58" spans="2:68">
      <c r="B58" s="2506" t="s">
        <v>2594</v>
      </c>
      <c r="C58" s="2170"/>
      <c r="D58" s="2171">
        <f>+SUM(D59:D72)</f>
        <v>2877.38</v>
      </c>
      <c r="E58" s="2171"/>
      <c r="F58" s="2172">
        <v>950000</v>
      </c>
      <c r="G58" s="2172">
        <v>1050000</v>
      </c>
      <c r="H58" s="1933">
        <f>+SUM(H59:H72)</f>
        <v>3006862100</v>
      </c>
      <c r="I58" s="1933">
        <f>+SUM(I59:I72)</f>
        <v>47583800</v>
      </c>
      <c r="J58" s="1933">
        <f t="shared" ref="J58" si="51">+SUM(J59:J72)</f>
        <v>31083800</v>
      </c>
      <c r="K58" s="1933">
        <f>+SUM(K59:K72)</f>
        <v>0</v>
      </c>
      <c r="L58" s="1933">
        <f>+SUM(L59:L72)</f>
        <v>0</v>
      </c>
      <c r="M58" s="1933">
        <f>+SUM(M59:M72)</f>
        <v>0</v>
      </c>
      <c r="N58" s="1933">
        <f>+SUM(N59:N72)</f>
        <v>0</v>
      </c>
      <c r="O58" s="1933">
        <f>+SUM(O59:O72)</f>
        <v>0</v>
      </c>
      <c r="P58" s="1933"/>
      <c r="Q58" s="1933">
        <f>+SUM(Q59:Q72)</f>
        <v>0</v>
      </c>
      <c r="R58" s="1933">
        <f>+SUM(R59:R72)</f>
        <v>0</v>
      </c>
      <c r="S58" s="2173"/>
      <c r="T58" s="1933">
        <f>+SUM(T59:T72)</f>
        <v>1503431050</v>
      </c>
      <c r="U58" s="2173"/>
      <c r="V58" s="1933">
        <f>+SUM(V59:V72)</f>
        <v>47583800</v>
      </c>
      <c r="W58" s="1933">
        <f>+SUM(W59:W72)</f>
        <v>1455847250</v>
      </c>
      <c r="X58" s="1933"/>
      <c r="Y58" s="1933">
        <f t="shared" ref="Y58" si="52">+SUM(Y59:Y72)</f>
        <v>1202744840</v>
      </c>
      <c r="Z58" s="1933"/>
      <c r="AA58" s="1933"/>
      <c r="AB58" s="1933">
        <f>+SUM(AB59:AB72)</f>
        <v>1202744840</v>
      </c>
      <c r="AC58" s="1933"/>
      <c r="AD58" s="1933">
        <f t="shared" ref="AD58" si="53">+SUM(AD59:AD72)</f>
        <v>617198010</v>
      </c>
      <c r="AE58" s="1933"/>
      <c r="AF58" s="1933"/>
      <c r="AG58" s="1933">
        <f>+SUM(AG59:AG72)</f>
        <v>617198010</v>
      </c>
      <c r="AH58" s="1933"/>
      <c r="AI58" s="1933"/>
      <c r="AJ58" s="1933"/>
      <c r="AK58" s="1933"/>
      <c r="AL58" s="1933"/>
      <c r="AM58" s="1933"/>
      <c r="AN58" s="1933"/>
      <c r="AO58" s="1933"/>
      <c r="AP58" s="1933"/>
      <c r="AQ58" s="1933"/>
      <c r="AR58" s="1933"/>
      <c r="AS58" s="1933"/>
      <c r="AT58" s="1933"/>
      <c r="AU58" s="1933"/>
      <c r="AV58" s="1933"/>
      <c r="AW58" s="1933"/>
      <c r="AX58" s="1933">
        <f t="shared" ref="AX58" si="54">+SUM(AX59:AX72)</f>
        <v>0</v>
      </c>
      <c r="AY58" s="1933"/>
      <c r="AZ58" s="1933"/>
      <c r="BA58" s="1933">
        <f>+SUM(BA59:BA72)</f>
        <v>0</v>
      </c>
      <c r="BC58" s="1822" t="b">
        <f t="shared" ref="BC58:BC72" si="55">T58+Y58+AD58+AX58+K58=D58*G58*1.1</f>
        <v>1</v>
      </c>
    </row>
    <row r="59" spans="2:68">
      <c r="B59" s="2506"/>
      <c r="C59" s="2171" t="s">
        <v>603</v>
      </c>
      <c r="D59" s="2171">
        <f>+'[6]BT 6HO'!D11</f>
        <v>150</v>
      </c>
      <c r="E59" s="2171"/>
      <c r="F59" s="2172">
        <v>950000</v>
      </c>
      <c r="G59" s="2172">
        <v>1050000</v>
      </c>
      <c r="H59" s="1933">
        <f>+F59*D59*1.1</f>
        <v>156750000</v>
      </c>
      <c r="I59" s="1933">
        <f t="shared" ref="I59:I66" si="56">+V59+AA59+AF59+AZ59</f>
        <v>16500000</v>
      </c>
      <c r="J59" s="1933"/>
      <c r="K59" s="1933">
        <f t="shared" ref="K59:K72" si="57">+SUM(L59:O59)</f>
        <v>0</v>
      </c>
      <c r="L59" s="1933"/>
      <c r="M59" s="1933"/>
      <c r="N59" s="1933"/>
      <c r="O59" s="1933"/>
      <c r="P59" s="2174"/>
      <c r="Q59" s="1933"/>
      <c r="R59" s="1933">
        <f t="shared" ref="R59:R72" si="58">+K59-Q59</f>
        <v>0</v>
      </c>
      <c r="S59" s="2173">
        <f>+'[6]BT 6HO'!N12</f>
        <v>45631</v>
      </c>
      <c r="T59" s="1933">
        <f>+ROUND($H59*T$57,)</f>
        <v>78375000</v>
      </c>
      <c r="U59" s="2173">
        <f>+'[6]BT 6HO'!O12</f>
        <v>45631</v>
      </c>
      <c r="V59" s="1933">
        <f>+'[6]BT 6HO'!R12+'[6]BT 6HO'!R13</f>
        <v>16500000</v>
      </c>
      <c r="W59" s="1933">
        <f>+T59-V59</f>
        <v>61875000</v>
      </c>
      <c r="X59" s="1933"/>
      <c r="Y59" s="1933">
        <f>+ROUND($H59*Y$57,)</f>
        <v>62700000</v>
      </c>
      <c r="Z59" s="1933"/>
      <c r="AA59" s="1933"/>
      <c r="AB59" s="1933">
        <f>+Y59-AA59</f>
        <v>62700000</v>
      </c>
      <c r="AC59" s="1933"/>
      <c r="AD59" s="1933">
        <f t="shared" ref="AD59:AD72" si="59">+ROUND(D59*G59*1.1-Y59-T59-K59,)</f>
        <v>32175000</v>
      </c>
      <c r="AE59" s="1933"/>
      <c r="AF59" s="1933"/>
      <c r="AG59" s="1933">
        <f>+AD59-AF59</f>
        <v>32175000</v>
      </c>
      <c r="AH59" s="1933"/>
      <c r="AI59" s="1933"/>
      <c r="AJ59" s="1933"/>
      <c r="AK59" s="1933"/>
      <c r="AL59" s="1933"/>
      <c r="AM59" s="1933"/>
      <c r="AN59" s="1933"/>
      <c r="AO59" s="1933"/>
      <c r="AP59" s="1933"/>
      <c r="AQ59" s="1933"/>
      <c r="AR59" s="1933"/>
      <c r="AS59" s="1933"/>
      <c r="AT59" s="1933"/>
      <c r="AU59" s="1933"/>
      <c r="AV59" s="1933"/>
      <c r="AW59" s="1933"/>
      <c r="AX59" s="1933">
        <f>+ROUND($H59*AX$57,)</f>
        <v>0</v>
      </c>
      <c r="AY59" s="1933"/>
      <c r="AZ59" s="1933"/>
      <c r="BA59" s="1933">
        <f>+AX59-AZ59</f>
        <v>0</v>
      </c>
      <c r="BC59" s="1822" t="b">
        <f t="shared" si="55"/>
        <v>1</v>
      </c>
    </row>
    <row r="60" spans="2:68" s="2181" customFormat="1">
      <c r="B60" s="2506"/>
      <c r="C60" s="2175" t="s">
        <v>2595</v>
      </c>
      <c r="D60" s="2175">
        <f>+'[6]BT 6HO'!D16</f>
        <v>144.15</v>
      </c>
      <c r="E60" s="2175"/>
      <c r="F60" s="2176">
        <v>950000</v>
      </c>
      <c r="G60" s="2176">
        <v>1050000</v>
      </c>
      <c r="H60" s="2177">
        <f t="shared" ref="H60:H72" si="60">+F60*D60*1.1</f>
        <v>150636750</v>
      </c>
      <c r="I60" s="2177">
        <f t="shared" si="56"/>
        <v>15856500</v>
      </c>
      <c r="J60" s="2177">
        <f>+I60</f>
        <v>15856500</v>
      </c>
      <c r="K60" s="2177">
        <f t="shared" si="57"/>
        <v>0</v>
      </c>
      <c r="L60" s="2177"/>
      <c r="M60" s="2177"/>
      <c r="N60" s="2177"/>
      <c r="O60" s="2177"/>
      <c r="P60" s="2178"/>
      <c r="Q60" s="2177"/>
      <c r="R60" s="2177">
        <f t="shared" si="58"/>
        <v>0</v>
      </c>
      <c r="S60" s="2179">
        <f>+'[6]BT 6HO'!N17</f>
        <v>45631</v>
      </c>
      <c r="T60" s="2177">
        <f t="shared" ref="T60:T72" si="61">+ROUND($H60*T$57,)</f>
        <v>75318375</v>
      </c>
      <c r="U60" s="2179">
        <f>+'[6]BT 6HO'!O17</f>
        <v>45631</v>
      </c>
      <c r="V60" s="2177">
        <f>+'[6]BT 6HO'!R17+'[6]BT 6HO'!R18</f>
        <v>15856500</v>
      </c>
      <c r="W60" s="2177">
        <f t="shared" ref="W60:W72" si="62">+T60-V60</f>
        <v>59461875</v>
      </c>
      <c r="X60" s="2177"/>
      <c r="Y60" s="2177">
        <f t="shared" ref="Y60:Y72" si="63">+ROUND($H60*Y$57,)</f>
        <v>60254700</v>
      </c>
      <c r="Z60" s="2177"/>
      <c r="AA60" s="2177"/>
      <c r="AB60" s="2177">
        <f t="shared" ref="AB60:AB72" si="64">+Y60-AA60</f>
        <v>60254700</v>
      </c>
      <c r="AC60" s="2177"/>
      <c r="AD60" s="2177">
        <f t="shared" si="59"/>
        <v>30920175</v>
      </c>
      <c r="AE60" s="2177"/>
      <c r="AF60" s="2177"/>
      <c r="AG60" s="2177">
        <f t="shared" ref="AG60:AG72" si="65">+AD60-AF60</f>
        <v>30920175</v>
      </c>
      <c r="AH60" s="2177"/>
      <c r="AI60" s="2177"/>
      <c r="AJ60" s="2177"/>
      <c r="AK60" s="2177"/>
      <c r="AL60" s="2177"/>
      <c r="AM60" s="2177"/>
      <c r="AN60" s="2177"/>
      <c r="AO60" s="2177"/>
      <c r="AP60" s="2177"/>
      <c r="AQ60" s="2177"/>
      <c r="AR60" s="2177"/>
      <c r="AS60" s="2177"/>
      <c r="AT60" s="2177"/>
      <c r="AU60" s="2177"/>
      <c r="AV60" s="2177"/>
      <c r="AW60" s="2177"/>
      <c r="AX60" s="2177">
        <f t="shared" ref="AX60:AX72" si="66">+ROUND($H60*AX$57,)</f>
        <v>0</v>
      </c>
      <c r="AY60" s="2177"/>
      <c r="AZ60" s="2177"/>
      <c r="BA60" s="2177">
        <f t="shared" ref="BA60:BA72" si="67">+AX60-AZ60</f>
        <v>0</v>
      </c>
      <c r="BB60" s="2180"/>
      <c r="BC60" s="2180" t="b">
        <f t="shared" si="55"/>
        <v>1</v>
      </c>
      <c r="BD60" s="2180"/>
      <c r="BE60" s="2180"/>
      <c r="BF60" s="2180"/>
      <c r="BG60" s="2180"/>
      <c r="BH60" s="2180"/>
      <c r="BI60" s="2180"/>
      <c r="BJ60" s="2180"/>
      <c r="BK60" s="2180"/>
      <c r="BL60" s="2180"/>
      <c r="BM60" s="2180"/>
      <c r="BN60" s="2180"/>
      <c r="BO60" s="2180"/>
      <c r="BP60" s="2180"/>
    </row>
    <row r="61" spans="2:68" s="2181" customFormat="1">
      <c r="B61" s="2506"/>
      <c r="C61" s="2175" t="s">
        <v>2596</v>
      </c>
      <c r="D61" s="2175">
        <f>+'[6]BT 6HO'!D21</f>
        <v>138.43</v>
      </c>
      <c r="E61" s="2175"/>
      <c r="F61" s="2176">
        <v>950000</v>
      </c>
      <c r="G61" s="2176">
        <v>1050000</v>
      </c>
      <c r="H61" s="2177">
        <f t="shared" si="60"/>
        <v>144659350</v>
      </c>
      <c r="I61" s="2177">
        <f t="shared" si="56"/>
        <v>15227300</v>
      </c>
      <c r="J61" s="2177">
        <f>+I61</f>
        <v>15227300</v>
      </c>
      <c r="K61" s="2177">
        <f t="shared" si="57"/>
        <v>0</v>
      </c>
      <c r="L61" s="2177"/>
      <c r="M61" s="2177"/>
      <c r="N61" s="2177"/>
      <c r="O61" s="2177"/>
      <c r="P61" s="2178"/>
      <c r="Q61" s="2177"/>
      <c r="R61" s="2177">
        <f t="shared" si="58"/>
        <v>0</v>
      </c>
      <c r="S61" s="2179">
        <f>+'[6]BT 6HO'!N22</f>
        <v>45631</v>
      </c>
      <c r="T61" s="2177">
        <f t="shared" si="61"/>
        <v>72329675</v>
      </c>
      <c r="U61" s="2179">
        <f>+'[6]BT 6HO'!O22</f>
        <v>45631</v>
      </c>
      <c r="V61" s="2177">
        <f>+'[6]BT 6HO'!R22+'[6]BT 6HO'!R23</f>
        <v>15227300</v>
      </c>
      <c r="W61" s="2177">
        <f t="shared" si="62"/>
        <v>57102375</v>
      </c>
      <c r="X61" s="2177"/>
      <c r="Y61" s="2177">
        <f t="shared" si="63"/>
        <v>57863740</v>
      </c>
      <c r="Z61" s="2177"/>
      <c r="AA61" s="2177"/>
      <c r="AB61" s="2177">
        <f t="shared" si="64"/>
        <v>57863740</v>
      </c>
      <c r="AC61" s="2177"/>
      <c r="AD61" s="2177">
        <f t="shared" si="59"/>
        <v>29693235</v>
      </c>
      <c r="AE61" s="2177"/>
      <c r="AF61" s="2177"/>
      <c r="AG61" s="2177">
        <f t="shared" si="65"/>
        <v>29693235</v>
      </c>
      <c r="AH61" s="2177"/>
      <c r="AI61" s="2177"/>
      <c r="AJ61" s="2177"/>
      <c r="AK61" s="2177"/>
      <c r="AL61" s="2177"/>
      <c r="AM61" s="2177"/>
      <c r="AN61" s="2177"/>
      <c r="AO61" s="2177"/>
      <c r="AP61" s="2177"/>
      <c r="AQ61" s="2177"/>
      <c r="AR61" s="2177"/>
      <c r="AS61" s="2177"/>
      <c r="AT61" s="2177"/>
      <c r="AU61" s="2177"/>
      <c r="AV61" s="2177"/>
      <c r="AW61" s="2177"/>
      <c r="AX61" s="2177">
        <f t="shared" si="66"/>
        <v>0</v>
      </c>
      <c r="AY61" s="2177"/>
      <c r="AZ61" s="2177"/>
      <c r="BA61" s="2177">
        <f t="shared" si="67"/>
        <v>0</v>
      </c>
      <c r="BB61" s="2180"/>
      <c r="BC61" s="2180" t="b">
        <f t="shared" si="55"/>
        <v>1</v>
      </c>
      <c r="BD61" s="2180"/>
      <c r="BE61" s="2180"/>
      <c r="BF61" s="2180"/>
      <c r="BG61" s="2180"/>
      <c r="BH61" s="2180"/>
      <c r="BI61" s="2180"/>
      <c r="BJ61" s="2180"/>
      <c r="BK61" s="2180"/>
      <c r="BL61" s="2180"/>
      <c r="BM61" s="2180"/>
      <c r="BN61" s="2180"/>
      <c r="BO61" s="2180"/>
      <c r="BP61" s="2180"/>
    </row>
    <row r="62" spans="2:68">
      <c r="B62" s="2506"/>
      <c r="C62" s="2171" t="s">
        <v>578</v>
      </c>
      <c r="D62" s="2171">
        <f>+'[6]BT 6HO'!D26</f>
        <v>2444.8000000000002</v>
      </c>
      <c r="E62" s="2171"/>
      <c r="F62" s="2172">
        <v>950000</v>
      </c>
      <c r="G62" s="2172">
        <v>1050000</v>
      </c>
      <c r="H62" s="1933">
        <f t="shared" si="60"/>
        <v>2554816000</v>
      </c>
      <c r="I62" s="1933">
        <f t="shared" si="56"/>
        <v>0</v>
      </c>
      <c r="J62" s="1933"/>
      <c r="K62" s="1933">
        <f t="shared" si="57"/>
        <v>0</v>
      </c>
      <c r="L62" s="1933"/>
      <c r="M62" s="1933"/>
      <c r="N62" s="1933"/>
      <c r="O62" s="1933"/>
      <c r="P62" s="2174"/>
      <c r="Q62" s="1933"/>
      <c r="R62" s="1933">
        <f t="shared" si="58"/>
        <v>0</v>
      </c>
      <c r="S62" s="2173"/>
      <c r="T62" s="1933">
        <f t="shared" si="61"/>
        <v>1277408000</v>
      </c>
      <c r="U62" s="2173"/>
      <c r="V62" s="1933"/>
      <c r="W62" s="1933">
        <f t="shared" si="62"/>
        <v>1277408000</v>
      </c>
      <c r="X62" s="1933"/>
      <c r="Y62" s="1933">
        <f t="shared" si="63"/>
        <v>1021926400</v>
      </c>
      <c r="Z62" s="1933"/>
      <c r="AA62" s="1933"/>
      <c r="AB62" s="1933">
        <f t="shared" si="64"/>
        <v>1021926400</v>
      </c>
      <c r="AC62" s="1933"/>
      <c r="AD62" s="1933">
        <f t="shared" si="59"/>
        <v>524409600</v>
      </c>
      <c r="AE62" s="1933"/>
      <c r="AF62" s="1933"/>
      <c r="AG62" s="1933">
        <f t="shared" si="65"/>
        <v>524409600</v>
      </c>
      <c r="AH62" s="1933"/>
      <c r="AI62" s="1933"/>
      <c r="AJ62" s="1933"/>
      <c r="AK62" s="1933"/>
      <c r="AL62" s="1933"/>
      <c r="AM62" s="1933"/>
      <c r="AN62" s="1933"/>
      <c r="AO62" s="1933"/>
      <c r="AP62" s="1933"/>
      <c r="AQ62" s="1933"/>
      <c r="AR62" s="1933"/>
      <c r="AS62" s="1933"/>
      <c r="AT62" s="1933"/>
      <c r="AU62" s="1933"/>
      <c r="AV62" s="1933"/>
      <c r="AW62" s="1933"/>
      <c r="AX62" s="1933">
        <f t="shared" si="66"/>
        <v>0</v>
      </c>
      <c r="AY62" s="1933"/>
      <c r="AZ62" s="1933"/>
      <c r="BA62" s="1933">
        <f t="shared" si="67"/>
        <v>0</v>
      </c>
      <c r="BC62" s="1822" t="b">
        <f t="shared" si="55"/>
        <v>1</v>
      </c>
    </row>
    <row r="63" spans="2:68">
      <c r="B63" s="2506"/>
      <c r="C63" s="2171">
        <f>+'[6]BT 2HO'!C85</f>
        <v>0</v>
      </c>
      <c r="D63" s="2171">
        <f>+'[6]BT 2HO'!D85</f>
        <v>0</v>
      </c>
      <c r="E63" s="2171"/>
      <c r="F63" s="2172">
        <v>950000</v>
      </c>
      <c r="G63" s="2172">
        <v>1050000</v>
      </c>
      <c r="H63" s="1933">
        <f t="shared" si="60"/>
        <v>0</v>
      </c>
      <c r="I63" s="1933">
        <f t="shared" si="56"/>
        <v>0</v>
      </c>
      <c r="J63" s="1933"/>
      <c r="K63" s="1933">
        <f t="shared" si="57"/>
        <v>0</v>
      </c>
      <c r="L63" s="1933"/>
      <c r="M63" s="1933"/>
      <c r="N63" s="1933"/>
      <c r="O63" s="1933"/>
      <c r="P63" s="2174"/>
      <c r="Q63" s="1933"/>
      <c r="R63" s="1933">
        <f t="shared" si="58"/>
        <v>0</v>
      </c>
      <c r="S63" s="2173"/>
      <c r="T63" s="1933">
        <f t="shared" si="61"/>
        <v>0</v>
      </c>
      <c r="U63" s="2173"/>
      <c r="V63" s="1933"/>
      <c r="W63" s="1933">
        <f t="shared" si="62"/>
        <v>0</v>
      </c>
      <c r="X63" s="1933"/>
      <c r="Y63" s="1933">
        <f t="shared" si="63"/>
        <v>0</v>
      </c>
      <c r="Z63" s="1933"/>
      <c r="AA63" s="1933"/>
      <c r="AB63" s="1933">
        <f t="shared" si="64"/>
        <v>0</v>
      </c>
      <c r="AC63" s="1933"/>
      <c r="AD63" s="1933">
        <f t="shared" si="59"/>
        <v>0</v>
      </c>
      <c r="AE63" s="1933"/>
      <c r="AF63" s="1933"/>
      <c r="AG63" s="1933">
        <f t="shared" si="65"/>
        <v>0</v>
      </c>
      <c r="AH63" s="1933"/>
      <c r="AI63" s="1933"/>
      <c r="AJ63" s="1933"/>
      <c r="AK63" s="1933"/>
      <c r="AL63" s="1933"/>
      <c r="AM63" s="1933"/>
      <c r="AN63" s="1933"/>
      <c r="AO63" s="1933"/>
      <c r="AP63" s="1933"/>
      <c r="AQ63" s="1933"/>
      <c r="AR63" s="1933"/>
      <c r="AS63" s="1933"/>
      <c r="AT63" s="1933"/>
      <c r="AU63" s="1933"/>
      <c r="AV63" s="1933"/>
      <c r="AW63" s="1933"/>
      <c r="AX63" s="1933">
        <f t="shared" si="66"/>
        <v>0</v>
      </c>
      <c r="AY63" s="1933"/>
      <c r="AZ63" s="1933"/>
      <c r="BA63" s="1933">
        <f t="shared" si="67"/>
        <v>0</v>
      </c>
      <c r="BC63" s="1822" t="b">
        <f t="shared" si="55"/>
        <v>1</v>
      </c>
    </row>
    <row r="64" spans="2:68">
      <c r="B64" s="2506"/>
      <c r="C64" s="2171">
        <f>+'[6]BT 2HO'!C90</f>
        <v>0</v>
      </c>
      <c r="D64" s="2171">
        <f>+'[6]BT 2HO'!D90</f>
        <v>0</v>
      </c>
      <c r="E64" s="2171"/>
      <c r="F64" s="2172">
        <v>950000</v>
      </c>
      <c r="G64" s="2172">
        <v>1050000</v>
      </c>
      <c r="H64" s="1933">
        <f t="shared" si="60"/>
        <v>0</v>
      </c>
      <c r="I64" s="1933">
        <f t="shared" si="56"/>
        <v>0</v>
      </c>
      <c r="J64" s="1933"/>
      <c r="K64" s="1933">
        <f t="shared" si="57"/>
        <v>0</v>
      </c>
      <c r="L64" s="1933"/>
      <c r="M64" s="1933"/>
      <c r="N64" s="1933"/>
      <c r="O64" s="1933"/>
      <c r="P64" s="2174"/>
      <c r="Q64" s="1933"/>
      <c r="R64" s="1933">
        <f t="shared" si="58"/>
        <v>0</v>
      </c>
      <c r="S64" s="2173"/>
      <c r="T64" s="1933">
        <f t="shared" si="61"/>
        <v>0</v>
      </c>
      <c r="U64" s="2173"/>
      <c r="V64" s="1933"/>
      <c r="W64" s="1933">
        <f t="shared" si="62"/>
        <v>0</v>
      </c>
      <c r="X64" s="1933"/>
      <c r="Y64" s="1933">
        <f t="shared" si="63"/>
        <v>0</v>
      </c>
      <c r="Z64" s="1933"/>
      <c r="AA64" s="1933"/>
      <c r="AB64" s="1933">
        <f t="shared" si="64"/>
        <v>0</v>
      </c>
      <c r="AC64" s="1933"/>
      <c r="AD64" s="1933">
        <f t="shared" si="59"/>
        <v>0</v>
      </c>
      <c r="AE64" s="1933"/>
      <c r="AF64" s="1933"/>
      <c r="AG64" s="1933">
        <f t="shared" si="65"/>
        <v>0</v>
      </c>
      <c r="AH64" s="1933"/>
      <c r="AI64" s="1933"/>
      <c r="AJ64" s="1933"/>
      <c r="AK64" s="1933"/>
      <c r="AL64" s="1933"/>
      <c r="AM64" s="1933"/>
      <c r="AN64" s="1933"/>
      <c r="AO64" s="1933"/>
      <c r="AP64" s="1933"/>
      <c r="AQ64" s="1933"/>
      <c r="AR64" s="1933"/>
      <c r="AS64" s="1933"/>
      <c r="AT64" s="1933"/>
      <c r="AU64" s="1933"/>
      <c r="AV64" s="1933"/>
      <c r="AW64" s="1933"/>
      <c r="AX64" s="1933">
        <f t="shared" si="66"/>
        <v>0</v>
      </c>
      <c r="AY64" s="1933"/>
      <c r="AZ64" s="1933"/>
      <c r="BA64" s="1933">
        <f t="shared" si="67"/>
        <v>0</v>
      </c>
      <c r="BC64" s="1822" t="b">
        <f t="shared" si="55"/>
        <v>1</v>
      </c>
    </row>
    <row r="65" spans="2:68">
      <c r="B65" s="2506"/>
      <c r="C65" s="2171">
        <f>+'[6]BT 2HO'!C95</f>
        <v>0</v>
      </c>
      <c r="D65" s="2171">
        <f>+'[6]BT 2HO'!D95</f>
        <v>0</v>
      </c>
      <c r="E65" s="2171"/>
      <c r="F65" s="2172">
        <v>950000</v>
      </c>
      <c r="G65" s="2172">
        <v>1050000</v>
      </c>
      <c r="H65" s="1933">
        <f t="shared" si="60"/>
        <v>0</v>
      </c>
      <c r="I65" s="1933">
        <f t="shared" si="56"/>
        <v>0</v>
      </c>
      <c r="J65" s="1933"/>
      <c r="K65" s="1933">
        <f t="shared" si="57"/>
        <v>0</v>
      </c>
      <c r="L65" s="1933"/>
      <c r="M65" s="1933"/>
      <c r="N65" s="1933"/>
      <c r="O65" s="1933"/>
      <c r="P65" s="2174"/>
      <c r="Q65" s="1933"/>
      <c r="R65" s="1933">
        <f t="shared" si="58"/>
        <v>0</v>
      </c>
      <c r="S65" s="2173"/>
      <c r="T65" s="1933">
        <f t="shared" si="61"/>
        <v>0</v>
      </c>
      <c r="U65" s="2173"/>
      <c r="V65" s="1933"/>
      <c r="W65" s="1933">
        <f t="shared" si="62"/>
        <v>0</v>
      </c>
      <c r="X65" s="1933"/>
      <c r="Y65" s="1933">
        <f t="shared" si="63"/>
        <v>0</v>
      </c>
      <c r="Z65" s="1933"/>
      <c r="AA65" s="1933"/>
      <c r="AB65" s="1933">
        <f t="shared" si="64"/>
        <v>0</v>
      </c>
      <c r="AC65" s="1933"/>
      <c r="AD65" s="1933">
        <f t="shared" si="59"/>
        <v>0</v>
      </c>
      <c r="AE65" s="1933"/>
      <c r="AF65" s="1933"/>
      <c r="AG65" s="1933">
        <f t="shared" si="65"/>
        <v>0</v>
      </c>
      <c r="AH65" s="1933"/>
      <c r="AI65" s="1933"/>
      <c r="AJ65" s="1933"/>
      <c r="AK65" s="1933"/>
      <c r="AL65" s="1933"/>
      <c r="AM65" s="1933"/>
      <c r="AN65" s="1933"/>
      <c r="AO65" s="1933"/>
      <c r="AP65" s="1933"/>
      <c r="AQ65" s="1933"/>
      <c r="AR65" s="1933"/>
      <c r="AS65" s="1933"/>
      <c r="AT65" s="1933"/>
      <c r="AU65" s="1933"/>
      <c r="AV65" s="1933"/>
      <c r="AW65" s="1933"/>
      <c r="AX65" s="1933">
        <f t="shared" si="66"/>
        <v>0</v>
      </c>
      <c r="AY65" s="1933"/>
      <c r="AZ65" s="1933"/>
      <c r="BA65" s="1933">
        <f t="shared" si="67"/>
        <v>0</v>
      </c>
      <c r="BC65" s="1822" t="b">
        <f t="shared" si="55"/>
        <v>1</v>
      </c>
    </row>
    <row r="66" spans="2:68">
      <c r="B66" s="2506"/>
      <c r="C66" s="2171">
        <f>+'[6]BT 2HO'!C100</f>
        <v>0</v>
      </c>
      <c r="D66" s="2171">
        <f>+'[6]BT 2HO'!D100</f>
        <v>0</v>
      </c>
      <c r="E66" s="2171"/>
      <c r="F66" s="2172">
        <v>950000</v>
      </c>
      <c r="G66" s="2172">
        <v>1050000</v>
      </c>
      <c r="H66" s="1933">
        <f t="shared" si="60"/>
        <v>0</v>
      </c>
      <c r="I66" s="1933">
        <f t="shared" si="56"/>
        <v>0</v>
      </c>
      <c r="J66" s="1933"/>
      <c r="K66" s="1933">
        <f t="shared" si="57"/>
        <v>0</v>
      </c>
      <c r="L66" s="1933"/>
      <c r="M66" s="1933"/>
      <c r="N66" s="1933"/>
      <c r="O66" s="1933"/>
      <c r="P66" s="2174"/>
      <c r="Q66" s="1933"/>
      <c r="R66" s="1933">
        <f t="shared" si="58"/>
        <v>0</v>
      </c>
      <c r="S66" s="2173"/>
      <c r="T66" s="1933">
        <f t="shared" si="61"/>
        <v>0</v>
      </c>
      <c r="U66" s="2173"/>
      <c r="V66" s="1933"/>
      <c r="W66" s="1933">
        <f t="shared" si="62"/>
        <v>0</v>
      </c>
      <c r="X66" s="1933"/>
      <c r="Y66" s="1933">
        <f t="shared" si="63"/>
        <v>0</v>
      </c>
      <c r="Z66" s="1933"/>
      <c r="AA66" s="1933"/>
      <c r="AB66" s="1933">
        <f t="shared" si="64"/>
        <v>0</v>
      </c>
      <c r="AC66" s="1933"/>
      <c r="AD66" s="1933">
        <f t="shared" si="59"/>
        <v>0</v>
      </c>
      <c r="AE66" s="1933"/>
      <c r="AF66" s="1933"/>
      <c r="AG66" s="1933">
        <f t="shared" si="65"/>
        <v>0</v>
      </c>
      <c r="AH66" s="1933"/>
      <c r="AI66" s="1933"/>
      <c r="AJ66" s="1933"/>
      <c r="AK66" s="1933"/>
      <c r="AL66" s="1933"/>
      <c r="AM66" s="1933"/>
      <c r="AN66" s="1933"/>
      <c r="AO66" s="1933"/>
      <c r="AP66" s="1933"/>
      <c r="AQ66" s="1933"/>
      <c r="AR66" s="1933"/>
      <c r="AS66" s="1933"/>
      <c r="AT66" s="1933"/>
      <c r="AU66" s="1933"/>
      <c r="AV66" s="1933"/>
      <c r="AW66" s="1933"/>
      <c r="AX66" s="1933">
        <f t="shared" si="66"/>
        <v>0</v>
      </c>
      <c r="AY66" s="1933"/>
      <c r="AZ66" s="1933"/>
      <c r="BA66" s="1933">
        <f t="shared" si="67"/>
        <v>0</v>
      </c>
      <c r="BC66" s="1822" t="b">
        <f t="shared" si="55"/>
        <v>1</v>
      </c>
    </row>
    <row r="67" spans="2:68">
      <c r="B67" s="2506"/>
      <c r="C67" s="2171">
        <f>+'[6]BT 2HO'!C105</f>
        <v>0</v>
      </c>
      <c r="D67" s="2171">
        <f>+'[6]BT 2HO'!D105</f>
        <v>0</v>
      </c>
      <c r="E67" s="2171"/>
      <c r="F67" s="2172">
        <v>950000</v>
      </c>
      <c r="G67" s="2172">
        <v>1050000</v>
      </c>
      <c r="H67" s="1933">
        <f t="shared" si="60"/>
        <v>0</v>
      </c>
      <c r="I67" s="1933"/>
      <c r="J67" s="1933"/>
      <c r="K67" s="1933">
        <f t="shared" si="57"/>
        <v>0</v>
      </c>
      <c r="L67" s="1933"/>
      <c r="M67" s="1933"/>
      <c r="N67" s="1933"/>
      <c r="O67" s="1933"/>
      <c r="P67" s="2174"/>
      <c r="Q67" s="1933"/>
      <c r="R67" s="1933">
        <f t="shared" si="58"/>
        <v>0</v>
      </c>
      <c r="S67" s="2173"/>
      <c r="T67" s="1933">
        <f t="shared" si="61"/>
        <v>0</v>
      </c>
      <c r="U67" s="2173"/>
      <c r="V67" s="1933"/>
      <c r="W67" s="1933">
        <f t="shared" si="62"/>
        <v>0</v>
      </c>
      <c r="X67" s="1933"/>
      <c r="Y67" s="1933">
        <f t="shared" si="63"/>
        <v>0</v>
      </c>
      <c r="Z67" s="1933"/>
      <c r="AA67" s="1933"/>
      <c r="AB67" s="1933">
        <f t="shared" si="64"/>
        <v>0</v>
      </c>
      <c r="AC67" s="1933"/>
      <c r="AD67" s="1933">
        <f t="shared" si="59"/>
        <v>0</v>
      </c>
      <c r="AE67" s="1933"/>
      <c r="AF67" s="1933"/>
      <c r="AG67" s="1933">
        <f t="shared" si="65"/>
        <v>0</v>
      </c>
      <c r="AH67" s="1933"/>
      <c r="AI67" s="1933"/>
      <c r="AJ67" s="1933"/>
      <c r="AK67" s="1933"/>
      <c r="AL67" s="1933"/>
      <c r="AM67" s="1933"/>
      <c r="AN67" s="1933"/>
      <c r="AO67" s="1933"/>
      <c r="AP67" s="1933"/>
      <c r="AQ67" s="1933"/>
      <c r="AR67" s="1933"/>
      <c r="AS67" s="1933"/>
      <c r="AT67" s="1933"/>
      <c r="AU67" s="1933"/>
      <c r="AV67" s="1933"/>
      <c r="AW67" s="1933"/>
      <c r="AX67" s="1933">
        <f t="shared" si="66"/>
        <v>0</v>
      </c>
      <c r="AY67" s="1933"/>
      <c r="AZ67" s="1933"/>
      <c r="BA67" s="1933">
        <f t="shared" si="67"/>
        <v>0</v>
      </c>
      <c r="BC67" s="1822" t="b">
        <f t="shared" si="55"/>
        <v>1</v>
      </c>
    </row>
    <row r="68" spans="2:68">
      <c r="B68" s="2506"/>
      <c r="C68" s="2171">
        <f>+'[6]BT 2HO'!C110</f>
        <v>0</v>
      </c>
      <c r="D68" s="2171">
        <f>+'[6]BT 2HO'!D110</f>
        <v>0</v>
      </c>
      <c r="E68" s="2171"/>
      <c r="F68" s="2172">
        <v>950000</v>
      </c>
      <c r="G68" s="2172">
        <v>1050000</v>
      </c>
      <c r="H68" s="1933">
        <f t="shared" si="60"/>
        <v>0</v>
      </c>
      <c r="I68" s="1933"/>
      <c r="J68" s="1933"/>
      <c r="K68" s="1933">
        <f t="shared" si="57"/>
        <v>0</v>
      </c>
      <c r="L68" s="1933"/>
      <c r="M68" s="1933"/>
      <c r="N68" s="1933"/>
      <c r="O68" s="1933"/>
      <c r="P68" s="2174"/>
      <c r="Q68" s="1933"/>
      <c r="R68" s="1933">
        <f t="shared" si="58"/>
        <v>0</v>
      </c>
      <c r="S68" s="2173"/>
      <c r="T68" s="1933">
        <f t="shared" si="61"/>
        <v>0</v>
      </c>
      <c r="U68" s="2173"/>
      <c r="V68" s="1933"/>
      <c r="W68" s="1933">
        <f t="shared" si="62"/>
        <v>0</v>
      </c>
      <c r="X68" s="1933"/>
      <c r="Y68" s="1933">
        <f t="shared" si="63"/>
        <v>0</v>
      </c>
      <c r="Z68" s="1933"/>
      <c r="AA68" s="1933"/>
      <c r="AB68" s="1933">
        <f t="shared" si="64"/>
        <v>0</v>
      </c>
      <c r="AC68" s="1933"/>
      <c r="AD68" s="1933">
        <f t="shared" si="59"/>
        <v>0</v>
      </c>
      <c r="AE68" s="1933"/>
      <c r="AF68" s="1933"/>
      <c r="AG68" s="1933">
        <f t="shared" si="65"/>
        <v>0</v>
      </c>
      <c r="AH68" s="1933"/>
      <c r="AI68" s="1933"/>
      <c r="AJ68" s="1933"/>
      <c r="AK68" s="1933"/>
      <c r="AL68" s="1933"/>
      <c r="AM68" s="1933"/>
      <c r="AN68" s="1933"/>
      <c r="AO68" s="1933"/>
      <c r="AP68" s="1933"/>
      <c r="AQ68" s="1933"/>
      <c r="AR68" s="1933"/>
      <c r="AS68" s="1933"/>
      <c r="AT68" s="1933"/>
      <c r="AU68" s="1933"/>
      <c r="AV68" s="1933"/>
      <c r="AW68" s="1933"/>
      <c r="AX68" s="1933">
        <f t="shared" si="66"/>
        <v>0</v>
      </c>
      <c r="AY68" s="1933"/>
      <c r="AZ68" s="1933"/>
      <c r="BA68" s="1933">
        <f t="shared" si="67"/>
        <v>0</v>
      </c>
      <c r="BC68" s="1822" t="b">
        <f t="shared" si="55"/>
        <v>1</v>
      </c>
    </row>
    <row r="69" spans="2:68">
      <c r="B69" s="2506"/>
      <c r="C69" s="2171">
        <f>+'[6]BT 2HO'!C115</f>
        <v>0</v>
      </c>
      <c r="D69" s="2171">
        <f>+'[6]BT 2HO'!D115</f>
        <v>0</v>
      </c>
      <c r="E69" s="2171"/>
      <c r="F69" s="2172">
        <v>950000</v>
      </c>
      <c r="G69" s="2172">
        <v>1050000</v>
      </c>
      <c r="H69" s="1933">
        <f t="shared" si="60"/>
        <v>0</v>
      </c>
      <c r="I69" s="1933"/>
      <c r="J69" s="1933"/>
      <c r="K69" s="1933">
        <f t="shared" si="57"/>
        <v>0</v>
      </c>
      <c r="L69" s="1933"/>
      <c r="M69" s="1933"/>
      <c r="N69" s="1933"/>
      <c r="O69" s="1933"/>
      <c r="P69" s="2174"/>
      <c r="Q69" s="1933"/>
      <c r="R69" s="1933">
        <f t="shared" si="58"/>
        <v>0</v>
      </c>
      <c r="S69" s="2173"/>
      <c r="T69" s="1933">
        <f t="shared" si="61"/>
        <v>0</v>
      </c>
      <c r="U69" s="2173"/>
      <c r="V69" s="1933"/>
      <c r="W69" s="1933">
        <f t="shared" si="62"/>
        <v>0</v>
      </c>
      <c r="X69" s="1933"/>
      <c r="Y69" s="1933">
        <f t="shared" si="63"/>
        <v>0</v>
      </c>
      <c r="Z69" s="1933"/>
      <c r="AA69" s="1933"/>
      <c r="AB69" s="1933">
        <f t="shared" si="64"/>
        <v>0</v>
      </c>
      <c r="AC69" s="1933"/>
      <c r="AD69" s="1933">
        <f t="shared" si="59"/>
        <v>0</v>
      </c>
      <c r="AE69" s="1933"/>
      <c r="AF69" s="1933"/>
      <c r="AG69" s="1933">
        <f t="shared" si="65"/>
        <v>0</v>
      </c>
      <c r="AH69" s="1933"/>
      <c r="AI69" s="1933"/>
      <c r="AJ69" s="1933"/>
      <c r="AK69" s="1933"/>
      <c r="AL69" s="1933"/>
      <c r="AM69" s="1933"/>
      <c r="AN69" s="1933"/>
      <c r="AO69" s="1933"/>
      <c r="AP69" s="1933"/>
      <c r="AQ69" s="1933"/>
      <c r="AR69" s="1933"/>
      <c r="AS69" s="1933"/>
      <c r="AT69" s="1933"/>
      <c r="AU69" s="1933"/>
      <c r="AV69" s="1933"/>
      <c r="AW69" s="1933"/>
      <c r="AX69" s="1933">
        <f t="shared" si="66"/>
        <v>0</v>
      </c>
      <c r="AY69" s="1933"/>
      <c r="AZ69" s="1933"/>
      <c r="BA69" s="1933">
        <f t="shared" si="67"/>
        <v>0</v>
      </c>
      <c r="BC69" s="1822" t="b">
        <f t="shared" si="55"/>
        <v>1</v>
      </c>
    </row>
    <row r="70" spans="2:68">
      <c r="B70" s="2506"/>
      <c r="C70" s="2171">
        <f>+'[6]BT 2HO'!C120</f>
        <v>0</v>
      </c>
      <c r="D70" s="2171">
        <f>+'[6]BT 2HO'!D120</f>
        <v>0</v>
      </c>
      <c r="E70" s="2171"/>
      <c r="F70" s="2172">
        <v>950000</v>
      </c>
      <c r="G70" s="2172">
        <v>1050000</v>
      </c>
      <c r="H70" s="1933">
        <f t="shared" si="60"/>
        <v>0</v>
      </c>
      <c r="I70" s="1933"/>
      <c r="J70" s="1933"/>
      <c r="K70" s="1933">
        <f t="shared" si="57"/>
        <v>0</v>
      </c>
      <c r="L70" s="1933"/>
      <c r="M70" s="1933"/>
      <c r="N70" s="1933"/>
      <c r="O70" s="1933"/>
      <c r="P70" s="2174"/>
      <c r="Q70" s="1933"/>
      <c r="R70" s="1933">
        <f t="shared" si="58"/>
        <v>0</v>
      </c>
      <c r="S70" s="2173"/>
      <c r="T70" s="1933">
        <f t="shared" si="61"/>
        <v>0</v>
      </c>
      <c r="U70" s="2173"/>
      <c r="V70" s="1933"/>
      <c r="W70" s="1933">
        <f t="shared" si="62"/>
        <v>0</v>
      </c>
      <c r="X70" s="1933"/>
      <c r="Y70" s="1933">
        <f t="shared" si="63"/>
        <v>0</v>
      </c>
      <c r="Z70" s="1933"/>
      <c r="AA70" s="1933"/>
      <c r="AB70" s="1933">
        <f t="shared" si="64"/>
        <v>0</v>
      </c>
      <c r="AC70" s="1933"/>
      <c r="AD70" s="1933">
        <f t="shared" si="59"/>
        <v>0</v>
      </c>
      <c r="AE70" s="1933"/>
      <c r="AF70" s="1933"/>
      <c r="AG70" s="1933">
        <f t="shared" si="65"/>
        <v>0</v>
      </c>
      <c r="AH70" s="1933"/>
      <c r="AI70" s="1933"/>
      <c r="AJ70" s="1933"/>
      <c r="AK70" s="1933"/>
      <c r="AL70" s="1933"/>
      <c r="AM70" s="1933"/>
      <c r="AN70" s="1933"/>
      <c r="AO70" s="1933"/>
      <c r="AP70" s="1933"/>
      <c r="AQ70" s="1933"/>
      <c r="AR70" s="1933"/>
      <c r="AS70" s="1933"/>
      <c r="AT70" s="1933"/>
      <c r="AU70" s="1933"/>
      <c r="AV70" s="1933"/>
      <c r="AW70" s="1933"/>
      <c r="AX70" s="1933">
        <f t="shared" si="66"/>
        <v>0</v>
      </c>
      <c r="AY70" s="1933"/>
      <c r="AZ70" s="1933"/>
      <c r="BA70" s="1933">
        <f t="shared" si="67"/>
        <v>0</v>
      </c>
      <c r="BC70" s="1822" t="b">
        <f t="shared" si="55"/>
        <v>1</v>
      </c>
    </row>
    <row r="71" spans="2:68">
      <c r="B71" s="2506"/>
      <c r="C71" s="2171">
        <f>+'[6]BT 2HO'!C125</f>
        <v>0</v>
      </c>
      <c r="D71" s="2171">
        <f>+'[6]BT 2HO'!D125</f>
        <v>0</v>
      </c>
      <c r="E71" s="2171"/>
      <c r="F71" s="2172">
        <v>950000</v>
      </c>
      <c r="G71" s="2172">
        <v>1050000</v>
      </c>
      <c r="H71" s="1933">
        <f t="shared" si="60"/>
        <v>0</v>
      </c>
      <c r="I71" s="1933"/>
      <c r="J71" s="1933"/>
      <c r="K71" s="1933">
        <f t="shared" si="57"/>
        <v>0</v>
      </c>
      <c r="L71" s="1933"/>
      <c r="M71" s="1933"/>
      <c r="N71" s="1933"/>
      <c r="O71" s="1933"/>
      <c r="P71" s="2174"/>
      <c r="Q71" s="1933"/>
      <c r="R71" s="1933">
        <f t="shared" si="58"/>
        <v>0</v>
      </c>
      <c r="S71" s="2173"/>
      <c r="T71" s="1933">
        <f t="shared" si="61"/>
        <v>0</v>
      </c>
      <c r="U71" s="2173"/>
      <c r="V71" s="1933"/>
      <c r="W71" s="1933">
        <f t="shared" si="62"/>
        <v>0</v>
      </c>
      <c r="X71" s="1933"/>
      <c r="Y71" s="1933">
        <f t="shared" si="63"/>
        <v>0</v>
      </c>
      <c r="Z71" s="1933"/>
      <c r="AA71" s="1933"/>
      <c r="AB71" s="1933">
        <f t="shared" si="64"/>
        <v>0</v>
      </c>
      <c r="AC71" s="1933"/>
      <c r="AD71" s="1933">
        <f t="shared" si="59"/>
        <v>0</v>
      </c>
      <c r="AE71" s="1933"/>
      <c r="AF71" s="1933"/>
      <c r="AG71" s="1933">
        <f t="shared" si="65"/>
        <v>0</v>
      </c>
      <c r="AH71" s="1933"/>
      <c r="AI71" s="1933"/>
      <c r="AJ71" s="1933"/>
      <c r="AK71" s="1933"/>
      <c r="AL71" s="1933"/>
      <c r="AM71" s="1933"/>
      <c r="AN71" s="1933"/>
      <c r="AO71" s="1933"/>
      <c r="AP71" s="1933"/>
      <c r="AQ71" s="1933"/>
      <c r="AR71" s="1933"/>
      <c r="AS71" s="1933"/>
      <c r="AT71" s="1933"/>
      <c r="AU71" s="1933"/>
      <c r="AV71" s="1933"/>
      <c r="AW71" s="1933"/>
      <c r="AX71" s="1933">
        <f t="shared" si="66"/>
        <v>0</v>
      </c>
      <c r="AY71" s="1933"/>
      <c r="AZ71" s="1933"/>
      <c r="BA71" s="1933">
        <f t="shared" si="67"/>
        <v>0</v>
      </c>
      <c r="BC71" s="1822" t="b">
        <f t="shared" si="55"/>
        <v>1</v>
      </c>
    </row>
    <row r="72" spans="2:68">
      <c r="B72" s="2506"/>
      <c r="C72" s="2171">
        <f>+'[6]BT 2HO'!C130</f>
        <v>0</v>
      </c>
      <c r="D72" s="2171">
        <f>+'[6]BT 2HO'!D130</f>
        <v>0</v>
      </c>
      <c r="E72" s="2171"/>
      <c r="F72" s="2172">
        <v>950000</v>
      </c>
      <c r="G72" s="2172">
        <v>1050000</v>
      </c>
      <c r="H72" s="1933">
        <f t="shared" si="60"/>
        <v>0</v>
      </c>
      <c r="I72" s="1933"/>
      <c r="J72" s="1933"/>
      <c r="K72" s="1933">
        <f t="shared" si="57"/>
        <v>0</v>
      </c>
      <c r="L72" s="1933"/>
      <c r="M72" s="1933"/>
      <c r="N72" s="1933"/>
      <c r="O72" s="1933"/>
      <c r="P72" s="2174"/>
      <c r="Q72" s="1933"/>
      <c r="R72" s="1933">
        <f t="shared" si="58"/>
        <v>0</v>
      </c>
      <c r="S72" s="2173"/>
      <c r="T72" s="1933">
        <f t="shared" si="61"/>
        <v>0</v>
      </c>
      <c r="U72" s="2173"/>
      <c r="V72" s="1933"/>
      <c r="W72" s="1933">
        <f t="shared" si="62"/>
        <v>0</v>
      </c>
      <c r="X72" s="1933"/>
      <c r="Y72" s="1933">
        <f t="shared" si="63"/>
        <v>0</v>
      </c>
      <c r="Z72" s="1933"/>
      <c r="AA72" s="1933"/>
      <c r="AB72" s="1933">
        <f t="shared" si="64"/>
        <v>0</v>
      </c>
      <c r="AC72" s="1933"/>
      <c r="AD72" s="1933">
        <f t="shared" si="59"/>
        <v>0</v>
      </c>
      <c r="AE72" s="1933"/>
      <c r="AF72" s="1933"/>
      <c r="AG72" s="1933">
        <f t="shared" si="65"/>
        <v>0</v>
      </c>
      <c r="AH72" s="1933"/>
      <c r="AI72" s="1933"/>
      <c r="AJ72" s="1933"/>
      <c r="AK72" s="1933"/>
      <c r="AL72" s="1933"/>
      <c r="AM72" s="1933"/>
      <c r="AN72" s="1933"/>
      <c r="AO72" s="1933"/>
      <c r="AP72" s="1933"/>
      <c r="AQ72" s="1933"/>
      <c r="AR72" s="1933"/>
      <c r="AS72" s="1933"/>
      <c r="AT72" s="1933"/>
      <c r="AU72" s="1933"/>
      <c r="AV72" s="1933"/>
      <c r="AW72" s="1933"/>
      <c r="AX72" s="1933">
        <f t="shared" si="66"/>
        <v>0</v>
      </c>
      <c r="AY72" s="1933"/>
      <c r="AZ72" s="1933"/>
      <c r="BA72" s="1933">
        <f t="shared" si="67"/>
        <v>0</v>
      </c>
      <c r="BC72" s="1822" t="b">
        <f t="shared" si="55"/>
        <v>1</v>
      </c>
    </row>
    <row r="74" spans="2:68" ht="13.5" customHeight="1">
      <c r="B74" s="2503" t="s">
        <v>132</v>
      </c>
      <c r="C74" s="2503" t="s">
        <v>2558</v>
      </c>
      <c r="D74" s="2504" t="s">
        <v>135</v>
      </c>
      <c r="E74" s="2163"/>
      <c r="F74" s="2505" t="s">
        <v>2559</v>
      </c>
      <c r="G74" s="2505" t="s">
        <v>2560</v>
      </c>
      <c r="H74" s="2502" t="s">
        <v>138</v>
      </c>
      <c r="I74" s="2507" t="s">
        <v>2561</v>
      </c>
      <c r="J74" s="2507" t="s">
        <v>2562</v>
      </c>
      <c r="K74" s="2509" t="s">
        <v>2563</v>
      </c>
      <c r="L74" s="2510"/>
      <c r="M74" s="2510"/>
      <c r="N74" s="2510"/>
      <c r="O74" s="2510"/>
      <c r="P74" s="2510"/>
      <c r="Q74" s="2510"/>
      <c r="R74" s="2511"/>
      <c r="S74" s="2502" t="s">
        <v>2574</v>
      </c>
      <c r="T74" s="2502"/>
      <c r="U74" s="2502"/>
      <c r="V74" s="2502"/>
      <c r="W74" s="2502"/>
      <c r="X74" s="2502" t="s">
        <v>238</v>
      </c>
      <c r="Y74" s="2502"/>
      <c r="Z74" s="2502"/>
      <c r="AA74" s="2502"/>
      <c r="AB74" s="2502"/>
      <c r="AC74" s="2502" t="s">
        <v>109</v>
      </c>
      <c r="AD74" s="2502"/>
      <c r="AE74" s="2502"/>
      <c r="AF74" s="2502"/>
      <c r="AG74" s="2502"/>
      <c r="AH74" s="2164"/>
      <c r="AI74" s="2164"/>
      <c r="AJ74" s="2164"/>
      <c r="AK74" s="2164"/>
      <c r="AL74" s="2164"/>
      <c r="AM74" s="2164"/>
      <c r="AN74" s="2164"/>
      <c r="AO74" s="2164"/>
      <c r="AP74" s="2164"/>
      <c r="AQ74" s="2164"/>
      <c r="AR74" s="2164"/>
      <c r="AS74" s="2164"/>
      <c r="AT74" s="2164"/>
      <c r="AU74" s="2164"/>
      <c r="AV74" s="2164"/>
      <c r="AW74" s="2502" t="s">
        <v>110</v>
      </c>
      <c r="AX74" s="2502"/>
      <c r="AY74" s="2502"/>
      <c r="AZ74" s="2502"/>
      <c r="BA74" s="2502"/>
    </row>
    <row r="75" spans="2:68" ht="13.5">
      <c r="B75" s="2503"/>
      <c r="C75" s="2503"/>
      <c r="D75" s="2504"/>
      <c r="E75" s="2163"/>
      <c r="F75" s="2505"/>
      <c r="G75" s="2505"/>
      <c r="H75" s="2502"/>
      <c r="I75" s="2508"/>
      <c r="J75" s="2508"/>
      <c r="K75" s="2165" t="s">
        <v>2564</v>
      </c>
      <c r="L75" s="2165" t="s">
        <v>2565</v>
      </c>
      <c r="M75" s="2165" t="s">
        <v>2566</v>
      </c>
      <c r="N75" s="2165" t="s">
        <v>2567</v>
      </c>
      <c r="O75" s="2165" t="s">
        <v>2568</v>
      </c>
      <c r="P75" s="2185" t="s">
        <v>2569</v>
      </c>
      <c r="Q75" s="2165" t="s">
        <v>2570</v>
      </c>
      <c r="R75" s="2165" t="s">
        <v>2571</v>
      </c>
      <c r="S75" s="2164" t="s">
        <v>148</v>
      </c>
      <c r="T75" s="2168">
        <v>0.5</v>
      </c>
      <c r="U75" s="2164" t="s">
        <v>148</v>
      </c>
      <c r="V75" s="2169" t="s">
        <v>2572</v>
      </c>
      <c r="W75" s="2169" t="s">
        <v>2573</v>
      </c>
      <c r="X75" s="2164" t="s">
        <v>148</v>
      </c>
      <c r="Y75" s="2168">
        <v>0.4</v>
      </c>
      <c r="Z75" s="2164" t="s">
        <v>148</v>
      </c>
      <c r="AA75" s="2169" t="s">
        <v>2572</v>
      </c>
      <c r="AB75" s="2169" t="s">
        <v>2573</v>
      </c>
      <c r="AC75" s="2164" t="s">
        <v>148</v>
      </c>
      <c r="AD75" s="2168">
        <v>0.1</v>
      </c>
      <c r="AE75" s="2164" t="s">
        <v>148</v>
      </c>
      <c r="AF75" s="2169" t="s">
        <v>2572</v>
      </c>
      <c r="AG75" s="2169" t="s">
        <v>2573</v>
      </c>
      <c r="AH75" s="2169"/>
      <c r="AI75" s="2169"/>
      <c r="AJ75" s="2169"/>
      <c r="AK75" s="2169"/>
      <c r="AL75" s="2169"/>
      <c r="AM75" s="2169"/>
      <c r="AN75" s="2169"/>
      <c r="AO75" s="2169"/>
      <c r="AP75" s="2169"/>
      <c r="AQ75" s="2169"/>
      <c r="AR75" s="2169"/>
      <c r="AS75" s="2169"/>
      <c r="AT75" s="2169"/>
      <c r="AU75" s="2169"/>
      <c r="AV75" s="2169"/>
      <c r="AW75" s="2164" t="s">
        <v>148</v>
      </c>
      <c r="AX75" s="2168">
        <v>0</v>
      </c>
      <c r="AY75" s="2164" t="s">
        <v>148</v>
      </c>
      <c r="AZ75" s="2169" t="s">
        <v>2572</v>
      </c>
      <c r="BA75" s="2169" t="s">
        <v>2573</v>
      </c>
    </row>
    <row r="76" spans="2:68">
      <c r="B76" s="2506" t="s">
        <v>2597</v>
      </c>
      <c r="C76" s="2170"/>
      <c r="D76" s="2171">
        <f>+SUM(D77:D90)</f>
        <v>1609.3800000000003</v>
      </c>
      <c r="E76" s="2171"/>
      <c r="F76" s="2172">
        <v>950000</v>
      </c>
      <c r="G76" s="2172">
        <v>1050000</v>
      </c>
      <c r="H76" s="1933">
        <f>+SUM(H77:H90)</f>
        <v>1681802100.0000002</v>
      </c>
      <c r="I76" s="1933">
        <f t="shared" ref="I76:J76" si="68">+SUM(I77:I90)</f>
        <v>662691700</v>
      </c>
      <c r="J76" s="1933">
        <f t="shared" si="68"/>
        <v>102643200</v>
      </c>
      <c r="K76" s="1933">
        <f>+SUM(K77:K90)</f>
        <v>54521680</v>
      </c>
      <c r="L76" s="1933">
        <f>+SUM(L77:L90)</f>
        <v>5190920</v>
      </c>
      <c r="M76" s="1933">
        <f>+SUM(M77:M90)</f>
        <v>5885160</v>
      </c>
      <c r="N76" s="1933">
        <f>+SUM(N77:N90)</f>
        <v>0</v>
      </c>
      <c r="O76" s="1933">
        <f>+SUM(O77:O90)</f>
        <v>43445600</v>
      </c>
      <c r="P76" s="1933"/>
      <c r="Q76" s="1933">
        <f>+SUM(Q77:Q90)</f>
        <v>54521680</v>
      </c>
      <c r="R76" s="1933">
        <f>+SUM(R77:R90)</f>
        <v>0</v>
      </c>
      <c r="S76" s="2173"/>
      <c r="T76" s="1933">
        <f>+SUM(T77:T90)</f>
        <v>840901050</v>
      </c>
      <c r="U76" s="2173"/>
      <c r="V76" s="1933">
        <f>+SUM(V77:V90)</f>
        <v>191320800</v>
      </c>
      <c r="W76" s="1933">
        <f>+SUM(W77:W90)</f>
        <v>649580250</v>
      </c>
      <c r="X76" s="2173"/>
      <c r="Y76" s="1933">
        <f t="shared" ref="Y76" si="69">+SUM(Y77:Y90)</f>
        <v>672720840</v>
      </c>
      <c r="Z76" s="2173"/>
      <c r="AA76" s="1933"/>
      <c r="AB76" s="1933">
        <f>+SUM(AB77:AB90)</f>
        <v>481320840</v>
      </c>
      <c r="AC76" s="2173"/>
      <c r="AD76" s="1933">
        <f t="shared" ref="AD76" si="70">+SUM(AD77:AD90)</f>
        <v>290690330</v>
      </c>
      <c r="AE76" s="2173"/>
      <c r="AF76" s="1933"/>
      <c r="AG76" s="1933">
        <f>+SUM(AG77:AG90)</f>
        <v>10719430</v>
      </c>
      <c r="AH76" s="1933"/>
      <c r="AI76" s="1933"/>
      <c r="AJ76" s="1933"/>
      <c r="AK76" s="1933"/>
      <c r="AL76" s="1933"/>
      <c r="AM76" s="1933"/>
      <c r="AN76" s="1933"/>
      <c r="AO76" s="1933"/>
      <c r="AP76" s="1933"/>
      <c r="AQ76" s="1933"/>
      <c r="AR76" s="1933"/>
      <c r="AS76" s="1933"/>
      <c r="AT76" s="1933"/>
      <c r="AU76" s="1933"/>
      <c r="AV76" s="1933"/>
      <c r="AW76" s="2173"/>
      <c r="AX76" s="1933">
        <f t="shared" ref="AX76" si="71">+SUM(AX77:AX90)</f>
        <v>0</v>
      </c>
      <c r="AY76" s="2173"/>
      <c r="AZ76" s="1933"/>
      <c r="BA76" s="1933">
        <f>+SUM(BA77:BA90)</f>
        <v>0</v>
      </c>
      <c r="BC76" s="1822" t="b">
        <f t="shared" ref="BC76:BC90" si="72">T76+Y76+AD76+AX76+K76=D76*G76*1.1</f>
        <v>1</v>
      </c>
    </row>
    <row r="77" spans="2:68" s="2181" customFormat="1">
      <c r="B77" s="2506"/>
      <c r="C77" s="2175" t="s">
        <v>2598</v>
      </c>
      <c r="D77" s="2175">
        <v>225.78</v>
      </c>
      <c r="E77" s="2175"/>
      <c r="F77" s="2176">
        <v>950000</v>
      </c>
      <c r="G77" s="2176">
        <v>1050000</v>
      </c>
      <c r="H77" s="2177">
        <f>+F77*D77*1.1</f>
        <v>235940100.00000003</v>
      </c>
      <c r="I77" s="2177">
        <f>+V77+AA77+AF77+AZ77</f>
        <v>158004000</v>
      </c>
      <c r="J77" s="2177"/>
      <c r="K77" s="2177">
        <f t="shared" ref="K77:K90" si="73">+SUM(L77:O77)</f>
        <v>34643780</v>
      </c>
      <c r="L77" s="2177">
        <v>2824780</v>
      </c>
      <c r="M77" s="2177">
        <v>2999000</v>
      </c>
      <c r="N77" s="2177"/>
      <c r="O77" s="2177">
        <v>28820000</v>
      </c>
      <c r="P77" s="2178">
        <v>46001</v>
      </c>
      <c r="Q77" s="2177">
        <v>34643780</v>
      </c>
      <c r="R77" s="2177">
        <f t="shared" ref="R77:R90" si="74">+K77-Q77</f>
        <v>0</v>
      </c>
      <c r="S77" s="2179">
        <f>+'[6]BT 7HO'!N12</f>
        <v>45650</v>
      </c>
      <c r="T77" s="2177">
        <f>+ROUND($H77*T$75,)</f>
        <v>117970050</v>
      </c>
      <c r="U77" s="2179">
        <f>+'[6]BT 7HO'!O12</f>
        <v>45650</v>
      </c>
      <c r="V77" s="2177">
        <f>+'[6]BT 7HO'!R12+'[6]BT 7HO'!R13</f>
        <v>35112000</v>
      </c>
      <c r="W77" s="2177">
        <f>+T77-V77</f>
        <v>82858050</v>
      </c>
      <c r="X77" s="2179">
        <f>+'[6]BT 7HO'!U12</f>
        <v>45737</v>
      </c>
      <c r="Y77" s="2177">
        <f>+ROUND($H77*Y$75,)</f>
        <v>94376040</v>
      </c>
      <c r="Z77" s="2179">
        <f>+'[6]BT 7HO'!V12</f>
        <v>45737</v>
      </c>
      <c r="AA77" s="2177">
        <f>+'[6]BT 7HO'!Y12+'[6]BT 7HO'!Y13</f>
        <v>35112000</v>
      </c>
      <c r="AB77" s="2177">
        <f>+Y77-AA77</f>
        <v>59264040</v>
      </c>
      <c r="AC77" s="2179">
        <f>+'[6]BT 7HO'!AB12</f>
        <v>45791</v>
      </c>
      <c r="AD77" s="2177">
        <f t="shared" ref="AD77:AD90" si="75">+ROUND(D77*G77*1.1-Y77-T77-K77,)</f>
        <v>13786030</v>
      </c>
      <c r="AE77" s="2179">
        <f>+'[6]BT 7HO'!AC12</f>
        <v>45791</v>
      </c>
      <c r="AF77" s="2177">
        <f>+'[6]BT 7HO'!AF12+'[6]BT 7HO'!AF13</f>
        <v>87780000</v>
      </c>
      <c r="AG77" s="2177">
        <f>+AD77-AF77</f>
        <v>-73993970</v>
      </c>
      <c r="AH77" s="2177"/>
      <c r="AI77" s="2177"/>
      <c r="AJ77" s="2177"/>
      <c r="AK77" s="2177"/>
      <c r="AL77" s="2177"/>
      <c r="AM77" s="2177"/>
      <c r="AN77" s="2177"/>
      <c r="AO77" s="2177"/>
      <c r="AP77" s="2177"/>
      <c r="AQ77" s="2177"/>
      <c r="AR77" s="2177"/>
      <c r="AS77" s="2177"/>
      <c r="AT77" s="2177"/>
      <c r="AU77" s="2177"/>
      <c r="AV77" s="2177"/>
      <c r="AW77" s="2179"/>
      <c r="AX77" s="2177">
        <f>+ROUND($H77*AX$75,)</f>
        <v>0</v>
      </c>
      <c r="AY77" s="2179"/>
      <c r="AZ77" s="2177"/>
      <c r="BA77" s="2177">
        <f>+AX77-AZ77</f>
        <v>0</v>
      </c>
      <c r="BB77" s="2180"/>
      <c r="BC77" s="2180" t="b">
        <f t="shared" si="72"/>
        <v>1</v>
      </c>
      <c r="BD77" s="2180"/>
      <c r="BE77" s="2180"/>
      <c r="BF77" s="2180"/>
      <c r="BG77" s="2180"/>
      <c r="BH77" s="2180"/>
      <c r="BI77" s="2180"/>
      <c r="BJ77" s="2180"/>
      <c r="BK77" s="2180"/>
      <c r="BL77" s="2180"/>
      <c r="BM77" s="2180"/>
      <c r="BN77" s="2180"/>
      <c r="BO77" s="2180"/>
      <c r="BP77" s="2180"/>
    </row>
    <row r="78" spans="2:68">
      <c r="B78" s="2506"/>
      <c r="C78" s="2171" t="s">
        <v>1337</v>
      </c>
      <c r="D78" s="2171">
        <v>545.46</v>
      </c>
      <c r="E78" s="2171"/>
      <c r="F78" s="2172">
        <v>950000</v>
      </c>
      <c r="G78" s="2172">
        <v>1050000</v>
      </c>
      <c r="H78" s="1933">
        <f t="shared" ref="H78:H90" si="76">+F78*D78*1.1</f>
        <v>570005700.00000012</v>
      </c>
      <c r="I78" s="1933">
        <f t="shared" ref="I78:I84" si="77">+V78+AA78+AF78+AZ78</f>
        <v>120001200</v>
      </c>
      <c r="J78" s="1933"/>
      <c r="K78" s="1933">
        <f t="shared" si="73"/>
        <v>19877900</v>
      </c>
      <c r="L78" s="1933">
        <v>2366140</v>
      </c>
      <c r="M78" s="1933">
        <v>2886160</v>
      </c>
      <c r="N78" s="1933"/>
      <c r="O78" s="1933">
        <v>14625600</v>
      </c>
      <c r="P78" s="2174">
        <v>45975</v>
      </c>
      <c r="Q78" s="1933">
        <v>19877900</v>
      </c>
      <c r="R78" s="1933">
        <f t="shared" si="74"/>
        <v>0</v>
      </c>
      <c r="S78" s="2173">
        <f>+'[6]BT 7HO'!N17</f>
        <v>45679</v>
      </c>
      <c r="T78" s="1933">
        <f t="shared" ref="T78:T90" si="78">+ROUND($H78*T$75,)</f>
        <v>285002850</v>
      </c>
      <c r="U78" s="2173">
        <f>+'[6]BT 7HO'!O17</f>
        <v>45679</v>
      </c>
      <c r="V78" s="1933">
        <f>+'[6]BT 7HO'!R17+'[6]BT 7HO'!R18</f>
        <v>60000600</v>
      </c>
      <c r="W78" s="1933">
        <f t="shared" ref="W78:W90" si="79">+T78-V78</f>
        <v>225002250</v>
      </c>
      <c r="X78" s="2173">
        <f>+'[6]BT 7HO'!U17</f>
        <v>45791</v>
      </c>
      <c r="Y78" s="1933">
        <f t="shared" ref="Y78:Y90" si="80">+ROUND($H78*Y$75,)</f>
        <v>228002280</v>
      </c>
      <c r="Z78" s="2173">
        <f>+'[6]BT 7HO'!V17</f>
        <v>45791</v>
      </c>
      <c r="AA78" s="1933">
        <f>+'[6]BT 7HO'!Y17+'[6]BT 7HO'!Y18</f>
        <v>60000600</v>
      </c>
      <c r="AB78" s="1933">
        <f t="shared" ref="AB78:AB90" si="81">+Y78-AA78</f>
        <v>168001680</v>
      </c>
      <c r="AC78" s="2173">
        <f>+'[6]BT 7HO'!AB17</f>
        <v>45991</v>
      </c>
      <c r="AD78" s="1933">
        <f t="shared" si="75"/>
        <v>97123270</v>
      </c>
      <c r="AE78" s="2173"/>
      <c r="AF78" s="1933"/>
      <c r="AG78" s="1933">
        <f t="shared" ref="AG78:AG90" si="82">+AD78-AF78</f>
        <v>97123270</v>
      </c>
      <c r="AH78" s="1933"/>
      <c r="AI78" s="1933"/>
      <c r="AJ78" s="1933"/>
      <c r="AK78" s="1933"/>
      <c r="AL78" s="1933"/>
      <c r="AM78" s="1933"/>
      <c r="AN78" s="1933"/>
      <c r="AO78" s="1933"/>
      <c r="AP78" s="1933"/>
      <c r="AQ78" s="1933"/>
      <c r="AR78" s="1933"/>
      <c r="AS78" s="1933"/>
      <c r="AT78" s="1933"/>
      <c r="AU78" s="1933"/>
      <c r="AV78" s="1933"/>
      <c r="AW78" s="2173"/>
      <c r="AX78" s="1933">
        <f t="shared" ref="AX78:AX90" si="83">+ROUND($H78*AX$75,)</f>
        <v>0</v>
      </c>
      <c r="AY78" s="2173"/>
      <c r="AZ78" s="1933"/>
      <c r="BA78" s="1933">
        <f t="shared" ref="BA78:BA90" si="84">+AX78-AZ78</f>
        <v>0</v>
      </c>
      <c r="BC78" s="1822" t="b">
        <f t="shared" si="72"/>
        <v>1</v>
      </c>
    </row>
    <row r="79" spans="2:68" s="2181" customFormat="1">
      <c r="B79" s="2506"/>
      <c r="C79" s="2175" t="s">
        <v>2599</v>
      </c>
      <c r="D79" s="2175">
        <v>207.36</v>
      </c>
      <c r="E79" s="2175"/>
      <c r="F79" s="2176">
        <v>950000</v>
      </c>
      <c r="G79" s="2176">
        <v>1050000</v>
      </c>
      <c r="H79" s="2177">
        <f t="shared" si="76"/>
        <v>216691200.00000003</v>
      </c>
      <c r="I79" s="2177">
        <f t="shared" si="77"/>
        <v>102643200</v>
      </c>
      <c r="J79" s="2177">
        <f>+I79</f>
        <v>102643200</v>
      </c>
      <c r="K79" s="2177">
        <f t="shared" si="73"/>
        <v>0</v>
      </c>
      <c r="L79" s="2177"/>
      <c r="M79" s="2177"/>
      <c r="N79" s="2177"/>
      <c r="O79" s="2177"/>
      <c r="P79" s="2178"/>
      <c r="Q79" s="2177"/>
      <c r="R79" s="2177">
        <f t="shared" si="74"/>
        <v>0</v>
      </c>
      <c r="S79" s="2179">
        <f>+'[6]BT 7HO'!N22</f>
        <v>45808</v>
      </c>
      <c r="T79" s="2177">
        <f t="shared" si="78"/>
        <v>108345600</v>
      </c>
      <c r="U79" s="2179">
        <f>+'[6]BT 7HO'!O22</f>
        <v>45791</v>
      </c>
      <c r="V79" s="2177">
        <f>+'[6]BT 7HO'!R22+'[6]BT 7HO'!R23</f>
        <v>26822400</v>
      </c>
      <c r="W79" s="2177">
        <f t="shared" si="79"/>
        <v>81523200</v>
      </c>
      <c r="X79" s="2179">
        <f>+'[6]BT 7HO'!U22</f>
        <v>45855</v>
      </c>
      <c r="Y79" s="2177">
        <f t="shared" si="80"/>
        <v>86676480</v>
      </c>
      <c r="Z79" s="2179">
        <f>+'[6]BT 7HO'!V22</f>
        <v>45867</v>
      </c>
      <c r="AA79" s="2177">
        <f>+'[6]BT 7HO'!Y22+'[6]BT 7HO'!Y23</f>
        <v>26822400</v>
      </c>
      <c r="AB79" s="2177">
        <f t="shared" si="81"/>
        <v>59854080</v>
      </c>
      <c r="AC79" s="2179">
        <f>+'[6]BT 7HO'!AB22</f>
        <v>45930</v>
      </c>
      <c r="AD79" s="2177">
        <f t="shared" si="75"/>
        <v>44478720</v>
      </c>
      <c r="AE79" s="2179">
        <f>+'[6]BT 7HO'!AC22</f>
        <v>45922</v>
      </c>
      <c r="AF79" s="2177">
        <f>+'[6]BT 7HO'!AF22+'[6]BT 7HO'!AF23</f>
        <v>48998400</v>
      </c>
      <c r="AG79" s="2177">
        <f t="shared" si="82"/>
        <v>-4519680</v>
      </c>
      <c r="AH79" s="2177"/>
      <c r="AI79" s="2177"/>
      <c r="AJ79" s="2177"/>
      <c r="AK79" s="2177"/>
      <c r="AL79" s="2177"/>
      <c r="AM79" s="2177"/>
      <c r="AN79" s="2177"/>
      <c r="AO79" s="2177"/>
      <c r="AP79" s="2177"/>
      <c r="AQ79" s="2177"/>
      <c r="AR79" s="2177"/>
      <c r="AS79" s="2177"/>
      <c r="AT79" s="2177"/>
      <c r="AU79" s="2177"/>
      <c r="AV79" s="2177"/>
      <c r="AW79" s="2179"/>
      <c r="AX79" s="2177">
        <f t="shared" si="83"/>
        <v>0</v>
      </c>
      <c r="AY79" s="2179"/>
      <c r="AZ79" s="2177"/>
      <c r="BA79" s="2177">
        <f t="shared" si="84"/>
        <v>0</v>
      </c>
      <c r="BB79" s="2180"/>
      <c r="BC79" s="2180" t="b">
        <f t="shared" si="72"/>
        <v>1</v>
      </c>
      <c r="BD79" s="2180"/>
      <c r="BE79" s="2180"/>
      <c r="BF79" s="2180"/>
      <c r="BG79" s="2180"/>
      <c r="BH79" s="2180"/>
      <c r="BI79" s="2180"/>
      <c r="BJ79" s="2180"/>
      <c r="BK79" s="2180"/>
      <c r="BL79" s="2180"/>
      <c r="BM79" s="2180"/>
      <c r="BN79" s="2180"/>
      <c r="BO79" s="2180"/>
      <c r="BP79" s="2180"/>
    </row>
    <row r="80" spans="2:68">
      <c r="B80" s="2506"/>
      <c r="C80" s="2171" t="s">
        <v>2600</v>
      </c>
      <c r="D80" s="2171">
        <v>210.82</v>
      </c>
      <c r="E80" s="2171"/>
      <c r="F80" s="2172">
        <v>950000</v>
      </c>
      <c r="G80" s="2172">
        <v>1050000</v>
      </c>
      <c r="H80" s="1933">
        <f t="shared" si="76"/>
        <v>220306900.00000003</v>
      </c>
      <c r="I80" s="1933">
        <f t="shared" si="77"/>
        <v>104355900</v>
      </c>
      <c r="J80" s="1933"/>
      <c r="K80" s="1933">
        <f t="shared" si="73"/>
        <v>0</v>
      </c>
      <c r="L80" s="1933"/>
      <c r="M80" s="1933"/>
      <c r="N80" s="1933"/>
      <c r="O80" s="1933"/>
      <c r="P80" s="2174"/>
      <c r="Q80" s="1933"/>
      <c r="R80" s="1933">
        <f t="shared" si="74"/>
        <v>0</v>
      </c>
      <c r="S80" s="2173">
        <f>+'[6]BT 7HO'!N27</f>
        <v>45737</v>
      </c>
      <c r="T80" s="1933">
        <f t="shared" si="78"/>
        <v>110153450</v>
      </c>
      <c r="U80" s="2173">
        <f>+'[6]BT 7HO'!O27</f>
        <v>45737</v>
      </c>
      <c r="V80" s="1933">
        <f>+'[6]BT 7HO'!R27+'[6]BT 7HO'!R28</f>
        <v>23190200</v>
      </c>
      <c r="W80" s="1933">
        <f t="shared" si="79"/>
        <v>86963250</v>
      </c>
      <c r="X80" s="2173">
        <f>+'[6]BT 7HO'!U27</f>
        <v>45820</v>
      </c>
      <c r="Y80" s="1933">
        <f t="shared" si="80"/>
        <v>88122760</v>
      </c>
      <c r="Z80" s="2173">
        <f>+'[6]BT 7HO'!V27</f>
        <v>45820</v>
      </c>
      <c r="AA80" s="1933">
        <f>+'[6]BT 7HO'!Y27+'[6]BT 7HO'!Y28</f>
        <v>23190200</v>
      </c>
      <c r="AB80" s="1933">
        <f t="shared" si="81"/>
        <v>64932560</v>
      </c>
      <c r="AC80" s="2173">
        <f>+'[6]BT 7HO'!AB27</f>
        <v>45900</v>
      </c>
      <c r="AD80" s="1933">
        <f t="shared" si="75"/>
        <v>45220890</v>
      </c>
      <c r="AE80" s="2173">
        <f>+'[6]BT 7HO'!AC27</f>
        <v>45883</v>
      </c>
      <c r="AF80" s="1933">
        <f>+'[6]BT 7HO'!AF27+'[6]BT 7HO'!AF28</f>
        <v>57975500</v>
      </c>
      <c r="AG80" s="1933">
        <f t="shared" si="82"/>
        <v>-12754610</v>
      </c>
      <c r="AH80" s="1933"/>
      <c r="AI80" s="1933"/>
      <c r="AJ80" s="1933"/>
      <c r="AK80" s="1933"/>
      <c r="AL80" s="1933"/>
      <c r="AM80" s="1933"/>
      <c r="AN80" s="1933"/>
      <c r="AO80" s="1933"/>
      <c r="AP80" s="1933"/>
      <c r="AQ80" s="1933"/>
      <c r="AR80" s="1933"/>
      <c r="AS80" s="1933"/>
      <c r="AT80" s="1933"/>
      <c r="AU80" s="1933"/>
      <c r="AV80" s="1933"/>
      <c r="AW80" s="2173"/>
      <c r="AX80" s="1933">
        <f t="shared" si="83"/>
        <v>0</v>
      </c>
      <c r="AY80" s="2173"/>
      <c r="AZ80" s="1933"/>
      <c r="BA80" s="1933">
        <f t="shared" si="84"/>
        <v>0</v>
      </c>
      <c r="BC80" s="1822" t="b">
        <f t="shared" si="72"/>
        <v>1</v>
      </c>
    </row>
    <row r="81" spans="2:55" ht="13.5">
      <c r="B81" s="2506"/>
      <c r="C81" s="2171" t="s">
        <v>2601</v>
      </c>
      <c r="D81" s="2171">
        <v>151.13</v>
      </c>
      <c r="E81" s="2171"/>
      <c r="F81" s="2172">
        <v>950000</v>
      </c>
      <c r="G81" s="2172">
        <v>1050000</v>
      </c>
      <c r="H81" s="1933">
        <f t="shared" si="76"/>
        <v>157930850</v>
      </c>
      <c r="I81" s="1933">
        <f t="shared" si="77"/>
        <v>74809350</v>
      </c>
      <c r="J81" s="1933"/>
      <c r="K81" s="1933">
        <f t="shared" si="73"/>
        <v>0</v>
      </c>
      <c r="L81" s="1933"/>
      <c r="M81" s="1933"/>
      <c r="N81" s="1933"/>
      <c r="O81" s="1933"/>
      <c r="P81" s="2174"/>
      <c r="Q81" s="1933"/>
      <c r="R81" s="1933">
        <f t="shared" si="74"/>
        <v>0</v>
      </c>
      <c r="S81" s="2173">
        <f>+'[6]BT 7HO'!N32</f>
        <v>45679</v>
      </c>
      <c r="T81" s="1933">
        <f t="shared" si="78"/>
        <v>78965425</v>
      </c>
      <c r="U81" s="2173">
        <f>+'[6]BT 7HO'!O32</f>
        <v>45679</v>
      </c>
      <c r="V81" s="1933">
        <f>+'[6]BT 7HO'!R32+'[6]BT 7HO'!R33</f>
        <v>16624300</v>
      </c>
      <c r="W81" s="1933">
        <f t="shared" si="79"/>
        <v>62341125</v>
      </c>
      <c r="X81" s="2173">
        <f>+'[6]BT 7HO'!U32</f>
        <v>45791</v>
      </c>
      <c r="Y81" s="1933">
        <f t="shared" si="80"/>
        <v>63172340</v>
      </c>
      <c r="Z81" s="2173">
        <f>+'[6]BT 7HO'!V32</f>
        <v>45791</v>
      </c>
      <c r="AA81" s="1933">
        <f>+'[6]BT 7HO'!Y32+'[6]BT 7HO'!Y33</f>
        <v>16624300</v>
      </c>
      <c r="AB81" s="1933">
        <f t="shared" si="81"/>
        <v>46548040</v>
      </c>
      <c r="AC81" s="2173">
        <f>+'[6]BT 7HO'!AB32</f>
        <v>45820</v>
      </c>
      <c r="AD81" s="1933">
        <f t="shared" si="75"/>
        <v>32417385</v>
      </c>
      <c r="AE81" s="2173">
        <f>+'[6]BT 7HO'!AC32</f>
        <v>45820</v>
      </c>
      <c r="AF81" s="1933">
        <f>+'[6]BT 7HO'!AF32+'[6]BT 7HO'!AF33</f>
        <v>41560750</v>
      </c>
      <c r="AG81" s="1933">
        <f t="shared" si="82"/>
        <v>-9143365</v>
      </c>
      <c r="AH81" s="1933"/>
      <c r="AI81" s="1933"/>
      <c r="AJ81" s="1933"/>
      <c r="AK81" s="1933"/>
      <c r="AL81" s="1933"/>
      <c r="AM81" s="1933"/>
      <c r="AN81" s="1933"/>
      <c r="AO81" s="1933"/>
      <c r="AP81" s="1933"/>
      <c r="AQ81" s="1933"/>
      <c r="AR81" s="1933"/>
      <c r="AS81" s="1933"/>
      <c r="AT81" s="1933"/>
      <c r="AU81" s="1933"/>
      <c r="AV81" s="1933"/>
      <c r="AW81" s="2173"/>
      <c r="AX81" s="1933">
        <f t="shared" si="83"/>
        <v>0</v>
      </c>
      <c r="AY81" s="2173"/>
      <c r="AZ81" s="1933"/>
      <c r="BA81" s="1933">
        <f t="shared" si="84"/>
        <v>0</v>
      </c>
      <c r="BC81" s="1822" t="b">
        <f t="shared" si="72"/>
        <v>1</v>
      </c>
    </row>
    <row r="82" spans="2:55" ht="13.5">
      <c r="B82" s="2506"/>
      <c r="C82" s="2171" t="s">
        <v>2602</v>
      </c>
      <c r="D82" s="2171">
        <v>71.680000000000007</v>
      </c>
      <c r="E82" s="2171"/>
      <c r="F82" s="2172">
        <v>950000</v>
      </c>
      <c r="G82" s="2172">
        <v>1050000</v>
      </c>
      <c r="H82" s="1933">
        <f t="shared" si="76"/>
        <v>74905600</v>
      </c>
      <c r="I82" s="1933">
        <f t="shared" si="77"/>
        <v>15848800.000000002</v>
      </c>
      <c r="J82" s="1933"/>
      <c r="K82" s="1933">
        <f t="shared" si="73"/>
        <v>0</v>
      </c>
      <c r="L82" s="1933"/>
      <c r="M82" s="1933"/>
      <c r="N82" s="1933"/>
      <c r="O82" s="1933"/>
      <c r="P82" s="2174"/>
      <c r="Q82" s="1933"/>
      <c r="R82" s="1933">
        <f t="shared" si="74"/>
        <v>0</v>
      </c>
      <c r="S82" s="2173">
        <f>+'[6]BT 7HO'!N37</f>
        <v>45705</v>
      </c>
      <c r="T82" s="1933">
        <f t="shared" si="78"/>
        <v>37452800</v>
      </c>
      <c r="U82" s="2173">
        <f>+'[6]BT 7HO'!O37</f>
        <v>45705</v>
      </c>
      <c r="V82" s="1933">
        <f>+'[6]BT 7HO'!R37+'[6]BT 7HO'!R38</f>
        <v>7884800.0000000019</v>
      </c>
      <c r="W82" s="1933">
        <f t="shared" si="79"/>
        <v>29568000</v>
      </c>
      <c r="X82" s="2173">
        <f>+'[6]BT 7HO'!U37</f>
        <v>45820</v>
      </c>
      <c r="Y82" s="1933">
        <f t="shared" si="80"/>
        <v>29962240</v>
      </c>
      <c r="Z82" s="2173">
        <f>+'[6]BT 7HO'!V37</f>
        <v>45820</v>
      </c>
      <c r="AA82" s="1933">
        <f>+'[6]BT 7HO'!Y37+'[6]BT 7HO'!Y38</f>
        <v>7964000</v>
      </c>
      <c r="AB82" s="1933">
        <f t="shared" si="81"/>
        <v>21998240</v>
      </c>
      <c r="AC82" s="2173">
        <f>+'[6]BT 7HO'!AB37</f>
        <v>46022</v>
      </c>
      <c r="AD82" s="1933">
        <f t="shared" si="75"/>
        <v>15375360</v>
      </c>
      <c r="AE82" s="2173"/>
      <c r="AF82" s="1933"/>
      <c r="AG82" s="1933">
        <f t="shared" si="82"/>
        <v>15375360</v>
      </c>
      <c r="AH82" s="1933"/>
      <c r="AI82" s="1933"/>
      <c r="AJ82" s="1933"/>
      <c r="AK82" s="1933"/>
      <c r="AL82" s="1933"/>
      <c r="AM82" s="1933"/>
      <c r="AN82" s="1933"/>
      <c r="AO82" s="1933"/>
      <c r="AP82" s="1933"/>
      <c r="AQ82" s="1933"/>
      <c r="AR82" s="1933"/>
      <c r="AS82" s="1933"/>
      <c r="AT82" s="1933"/>
      <c r="AU82" s="1933"/>
      <c r="AV82" s="1933"/>
      <c r="AW82" s="2173"/>
      <c r="AX82" s="1933">
        <f t="shared" si="83"/>
        <v>0</v>
      </c>
      <c r="AY82" s="2173"/>
      <c r="AZ82" s="1933"/>
      <c r="BA82" s="1933">
        <f t="shared" si="84"/>
        <v>0</v>
      </c>
      <c r="BC82" s="1822" t="b">
        <f t="shared" si="72"/>
        <v>1</v>
      </c>
    </row>
    <row r="83" spans="2:55" ht="13.5">
      <c r="B83" s="2506"/>
      <c r="C83" s="2171" t="s">
        <v>2603</v>
      </c>
      <c r="D83" s="2171">
        <v>38.4</v>
      </c>
      <c r="E83" s="2171"/>
      <c r="F83" s="2172">
        <v>950000</v>
      </c>
      <c r="G83" s="2172">
        <v>1050000</v>
      </c>
      <c r="H83" s="1933">
        <f t="shared" si="76"/>
        <v>40128000</v>
      </c>
      <c r="I83" s="1933">
        <f t="shared" si="77"/>
        <v>8448000</v>
      </c>
      <c r="J83" s="1933"/>
      <c r="K83" s="1933">
        <f t="shared" si="73"/>
        <v>0</v>
      </c>
      <c r="L83" s="1933"/>
      <c r="M83" s="1933"/>
      <c r="N83" s="1933"/>
      <c r="O83" s="1933"/>
      <c r="P83" s="2174"/>
      <c r="Q83" s="1933"/>
      <c r="R83" s="1933">
        <f t="shared" si="74"/>
        <v>0</v>
      </c>
      <c r="S83" s="2173">
        <f>+'[6]BT 7HO'!N42</f>
        <v>45705</v>
      </c>
      <c r="T83" s="1933">
        <f t="shared" si="78"/>
        <v>20064000</v>
      </c>
      <c r="U83" s="2173">
        <f>+'[6]BT 7HO'!O42</f>
        <v>45705</v>
      </c>
      <c r="V83" s="1933">
        <f>+'[6]BT 7HO'!R42+'[6]BT 7HO'!R43</f>
        <v>4224000</v>
      </c>
      <c r="W83" s="1933">
        <f t="shared" si="79"/>
        <v>15840000</v>
      </c>
      <c r="X83" s="2173">
        <f>+'[6]BT 7HO'!U42</f>
        <v>45820</v>
      </c>
      <c r="Y83" s="1933">
        <f t="shared" si="80"/>
        <v>16051200</v>
      </c>
      <c r="Z83" s="2173">
        <f>+'[6]BT 7HO'!V42</f>
        <v>45820</v>
      </c>
      <c r="AA83" s="1933">
        <f>+'[6]BT 7HO'!Y42+'[6]BT 7HO'!Y43</f>
        <v>4224000</v>
      </c>
      <c r="AB83" s="1933">
        <f t="shared" si="81"/>
        <v>11827200</v>
      </c>
      <c r="AC83" s="2173">
        <f>+'[6]BT 7HO'!AB42</f>
        <v>46022</v>
      </c>
      <c r="AD83" s="1933">
        <f t="shared" si="75"/>
        <v>8236800</v>
      </c>
      <c r="AE83" s="2173"/>
      <c r="AF83" s="1933"/>
      <c r="AG83" s="1933">
        <f t="shared" si="82"/>
        <v>8236800</v>
      </c>
      <c r="AH83" s="1933"/>
      <c r="AI83" s="1933"/>
      <c r="AJ83" s="1933"/>
      <c r="AK83" s="1933"/>
      <c r="AL83" s="1933"/>
      <c r="AM83" s="1933"/>
      <c r="AN83" s="1933"/>
      <c r="AO83" s="1933"/>
      <c r="AP83" s="1933"/>
      <c r="AQ83" s="1933"/>
      <c r="AR83" s="1933"/>
      <c r="AS83" s="1933"/>
      <c r="AT83" s="1933"/>
      <c r="AU83" s="1933"/>
      <c r="AV83" s="1933"/>
      <c r="AW83" s="2173"/>
      <c r="AX83" s="1933">
        <f t="shared" si="83"/>
        <v>0</v>
      </c>
      <c r="AY83" s="2173"/>
      <c r="AZ83" s="1933"/>
      <c r="BA83" s="1933">
        <f t="shared" si="84"/>
        <v>0</v>
      </c>
      <c r="BC83" s="1822" t="b">
        <f t="shared" si="72"/>
        <v>1</v>
      </c>
    </row>
    <row r="84" spans="2:55" ht="13.5">
      <c r="B84" s="2506"/>
      <c r="C84" s="2171" t="s">
        <v>2604</v>
      </c>
      <c r="D84" s="2171">
        <v>158.75</v>
      </c>
      <c r="E84" s="2171"/>
      <c r="F84" s="2172">
        <v>950000</v>
      </c>
      <c r="G84" s="2172">
        <v>1050000</v>
      </c>
      <c r="H84" s="1933">
        <f t="shared" si="76"/>
        <v>165893750</v>
      </c>
      <c r="I84" s="1933">
        <f t="shared" si="77"/>
        <v>78581250</v>
      </c>
      <c r="J84" s="1933"/>
      <c r="K84" s="1933">
        <f t="shared" si="73"/>
        <v>0</v>
      </c>
      <c r="L84" s="1933"/>
      <c r="M84" s="1933"/>
      <c r="N84" s="1933"/>
      <c r="O84" s="1933"/>
      <c r="P84" s="2174"/>
      <c r="Q84" s="1933"/>
      <c r="R84" s="1933">
        <f t="shared" si="74"/>
        <v>0</v>
      </c>
      <c r="S84" s="2173">
        <f>+'[6]BT 7HO'!N47</f>
        <v>45705</v>
      </c>
      <c r="T84" s="1933">
        <f t="shared" si="78"/>
        <v>82946875</v>
      </c>
      <c r="U84" s="2173">
        <f>+'[6]BT 7HO'!O47</f>
        <v>45705</v>
      </c>
      <c r="V84" s="1933">
        <f>+'[6]BT 7HO'!R47+'[6]BT 7HO'!R48</f>
        <v>17462500</v>
      </c>
      <c r="W84" s="1933">
        <f t="shared" si="79"/>
        <v>65484375</v>
      </c>
      <c r="X84" s="2173">
        <f>+'[6]BT 7HO'!U47</f>
        <v>45820</v>
      </c>
      <c r="Y84" s="1933">
        <f t="shared" si="80"/>
        <v>66357500</v>
      </c>
      <c r="Z84" s="2173">
        <f>+'[6]BT 7HO'!V47</f>
        <v>45820</v>
      </c>
      <c r="AA84" s="1933">
        <f>+'[6]BT 7HO'!Y47+'[6]BT 7HO'!Y48</f>
        <v>17462500</v>
      </c>
      <c r="AB84" s="1933">
        <f t="shared" si="81"/>
        <v>48895000</v>
      </c>
      <c r="AC84" s="2173">
        <f>+'[6]BT 7HO'!AB47</f>
        <v>45930</v>
      </c>
      <c r="AD84" s="1933">
        <f t="shared" si="75"/>
        <v>34051875</v>
      </c>
      <c r="AE84" s="2173">
        <v>45922</v>
      </c>
      <c r="AF84" s="1933">
        <f>+'[6]BT 7HO'!AF47+'[6]BT 7HO'!AF48</f>
        <v>43656250</v>
      </c>
      <c r="AG84" s="1933">
        <f t="shared" si="82"/>
        <v>-9604375</v>
      </c>
      <c r="AH84" s="1933"/>
      <c r="AI84" s="1933"/>
      <c r="AJ84" s="1933"/>
      <c r="AK84" s="1933"/>
      <c r="AL84" s="1933"/>
      <c r="AM84" s="1933"/>
      <c r="AN84" s="1933"/>
      <c r="AO84" s="1933"/>
      <c r="AP84" s="1933"/>
      <c r="AQ84" s="1933"/>
      <c r="AR84" s="1933"/>
      <c r="AS84" s="1933"/>
      <c r="AT84" s="1933"/>
      <c r="AU84" s="1933"/>
      <c r="AV84" s="1933"/>
      <c r="AW84" s="2173"/>
      <c r="AX84" s="1933">
        <f t="shared" si="83"/>
        <v>0</v>
      </c>
      <c r="AY84" s="2173"/>
      <c r="AZ84" s="1933"/>
      <c r="BA84" s="1933">
        <f t="shared" si="84"/>
        <v>0</v>
      </c>
      <c r="BC84" s="1822" t="b">
        <f t="shared" si="72"/>
        <v>1</v>
      </c>
    </row>
    <row r="85" spans="2:55">
      <c r="B85" s="2506"/>
      <c r="C85" s="2171">
        <f>+'[6]BT 2HO'!C123</f>
        <v>0</v>
      </c>
      <c r="D85" s="2171">
        <v>0</v>
      </c>
      <c r="E85" s="2171"/>
      <c r="F85" s="2172">
        <v>950000</v>
      </c>
      <c r="G85" s="2172">
        <v>1050000</v>
      </c>
      <c r="H85" s="1933">
        <f t="shared" si="76"/>
        <v>0</v>
      </c>
      <c r="I85" s="1933"/>
      <c r="J85" s="1933"/>
      <c r="K85" s="1933">
        <f t="shared" si="73"/>
        <v>0</v>
      </c>
      <c r="L85" s="1933"/>
      <c r="M85" s="1933"/>
      <c r="N85" s="1933"/>
      <c r="O85" s="1933"/>
      <c r="P85" s="2174"/>
      <c r="Q85" s="1933"/>
      <c r="R85" s="1933">
        <f t="shared" si="74"/>
        <v>0</v>
      </c>
      <c r="S85" s="2173"/>
      <c r="T85" s="1933">
        <f t="shared" si="78"/>
        <v>0</v>
      </c>
      <c r="U85" s="2173"/>
      <c r="V85" s="1933"/>
      <c r="W85" s="1933">
        <f t="shared" si="79"/>
        <v>0</v>
      </c>
      <c r="X85" s="2173"/>
      <c r="Y85" s="1933">
        <f t="shared" si="80"/>
        <v>0</v>
      </c>
      <c r="Z85" s="2173"/>
      <c r="AA85" s="1933"/>
      <c r="AB85" s="1933">
        <f t="shared" si="81"/>
        <v>0</v>
      </c>
      <c r="AC85" s="2173"/>
      <c r="AD85" s="1933">
        <f t="shared" si="75"/>
        <v>0</v>
      </c>
      <c r="AE85" s="2173"/>
      <c r="AF85" s="1933"/>
      <c r="AG85" s="1933">
        <f t="shared" si="82"/>
        <v>0</v>
      </c>
      <c r="AH85" s="1933"/>
      <c r="AI85" s="1933"/>
      <c r="AJ85" s="1933"/>
      <c r="AK85" s="1933"/>
      <c r="AL85" s="1933"/>
      <c r="AM85" s="1933"/>
      <c r="AN85" s="1933"/>
      <c r="AO85" s="1933"/>
      <c r="AP85" s="1933"/>
      <c r="AQ85" s="1933"/>
      <c r="AR85" s="1933"/>
      <c r="AS85" s="1933"/>
      <c r="AT85" s="1933"/>
      <c r="AU85" s="1933"/>
      <c r="AV85" s="1933"/>
      <c r="AW85" s="2173"/>
      <c r="AX85" s="1933">
        <f t="shared" si="83"/>
        <v>0</v>
      </c>
      <c r="AY85" s="2173"/>
      <c r="AZ85" s="1933"/>
      <c r="BA85" s="1933">
        <f t="shared" si="84"/>
        <v>0</v>
      </c>
      <c r="BC85" s="1822" t="b">
        <f t="shared" si="72"/>
        <v>1</v>
      </c>
    </row>
    <row r="86" spans="2:55">
      <c r="B86" s="2506"/>
      <c r="C86" s="2171">
        <f>+'[6]BT 2HO'!C128</f>
        <v>0</v>
      </c>
      <c r="D86" s="2171">
        <v>0</v>
      </c>
      <c r="E86" s="2171"/>
      <c r="F86" s="2172">
        <v>950000</v>
      </c>
      <c r="G86" s="2172">
        <v>1050000</v>
      </c>
      <c r="H86" s="1933">
        <f t="shared" si="76"/>
        <v>0</v>
      </c>
      <c r="I86" s="1933"/>
      <c r="J86" s="1933"/>
      <c r="K86" s="1933">
        <f t="shared" si="73"/>
        <v>0</v>
      </c>
      <c r="L86" s="1933"/>
      <c r="M86" s="1933"/>
      <c r="N86" s="1933"/>
      <c r="O86" s="1933"/>
      <c r="P86" s="2174"/>
      <c r="Q86" s="1933"/>
      <c r="R86" s="1933">
        <f t="shared" si="74"/>
        <v>0</v>
      </c>
      <c r="S86" s="2173"/>
      <c r="T86" s="1933">
        <f t="shared" si="78"/>
        <v>0</v>
      </c>
      <c r="U86" s="2173"/>
      <c r="V86" s="1933"/>
      <c r="W86" s="1933">
        <f t="shared" si="79"/>
        <v>0</v>
      </c>
      <c r="X86" s="2173"/>
      <c r="Y86" s="1933">
        <f t="shared" si="80"/>
        <v>0</v>
      </c>
      <c r="Z86" s="2173"/>
      <c r="AA86" s="1933"/>
      <c r="AB86" s="1933">
        <f t="shared" si="81"/>
        <v>0</v>
      </c>
      <c r="AC86" s="2173"/>
      <c r="AD86" s="1933">
        <f t="shared" si="75"/>
        <v>0</v>
      </c>
      <c r="AE86" s="2173"/>
      <c r="AF86" s="1933"/>
      <c r="AG86" s="1933">
        <f t="shared" si="82"/>
        <v>0</v>
      </c>
      <c r="AH86" s="1933"/>
      <c r="AI86" s="1933"/>
      <c r="AJ86" s="1933"/>
      <c r="AK86" s="1933"/>
      <c r="AL86" s="1933"/>
      <c r="AM86" s="1933"/>
      <c r="AN86" s="1933"/>
      <c r="AO86" s="1933"/>
      <c r="AP86" s="1933"/>
      <c r="AQ86" s="1933"/>
      <c r="AR86" s="1933"/>
      <c r="AS86" s="1933"/>
      <c r="AT86" s="1933"/>
      <c r="AU86" s="1933"/>
      <c r="AV86" s="1933"/>
      <c r="AW86" s="2173"/>
      <c r="AX86" s="1933">
        <f t="shared" si="83"/>
        <v>0</v>
      </c>
      <c r="AY86" s="2173"/>
      <c r="AZ86" s="1933"/>
      <c r="BA86" s="1933">
        <f t="shared" si="84"/>
        <v>0</v>
      </c>
      <c r="BC86" s="1822" t="b">
        <f t="shared" si="72"/>
        <v>1</v>
      </c>
    </row>
    <row r="87" spans="2:55">
      <c r="B87" s="2506"/>
      <c r="C87" s="2171">
        <f>+'[6]BT 2HO'!C133</f>
        <v>0</v>
      </c>
      <c r="D87" s="2171">
        <v>0</v>
      </c>
      <c r="E87" s="2171"/>
      <c r="F87" s="2172">
        <v>950000</v>
      </c>
      <c r="G87" s="2172">
        <v>1050000</v>
      </c>
      <c r="H87" s="1933">
        <f t="shared" si="76"/>
        <v>0</v>
      </c>
      <c r="I87" s="1933"/>
      <c r="J87" s="1933"/>
      <c r="K87" s="1933">
        <f t="shared" si="73"/>
        <v>0</v>
      </c>
      <c r="L87" s="1933"/>
      <c r="M87" s="1933"/>
      <c r="N87" s="1933"/>
      <c r="O87" s="1933"/>
      <c r="P87" s="2174"/>
      <c r="Q87" s="1933"/>
      <c r="R87" s="1933">
        <f t="shared" si="74"/>
        <v>0</v>
      </c>
      <c r="S87" s="2173"/>
      <c r="T87" s="1933">
        <f t="shared" si="78"/>
        <v>0</v>
      </c>
      <c r="U87" s="2173"/>
      <c r="V87" s="1933"/>
      <c r="W87" s="1933">
        <f t="shared" si="79"/>
        <v>0</v>
      </c>
      <c r="X87" s="2173"/>
      <c r="Y87" s="1933">
        <f t="shared" si="80"/>
        <v>0</v>
      </c>
      <c r="Z87" s="2173"/>
      <c r="AA87" s="1933"/>
      <c r="AB87" s="1933">
        <f t="shared" si="81"/>
        <v>0</v>
      </c>
      <c r="AC87" s="2173"/>
      <c r="AD87" s="1933">
        <f t="shared" si="75"/>
        <v>0</v>
      </c>
      <c r="AE87" s="2173"/>
      <c r="AF87" s="1933"/>
      <c r="AG87" s="1933">
        <f t="shared" si="82"/>
        <v>0</v>
      </c>
      <c r="AH87" s="1933"/>
      <c r="AI87" s="1933"/>
      <c r="AJ87" s="1933"/>
      <c r="AK87" s="1933"/>
      <c r="AL87" s="1933"/>
      <c r="AM87" s="1933"/>
      <c r="AN87" s="1933"/>
      <c r="AO87" s="1933"/>
      <c r="AP87" s="1933"/>
      <c r="AQ87" s="1933"/>
      <c r="AR87" s="1933"/>
      <c r="AS87" s="1933"/>
      <c r="AT87" s="1933"/>
      <c r="AU87" s="1933"/>
      <c r="AV87" s="1933"/>
      <c r="AW87" s="2173"/>
      <c r="AX87" s="1933">
        <f t="shared" si="83"/>
        <v>0</v>
      </c>
      <c r="AY87" s="2173"/>
      <c r="AZ87" s="1933"/>
      <c r="BA87" s="1933">
        <f t="shared" si="84"/>
        <v>0</v>
      </c>
      <c r="BC87" s="1822" t="b">
        <f t="shared" si="72"/>
        <v>1</v>
      </c>
    </row>
    <row r="88" spans="2:55">
      <c r="B88" s="2506"/>
      <c r="C88" s="2171">
        <f>+'[6]BT 2HO'!C138</f>
        <v>0</v>
      </c>
      <c r="D88" s="2171">
        <v>0</v>
      </c>
      <c r="E88" s="2171"/>
      <c r="F88" s="2172">
        <v>950000</v>
      </c>
      <c r="G88" s="2172">
        <v>1050000</v>
      </c>
      <c r="H88" s="1933">
        <f t="shared" si="76"/>
        <v>0</v>
      </c>
      <c r="I88" s="1933"/>
      <c r="J88" s="1933"/>
      <c r="K88" s="1933">
        <f t="shared" si="73"/>
        <v>0</v>
      </c>
      <c r="L88" s="1933"/>
      <c r="M88" s="1933"/>
      <c r="N88" s="1933"/>
      <c r="O88" s="1933"/>
      <c r="P88" s="2174"/>
      <c r="Q88" s="1933"/>
      <c r="R88" s="1933">
        <f t="shared" si="74"/>
        <v>0</v>
      </c>
      <c r="S88" s="2173"/>
      <c r="T88" s="1933">
        <f t="shared" si="78"/>
        <v>0</v>
      </c>
      <c r="U88" s="2173"/>
      <c r="V88" s="1933"/>
      <c r="W88" s="1933">
        <f t="shared" si="79"/>
        <v>0</v>
      </c>
      <c r="X88" s="2173"/>
      <c r="Y88" s="1933">
        <f t="shared" si="80"/>
        <v>0</v>
      </c>
      <c r="Z88" s="2173"/>
      <c r="AA88" s="1933"/>
      <c r="AB88" s="1933">
        <f t="shared" si="81"/>
        <v>0</v>
      </c>
      <c r="AC88" s="2173"/>
      <c r="AD88" s="1933">
        <f t="shared" si="75"/>
        <v>0</v>
      </c>
      <c r="AE88" s="2173"/>
      <c r="AF88" s="1933"/>
      <c r="AG88" s="1933">
        <f t="shared" si="82"/>
        <v>0</v>
      </c>
      <c r="AH88" s="1933"/>
      <c r="AI88" s="1933"/>
      <c r="AJ88" s="1933"/>
      <c r="AK88" s="1933"/>
      <c r="AL88" s="1933"/>
      <c r="AM88" s="1933"/>
      <c r="AN88" s="1933"/>
      <c r="AO88" s="1933"/>
      <c r="AP88" s="1933"/>
      <c r="AQ88" s="1933"/>
      <c r="AR88" s="1933"/>
      <c r="AS88" s="1933"/>
      <c r="AT88" s="1933"/>
      <c r="AU88" s="1933"/>
      <c r="AV88" s="1933"/>
      <c r="AW88" s="2173"/>
      <c r="AX88" s="1933">
        <f t="shared" si="83"/>
        <v>0</v>
      </c>
      <c r="AY88" s="2173"/>
      <c r="AZ88" s="1933"/>
      <c r="BA88" s="1933">
        <f t="shared" si="84"/>
        <v>0</v>
      </c>
      <c r="BC88" s="1822" t="b">
        <f t="shared" si="72"/>
        <v>1</v>
      </c>
    </row>
    <row r="89" spans="2:55">
      <c r="B89" s="2506"/>
      <c r="C89" s="2171">
        <f>+'[6]BT 2HO'!C143</f>
        <v>0</v>
      </c>
      <c r="D89" s="2171">
        <v>0</v>
      </c>
      <c r="E89" s="2171"/>
      <c r="F89" s="2172">
        <v>950000</v>
      </c>
      <c r="G89" s="2172">
        <v>1050000</v>
      </c>
      <c r="H89" s="1933">
        <f t="shared" si="76"/>
        <v>0</v>
      </c>
      <c r="I89" s="1933"/>
      <c r="J89" s="1933"/>
      <c r="K89" s="1933">
        <f t="shared" si="73"/>
        <v>0</v>
      </c>
      <c r="L89" s="1933"/>
      <c r="M89" s="1933"/>
      <c r="N89" s="1933"/>
      <c r="O89" s="1933"/>
      <c r="P89" s="2174"/>
      <c r="Q89" s="1933"/>
      <c r="R89" s="1933">
        <f t="shared" si="74"/>
        <v>0</v>
      </c>
      <c r="S89" s="2173"/>
      <c r="T89" s="1933">
        <f t="shared" si="78"/>
        <v>0</v>
      </c>
      <c r="U89" s="2173"/>
      <c r="V89" s="1933"/>
      <c r="W89" s="1933">
        <f t="shared" si="79"/>
        <v>0</v>
      </c>
      <c r="X89" s="2173"/>
      <c r="Y89" s="1933">
        <f t="shared" si="80"/>
        <v>0</v>
      </c>
      <c r="Z89" s="2173"/>
      <c r="AA89" s="1933"/>
      <c r="AB89" s="1933">
        <f t="shared" si="81"/>
        <v>0</v>
      </c>
      <c r="AC89" s="2173"/>
      <c r="AD89" s="1933">
        <f t="shared" si="75"/>
        <v>0</v>
      </c>
      <c r="AE89" s="2173"/>
      <c r="AF89" s="1933"/>
      <c r="AG89" s="1933">
        <f t="shared" si="82"/>
        <v>0</v>
      </c>
      <c r="AH89" s="1933"/>
      <c r="AI89" s="1933"/>
      <c r="AJ89" s="1933"/>
      <c r="AK89" s="1933"/>
      <c r="AL89" s="1933"/>
      <c r="AM89" s="1933"/>
      <c r="AN89" s="1933"/>
      <c r="AO89" s="1933"/>
      <c r="AP89" s="1933"/>
      <c r="AQ89" s="1933"/>
      <c r="AR89" s="1933"/>
      <c r="AS89" s="1933"/>
      <c r="AT89" s="1933"/>
      <c r="AU89" s="1933"/>
      <c r="AV89" s="1933"/>
      <c r="AW89" s="2173"/>
      <c r="AX89" s="1933">
        <f t="shared" si="83"/>
        <v>0</v>
      </c>
      <c r="AY89" s="2173"/>
      <c r="AZ89" s="1933"/>
      <c r="BA89" s="1933">
        <f t="shared" si="84"/>
        <v>0</v>
      </c>
      <c r="BC89" s="1822" t="b">
        <f t="shared" si="72"/>
        <v>1</v>
      </c>
    </row>
    <row r="90" spans="2:55">
      <c r="B90" s="2506"/>
      <c r="C90" s="2171">
        <f>+'[6]BT 2HO'!C148</f>
        <v>0</v>
      </c>
      <c r="D90" s="2171">
        <v>0</v>
      </c>
      <c r="E90" s="2171"/>
      <c r="F90" s="2172">
        <v>950000</v>
      </c>
      <c r="G90" s="2172">
        <v>1050000</v>
      </c>
      <c r="H90" s="1933">
        <f t="shared" si="76"/>
        <v>0</v>
      </c>
      <c r="I90" s="1933"/>
      <c r="J90" s="1933"/>
      <c r="K90" s="1933">
        <f t="shared" si="73"/>
        <v>0</v>
      </c>
      <c r="L90" s="1933"/>
      <c r="M90" s="1933"/>
      <c r="N90" s="1933"/>
      <c r="O90" s="1933"/>
      <c r="P90" s="2174"/>
      <c r="Q90" s="1933"/>
      <c r="R90" s="1933">
        <f t="shared" si="74"/>
        <v>0</v>
      </c>
      <c r="S90" s="2173"/>
      <c r="T90" s="1933">
        <f t="shared" si="78"/>
        <v>0</v>
      </c>
      <c r="U90" s="2173"/>
      <c r="V90" s="1933"/>
      <c r="W90" s="1933">
        <f t="shared" si="79"/>
        <v>0</v>
      </c>
      <c r="X90" s="2173"/>
      <c r="Y90" s="1933">
        <f t="shared" si="80"/>
        <v>0</v>
      </c>
      <c r="Z90" s="2173"/>
      <c r="AA90" s="1933"/>
      <c r="AB90" s="1933">
        <f t="shared" si="81"/>
        <v>0</v>
      </c>
      <c r="AC90" s="2173"/>
      <c r="AD90" s="1933">
        <f t="shared" si="75"/>
        <v>0</v>
      </c>
      <c r="AE90" s="2173"/>
      <c r="AF90" s="1933"/>
      <c r="AG90" s="1933">
        <f t="shared" si="82"/>
        <v>0</v>
      </c>
      <c r="AH90" s="1933"/>
      <c r="AI90" s="1933"/>
      <c r="AJ90" s="1933"/>
      <c r="AK90" s="1933"/>
      <c r="AL90" s="1933"/>
      <c r="AM90" s="1933"/>
      <c r="AN90" s="1933"/>
      <c r="AO90" s="1933"/>
      <c r="AP90" s="1933"/>
      <c r="AQ90" s="1933"/>
      <c r="AR90" s="1933"/>
      <c r="AS90" s="1933"/>
      <c r="AT90" s="1933"/>
      <c r="AU90" s="1933"/>
      <c r="AV90" s="1933"/>
      <c r="AW90" s="2173"/>
      <c r="AX90" s="1933">
        <f t="shared" si="83"/>
        <v>0</v>
      </c>
      <c r="AY90" s="2173"/>
      <c r="AZ90" s="1933"/>
      <c r="BA90" s="1933">
        <f t="shared" si="84"/>
        <v>0</v>
      </c>
      <c r="BC90" s="1822" t="b">
        <f t="shared" si="72"/>
        <v>1</v>
      </c>
    </row>
  </sheetData>
  <mergeCells count="74">
    <mergeCell ref="AW74:BA74"/>
    <mergeCell ref="B76:B90"/>
    <mergeCell ref="E2:E3"/>
    <mergeCell ref="AH2:AL2"/>
    <mergeCell ref="AM2:AQ2"/>
    <mergeCell ref="AR2:AV2"/>
    <mergeCell ref="I74:I75"/>
    <mergeCell ref="J74:J75"/>
    <mergeCell ref="K74:R74"/>
    <mergeCell ref="S74:W74"/>
    <mergeCell ref="X74:AB74"/>
    <mergeCell ref="AC74:AG74"/>
    <mergeCell ref="B74:B75"/>
    <mergeCell ref="C74:C75"/>
    <mergeCell ref="D74:D75"/>
    <mergeCell ref="F74:F75"/>
    <mergeCell ref="G74:G75"/>
    <mergeCell ref="H74:H75"/>
    <mergeCell ref="K56:R56"/>
    <mergeCell ref="S56:W56"/>
    <mergeCell ref="X56:AB56"/>
    <mergeCell ref="AC56:AG56"/>
    <mergeCell ref="AW56:BA56"/>
    <mergeCell ref="B58:B72"/>
    <mergeCell ref="AW38:BA38"/>
    <mergeCell ref="B40:B54"/>
    <mergeCell ref="B56:B57"/>
    <mergeCell ref="C56:C57"/>
    <mergeCell ref="D56:D57"/>
    <mergeCell ref="F56:F57"/>
    <mergeCell ref="G56:G57"/>
    <mergeCell ref="H56:H57"/>
    <mergeCell ref="I56:I57"/>
    <mergeCell ref="J56:J57"/>
    <mergeCell ref="I38:I39"/>
    <mergeCell ref="J38:J39"/>
    <mergeCell ref="K38:R38"/>
    <mergeCell ref="S38:W38"/>
    <mergeCell ref="X38:AB38"/>
    <mergeCell ref="AC38:AG38"/>
    <mergeCell ref="B38:B39"/>
    <mergeCell ref="C38:C39"/>
    <mergeCell ref="D38:D39"/>
    <mergeCell ref="F38:F39"/>
    <mergeCell ref="G38:G39"/>
    <mergeCell ref="H38:H39"/>
    <mergeCell ref="K20:R20"/>
    <mergeCell ref="S20:W20"/>
    <mergeCell ref="X20:AB20"/>
    <mergeCell ref="AC20:AG20"/>
    <mergeCell ref="AW20:BA20"/>
    <mergeCell ref="B22:B36"/>
    <mergeCell ref="AW2:BA2"/>
    <mergeCell ref="B4:B18"/>
    <mergeCell ref="B20:B21"/>
    <mergeCell ref="C20:C21"/>
    <mergeCell ref="D20:D21"/>
    <mergeCell ref="F20:F21"/>
    <mergeCell ref="G20:G21"/>
    <mergeCell ref="H20:H21"/>
    <mergeCell ref="I20:I21"/>
    <mergeCell ref="J20:J21"/>
    <mergeCell ref="I2:I3"/>
    <mergeCell ref="J2:J3"/>
    <mergeCell ref="K2:R2"/>
    <mergeCell ref="S2:W2"/>
    <mergeCell ref="X2:AB2"/>
    <mergeCell ref="AC2:AG2"/>
    <mergeCell ref="B2:B3"/>
    <mergeCell ref="C2:C3"/>
    <mergeCell ref="D2:D3"/>
    <mergeCell ref="F2:F3"/>
    <mergeCell ref="G2:G3"/>
    <mergeCell ref="H2:H3"/>
  </mergeCells>
  <phoneticPr fontId="19"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16DC-E0BC-4815-9255-67FC52DCE333}">
  <dimension ref="B3:AC39"/>
  <sheetViews>
    <sheetView showGridLines="0" workbookViewId="0">
      <selection activeCell="B4" sqref="B4:E19"/>
    </sheetView>
  </sheetViews>
  <sheetFormatPr defaultRowHeight="16.5"/>
  <cols>
    <col min="1" max="1" width="1.625" customWidth="1"/>
    <col min="3" max="3" width="15.75" customWidth="1"/>
    <col min="6" max="6" width="11.5" bestFit="1" customWidth="1"/>
    <col min="7" max="7" width="11.5" customWidth="1"/>
    <col min="8" max="8" width="10.875" customWidth="1"/>
    <col min="9" max="9" width="9.5" bestFit="1" customWidth="1"/>
    <col min="10" max="10" width="11.125" customWidth="1"/>
    <col min="11" max="11" width="9.5" bestFit="1" customWidth="1"/>
    <col min="12" max="12" width="11.125" customWidth="1"/>
    <col min="14" max="14" width="11.125" customWidth="1"/>
    <col min="16" max="16" width="11.125" customWidth="1"/>
    <col min="17" max="17" width="50.375" bestFit="1" customWidth="1"/>
    <col min="18" max="18" width="10.125" bestFit="1" customWidth="1"/>
    <col min="19" max="19" width="11.375" bestFit="1" customWidth="1"/>
    <col min="20" max="20" width="11.125" bestFit="1" customWidth="1"/>
  </cols>
  <sheetData>
    <row r="3" spans="2:29">
      <c r="Q3" s="389" t="s">
        <v>2621</v>
      </c>
    </row>
    <row r="4" spans="2:29" s="1809" customFormat="1" ht="16.5" customHeight="1">
      <c r="B4" s="2503" t="s">
        <v>132</v>
      </c>
      <c r="C4" s="2503" t="s">
        <v>2558</v>
      </c>
      <c r="D4" s="2504" t="s">
        <v>135</v>
      </c>
      <c r="E4" s="2505" t="s">
        <v>2614</v>
      </c>
      <c r="F4" s="2502" t="s">
        <v>138</v>
      </c>
      <c r="G4" s="2512" t="s">
        <v>2618</v>
      </c>
      <c r="H4" s="2507" t="s">
        <v>2561</v>
      </c>
      <c r="I4" s="2502" t="s">
        <v>2574</v>
      </c>
      <c r="J4" s="2502"/>
      <c r="K4" s="2502" t="s">
        <v>2615</v>
      </c>
      <c r="L4" s="2502"/>
      <c r="M4" s="2502" t="s">
        <v>2616</v>
      </c>
      <c r="N4" s="2502"/>
      <c r="O4" s="2502" t="s">
        <v>2617</v>
      </c>
      <c r="P4" s="2502"/>
      <c r="Q4" s="2502" t="s">
        <v>1815</v>
      </c>
      <c r="R4" s="1822"/>
      <c r="S4" s="1822"/>
      <c r="T4" s="1822"/>
      <c r="U4" s="1822"/>
      <c r="V4" s="1822"/>
      <c r="W4" s="1822"/>
      <c r="X4" s="1822"/>
      <c r="Y4" s="1822"/>
      <c r="Z4" s="1822"/>
      <c r="AA4" s="1822"/>
      <c r="AB4" s="1822"/>
      <c r="AC4" s="1822"/>
    </row>
    <row r="5" spans="2:29" s="1809" customFormat="1" ht="13.5">
      <c r="B5" s="2503"/>
      <c r="C5" s="2503"/>
      <c r="D5" s="2504"/>
      <c r="E5" s="2505"/>
      <c r="F5" s="2502"/>
      <c r="G5" s="2513"/>
      <c r="H5" s="2508"/>
      <c r="I5" s="2164" t="s">
        <v>148</v>
      </c>
      <c r="J5" s="2169" t="s">
        <v>2572</v>
      </c>
      <c r="K5" s="2164" t="s">
        <v>148</v>
      </c>
      <c r="L5" s="2169" t="s">
        <v>2572</v>
      </c>
      <c r="M5" s="2164" t="s">
        <v>148</v>
      </c>
      <c r="N5" s="2169" t="s">
        <v>2622</v>
      </c>
      <c r="O5" s="2164" t="s">
        <v>148</v>
      </c>
      <c r="P5" s="2169" t="s">
        <v>2622</v>
      </c>
      <c r="Q5" s="2502"/>
      <c r="R5" s="2153" t="s">
        <v>2619</v>
      </c>
      <c r="S5" s="1822"/>
      <c r="T5" s="1822"/>
      <c r="U5" s="1822"/>
      <c r="V5" s="1822"/>
      <c r="W5" s="1822"/>
      <c r="X5" s="1822"/>
      <c r="Y5" s="1822"/>
      <c r="Z5" s="1822"/>
      <c r="AA5" s="1822"/>
      <c r="AB5" s="1822"/>
      <c r="AC5" s="1822"/>
    </row>
    <row r="6" spans="2:29" s="1809" customFormat="1" ht="13.5">
      <c r="B6" s="2506" t="s">
        <v>2605</v>
      </c>
      <c r="C6" s="2170"/>
      <c r="D6" s="2171">
        <f>+SUM(D7:D14)</f>
        <v>7995.2000000000007</v>
      </c>
      <c r="E6" s="2172"/>
      <c r="F6" s="1933">
        <f>+SUM(F7:F14)</f>
        <v>2198812000</v>
      </c>
      <c r="G6" s="1852">
        <f>+SUM(G7:G14)</f>
        <v>726573100</v>
      </c>
      <c r="H6" s="1933">
        <f>+SUM(H7:H14)</f>
        <v>1472238900</v>
      </c>
      <c r="I6" s="2173"/>
      <c r="J6" s="1933">
        <f>+SUM(J7:J14)</f>
        <v>1209503900</v>
      </c>
      <c r="K6" s="1933"/>
      <c r="L6" s="1933">
        <f>+SUM(L7:L14)</f>
        <v>262735000</v>
      </c>
      <c r="M6" s="1933"/>
      <c r="N6" s="1852">
        <f>+SUM(N7:N14)</f>
        <v>67129700</v>
      </c>
      <c r="O6" s="1852"/>
      <c r="P6" s="1852">
        <f>+SUM(P7:P14)</f>
        <v>659443400</v>
      </c>
      <c r="Q6" s="1852"/>
      <c r="R6" s="1822"/>
      <c r="S6" s="1822"/>
      <c r="T6" s="2153" t="s">
        <v>2620</v>
      </c>
      <c r="U6" s="1822"/>
      <c r="V6" s="1822"/>
      <c r="W6" s="1822"/>
      <c r="X6" s="1822"/>
      <c r="Y6" s="1822"/>
      <c r="Z6" s="1822"/>
      <c r="AA6" s="1822"/>
      <c r="AB6" s="1822"/>
      <c r="AC6" s="1822"/>
    </row>
    <row r="7" spans="2:29" s="1809" customFormat="1" ht="12.75">
      <c r="B7" s="2506"/>
      <c r="C7" s="2171" t="str">
        <f>+'SPV별 CAPEX 현황'!C5</f>
        <v>YJ NANSAN 1</v>
      </c>
      <c r="D7" s="2171">
        <v>999.46</v>
      </c>
      <c r="E7" s="2172">
        <v>550000</v>
      </c>
      <c r="F7" s="1933">
        <f>+D7*E7</f>
        <v>549703000</v>
      </c>
      <c r="G7" s="1852">
        <f>+N7+P7</f>
        <v>181646300</v>
      </c>
      <c r="H7" s="1933">
        <f>+J7+L7</f>
        <v>368056700</v>
      </c>
      <c r="I7" s="2173">
        <f>+'GM Batch1'!M12</f>
        <v>45450</v>
      </c>
      <c r="J7" s="1933">
        <f>+'GM Batch1'!Q12</f>
        <v>302372950</v>
      </c>
      <c r="K7" s="2173">
        <f>+'GM Batch1'!U12</f>
        <v>45456</v>
      </c>
      <c r="L7" s="1933">
        <f>+'GM Batch1'!X12</f>
        <v>65683750</v>
      </c>
      <c r="M7" s="2173"/>
      <c r="N7" s="1852">
        <f>+'GM Batch1'!AD12</f>
        <v>16781600</v>
      </c>
      <c r="O7" s="2187"/>
      <c r="P7" s="1852">
        <f>+'GM Batch1'!BM12-66000</f>
        <v>164864700</v>
      </c>
      <c r="Q7" s="2187"/>
      <c r="R7" s="1822"/>
      <c r="S7" s="1822"/>
      <c r="T7" s="1822">
        <v>66000</v>
      </c>
      <c r="U7" s="1822"/>
      <c r="V7" s="1822"/>
      <c r="W7" s="1822"/>
      <c r="X7" s="1822"/>
      <c r="Y7" s="1822"/>
      <c r="Z7" s="1822"/>
      <c r="AA7" s="1822"/>
      <c r="AB7" s="1822"/>
      <c r="AC7" s="1822"/>
    </row>
    <row r="8" spans="2:29" s="1809" customFormat="1" ht="12.75">
      <c r="B8" s="2506"/>
      <c r="C8" s="2171" t="str">
        <f>+'SPV별 CAPEX 현황'!C6</f>
        <v>YJ NANSAN 2</v>
      </c>
      <c r="D8" s="2171">
        <v>999.46</v>
      </c>
      <c r="E8" s="2172">
        <v>550000</v>
      </c>
      <c r="F8" s="1933">
        <f t="shared" ref="F8:F10" si="0">+D8*E8</f>
        <v>549703000</v>
      </c>
      <c r="G8" s="1852">
        <f t="shared" ref="G8:G10" si="1">+N8+P8</f>
        <v>181646300</v>
      </c>
      <c r="H8" s="1933">
        <f t="shared" ref="H8:H10" si="2">+J8+L8</f>
        <v>368056700</v>
      </c>
      <c r="I8" s="2173">
        <f>+'GM Batch1'!N18</f>
        <v>45450</v>
      </c>
      <c r="J8" s="1933">
        <f>+'GM Batch1'!Q18</f>
        <v>302372950</v>
      </c>
      <c r="K8" s="2173">
        <f>+'GM Batch1'!U18</f>
        <v>45456</v>
      </c>
      <c r="L8" s="1933">
        <f>+'GM Batch1'!X18</f>
        <v>65683750</v>
      </c>
      <c r="M8" s="2173"/>
      <c r="N8" s="1852">
        <f>+'GM Batch1'!AD18</f>
        <v>16781600</v>
      </c>
      <c r="O8" s="2187"/>
      <c r="P8" s="1852">
        <f>+'GM Batch1'!BM18-66000</f>
        <v>164864700</v>
      </c>
      <c r="Q8" s="2187"/>
      <c r="R8" s="1822"/>
      <c r="S8" s="1822"/>
      <c r="T8" s="1822">
        <v>66000</v>
      </c>
      <c r="U8" s="1822"/>
      <c r="V8" s="1822"/>
      <c r="W8" s="1822"/>
      <c r="X8" s="1822"/>
      <c r="Y8" s="1822"/>
      <c r="Z8" s="1822"/>
      <c r="AA8" s="1822"/>
      <c r="AB8" s="1822"/>
      <c r="AC8" s="1822"/>
    </row>
    <row r="9" spans="2:29" s="1809" customFormat="1" ht="12.75">
      <c r="B9" s="2506"/>
      <c r="C9" s="2171" t="str">
        <f>+'SPV별 CAPEX 현황'!C7</f>
        <v>YJ GASI 1</v>
      </c>
      <c r="D9" s="2171">
        <v>999.46</v>
      </c>
      <c r="E9" s="2172">
        <v>550000</v>
      </c>
      <c r="F9" s="1933">
        <f t="shared" si="0"/>
        <v>549703000</v>
      </c>
      <c r="G9" s="1852">
        <f t="shared" si="1"/>
        <v>181640250</v>
      </c>
      <c r="H9" s="1933">
        <f t="shared" si="2"/>
        <v>368062750</v>
      </c>
      <c r="I9" s="2173">
        <f>+'GM Batch1'!N24</f>
        <v>45450</v>
      </c>
      <c r="J9" s="1933">
        <f>+'GM Batch1'!Q24</f>
        <v>302379000</v>
      </c>
      <c r="K9" s="2173">
        <f>+'GM Batch1'!U24</f>
        <v>45456</v>
      </c>
      <c r="L9" s="1933">
        <f>+'GM Batch1'!X24</f>
        <v>65683750</v>
      </c>
      <c r="M9" s="2173"/>
      <c r="N9" s="1852">
        <f>+'GM Batch1'!AD24</f>
        <v>16783250</v>
      </c>
      <c r="O9" s="2187"/>
      <c r="P9" s="1852">
        <f>+'GM Batch1'!BM24-77000</f>
        <v>164857000</v>
      </c>
      <c r="Q9" s="2187"/>
      <c r="R9" s="1822"/>
      <c r="S9" s="1822"/>
      <c r="T9" s="1822">
        <v>77000</v>
      </c>
      <c r="U9" s="1822"/>
      <c r="V9" s="1822"/>
      <c r="W9" s="1822"/>
      <c r="X9" s="1822"/>
      <c r="Y9" s="1822"/>
      <c r="Z9" s="1822"/>
      <c r="AA9" s="1822"/>
      <c r="AB9" s="1822"/>
      <c r="AC9" s="1822"/>
    </row>
    <row r="10" spans="2:29" s="1809" customFormat="1" ht="12.75">
      <c r="B10" s="2506"/>
      <c r="C10" s="2171" t="str">
        <f>+'SPV별 CAPEX 현황'!C8</f>
        <v>YJ GASI 2</v>
      </c>
      <c r="D10" s="2171">
        <v>999.46</v>
      </c>
      <c r="E10" s="2172">
        <v>550000</v>
      </c>
      <c r="F10" s="1933">
        <f t="shared" si="0"/>
        <v>549703000</v>
      </c>
      <c r="G10" s="1852">
        <f t="shared" si="1"/>
        <v>181640250</v>
      </c>
      <c r="H10" s="1933">
        <f t="shared" si="2"/>
        <v>368062750</v>
      </c>
      <c r="I10" s="2173">
        <f>+'GM Batch1'!N30</f>
        <v>45450</v>
      </c>
      <c r="J10" s="1933">
        <f>+'GM Batch1'!Q30</f>
        <v>302379000</v>
      </c>
      <c r="K10" s="2173">
        <f>+'GM Batch1'!U30</f>
        <v>45456</v>
      </c>
      <c r="L10" s="1933">
        <f>+'GM Batch1'!X30</f>
        <v>65683750</v>
      </c>
      <c r="M10" s="2173"/>
      <c r="N10" s="1852">
        <f>+'GM Batch1'!AD30</f>
        <v>16783250</v>
      </c>
      <c r="O10" s="2187"/>
      <c r="P10" s="1852">
        <f>+'GM Batch1'!BM30-77000</f>
        <v>164857000</v>
      </c>
      <c r="Q10" s="2187"/>
      <c r="R10" s="1822"/>
      <c r="S10" s="1822"/>
      <c r="T10" s="1822">
        <v>77000</v>
      </c>
      <c r="U10" s="1822"/>
      <c r="V10" s="1822"/>
      <c r="W10" s="1822"/>
      <c r="X10" s="1822"/>
      <c r="Y10" s="1822"/>
      <c r="Z10" s="1822"/>
      <c r="AA10" s="1822"/>
      <c r="AB10" s="1822"/>
      <c r="AC10" s="1822"/>
    </row>
    <row r="11" spans="2:29" s="1809" customFormat="1" ht="12.75">
      <c r="B11" s="2506"/>
      <c r="C11" s="2171" t="str">
        <f>+'SPV별 CAPEX 현황'!C9</f>
        <v>Dream 1</v>
      </c>
      <c r="D11" s="2171">
        <f>+'SPV별 CAPEX 현황'!D9</f>
        <v>999.24</v>
      </c>
      <c r="E11" s="2172">
        <v>550000</v>
      </c>
      <c r="F11" s="1933"/>
      <c r="G11" s="1852"/>
      <c r="H11" s="1933">
        <f>+J11+L11+N11+P11</f>
        <v>0</v>
      </c>
      <c r="I11" s="2173"/>
      <c r="J11" s="1933"/>
      <c r="K11" s="2173"/>
      <c r="L11" s="1933"/>
      <c r="M11" s="2173"/>
      <c r="N11" s="1852"/>
      <c r="O11" s="1852"/>
      <c r="P11" s="1852"/>
      <c r="Q11" s="1852"/>
      <c r="R11" s="1822"/>
      <c r="S11" s="1822"/>
      <c r="T11" s="1822"/>
      <c r="U11" s="1822"/>
      <c r="V11" s="1822"/>
      <c r="W11" s="1822"/>
      <c r="X11" s="1822"/>
      <c r="Y11" s="1822"/>
      <c r="Z11" s="1822"/>
      <c r="AA11" s="1822"/>
      <c r="AB11" s="1822"/>
      <c r="AC11" s="1822"/>
    </row>
    <row r="12" spans="2:29" s="1809" customFormat="1" ht="12.75">
      <c r="B12" s="2506"/>
      <c r="C12" s="2171" t="str">
        <f>+'SPV별 CAPEX 현황'!C10</f>
        <v>Dream 2</v>
      </c>
      <c r="D12" s="2171">
        <f>+'SPV별 CAPEX 현황'!D10</f>
        <v>999.24</v>
      </c>
      <c r="E12" s="2172">
        <v>550000</v>
      </c>
      <c r="F12" s="1933"/>
      <c r="G12" s="1852"/>
      <c r="H12" s="1933">
        <f>+J12+L12+N12+P12</f>
        <v>0</v>
      </c>
      <c r="I12" s="2173"/>
      <c r="J12" s="1933"/>
      <c r="K12" s="2173"/>
      <c r="L12" s="1933"/>
      <c r="M12" s="2173"/>
      <c r="N12" s="1852"/>
      <c r="O12" s="1852"/>
      <c r="P12" s="1852"/>
      <c r="Q12" s="1852"/>
      <c r="R12" s="1822"/>
      <c r="S12" s="1822"/>
      <c r="T12" s="1822"/>
      <c r="U12" s="1822"/>
      <c r="V12" s="1822"/>
      <c r="W12" s="1822"/>
      <c r="X12" s="1822"/>
      <c r="Y12" s="1822"/>
      <c r="Z12" s="1822"/>
      <c r="AA12" s="1822"/>
      <c r="AB12" s="1822"/>
      <c r="AC12" s="1822"/>
    </row>
    <row r="13" spans="2:29" s="1809" customFormat="1" ht="12.75">
      <c r="B13" s="2506"/>
      <c r="C13" s="2171" t="str">
        <f>+'SPV별 CAPEX 현황'!C11</f>
        <v>JEIL TECH 1</v>
      </c>
      <c r="D13" s="2171">
        <f>+'SPV별 CAPEX 현황'!D11</f>
        <v>999.44</v>
      </c>
      <c r="E13" s="2172">
        <v>550000</v>
      </c>
      <c r="F13" s="1933"/>
      <c r="G13" s="1852"/>
      <c r="H13" s="1933">
        <f>+J13+L13+N13+P13</f>
        <v>0</v>
      </c>
      <c r="I13" s="2173"/>
      <c r="J13" s="1933"/>
      <c r="K13" s="2173"/>
      <c r="L13" s="1933"/>
      <c r="M13" s="2173"/>
      <c r="N13" s="1852"/>
      <c r="O13" s="1852"/>
      <c r="P13" s="1852"/>
      <c r="Q13" s="1852"/>
      <c r="R13" s="1822"/>
      <c r="S13" s="1822"/>
      <c r="T13" s="1822"/>
      <c r="U13" s="1822"/>
      <c r="V13" s="1822"/>
      <c r="W13" s="1822"/>
      <c r="X13" s="1822"/>
      <c r="Y13" s="1822"/>
      <c r="Z13" s="1822"/>
      <c r="AA13" s="1822"/>
      <c r="AB13" s="1822"/>
      <c r="AC13" s="1822"/>
    </row>
    <row r="14" spans="2:29" s="1809" customFormat="1" ht="12.75">
      <c r="B14" s="2506"/>
      <c r="C14" s="2171" t="str">
        <f>+'SPV별 CAPEX 현황'!C12</f>
        <v>JEIL TECH 2</v>
      </c>
      <c r="D14" s="2171">
        <f>+'SPV별 CAPEX 현황'!D12</f>
        <v>999.44</v>
      </c>
      <c r="E14" s="2172">
        <v>550000</v>
      </c>
      <c r="F14" s="1933"/>
      <c r="G14" s="1852"/>
      <c r="H14" s="1933">
        <f>+J14+L14+N14+P14</f>
        <v>0</v>
      </c>
      <c r="I14" s="2173"/>
      <c r="J14" s="1933"/>
      <c r="K14" s="2173"/>
      <c r="L14" s="1933"/>
      <c r="M14" s="2173"/>
      <c r="N14" s="1852"/>
      <c r="O14" s="1852"/>
      <c r="P14" s="1852"/>
      <c r="Q14" s="1852"/>
      <c r="R14" s="1822"/>
      <c r="S14" s="1822"/>
      <c r="T14" s="1822"/>
      <c r="U14" s="1822"/>
      <c r="V14" s="1822"/>
      <c r="W14" s="1822"/>
      <c r="X14" s="1822"/>
      <c r="Y14" s="1822"/>
      <c r="Z14" s="1822"/>
      <c r="AA14" s="1822"/>
      <c r="AB14" s="1822"/>
      <c r="AC14" s="1822"/>
    </row>
    <row r="15" spans="2:29" s="1809" customFormat="1" ht="12.75">
      <c r="B15" s="1810"/>
      <c r="C15" s="1859"/>
      <c r="D15" s="1859"/>
      <c r="E15" s="2183"/>
      <c r="F15" s="1822"/>
      <c r="G15" s="2191"/>
      <c r="H15" s="1822"/>
      <c r="I15" s="2192"/>
      <c r="J15" s="1822"/>
      <c r="K15" s="2192"/>
      <c r="L15" s="1822"/>
      <c r="M15" s="2192"/>
      <c r="N15" s="2191"/>
      <c r="O15" s="2191"/>
      <c r="P15" s="2191"/>
      <c r="Q15" s="2191"/>
      <c r="R15" s="1822"/>
      <c r="S15" s="1822"/>
      <c r="T15" s="1822"/>
      <c r="U15" s="1822"/>
      <c r="V15" s="1822"/>
      <c r="W15" s="1822"/>
      <c r="X15" s="1822"/>
      <c r="Y15" s="1822"/>
      <c r="Z15" s="1822"/>
      <c r="AA15" s="1822"/>
      <c r="AB15" s="1822"/>
      <c r="AC15" s="1822"/>
    </row>
    <row r="16" spans="2:29">
      <c r="Q16" s="389" t="s">
        <v>2621</v>
      </c>
    </row>
    <row r="17" spans="2:20">
      <c r="B17" s="2503" t="s">
        <v>132</v>
      </c>
      <c r="C17" s="2503" t="s">
        <v>2624</v>
      </c>
      <c r="D17" s="2504" t="s">
        <v>135</v>
      </c>
      <c r="E17" s="2505" t="s">
        <v>2614</v>
      </c>
      <c r="F17" s="2502" t="s">
        <v>138</v>
      </c>
      <c r="G17" s="2512" t="s">
        <v>2618</v>
      </c>
      <c r="H17" s="2507" t="s">
        <v>2561</v>
      </c>
      <c r="I17" s="2502" t="s">
        <v>2574</v>
      </c>
      <c r="J17" s="2502"/>
      <c r="K17" s="2502" t="s">
        <v>2615</v>
      </c>
      <c r="L17" s="2502"/>
      <c r="M17" s="2502" t="s">
        <v>2616</v>
      </c>
      <c r="N17" s="2502"/>
      <c r="O17" s="2502" t="s">
        <v>2617</v>
      </c>
      <c r="P17" s="2502"/>
      <c r="Q17" s="2502" t="s">
        <v>1815</v>
      </c>
    </row>
    <row r="18" spans="2:20">
      <c r="B18" s="2503"/>
      <c r="C18" s="2503"/>
      <c r="D18" s="2504"/>
      <c r="E18" s="2505"/>
      <c r="F18" s="2502"/>
      <c r="G18" s="2513"/>
      <c r="H18" s="2508"/>
      <c r="I18" s="2164" t="s">
        <v>148</v>
      </c>
      <c r="J18" s="2169" t="s">
        <v>2572</v>
      </c>
      <c r="K18" s="2164" t="s">
        <v>148</v>
      </c>
      <c r="L18" s="2169" t="s">
        <v>2622</v>
      </c>
      <c r="M18" s="2164" t="s">
        <v>148</v>
      </c>
      <c r="N18" s="2169" t="s">
        <v>2622</v>
      </c>
      <c r="O18" s="2164" t="s">
        <v>148</v>
      </c>
      <c r="P18" s="2169" t="s">
        <v>2622</v>
      </c>
      <c r="Q18" s="2502"/>
    </row>
    <row r="19" spans="2:20">
      <c r="B19" s="2506" t="s">
        <v>2605</v>
      </c>
      <c r="C19" s="2170"/>
      <c r="D19" s="2171">
        <f>+SUM(D20:D25)</f>
        <v>2398.92</v>
      </c>
      <c r="E19" s="2172"/>
      <c r="F19" s="1933">
        <f>+SUM(F20:F25)</f>
        <v>2039082000</v>
      </c>
      <c r="G19" s="1852">
        <f>+SUM(G20:G25)</f>
        <v>1298830800</v>
      </c>
      <c r="H19" s="1933">
        <f>+SUM(H20:H25)</f>
        <v>740251200</v>
      </c>
      <c r="I19" s="2173"/>
      <c r="J19" s="1933">
        <f>+SUM(J20:J25)</f>
        <v>740251200</v>
      </c>
      <c r="K19" s="1933"/>
      <c r="L19" s="1852">
        <f>+SUM(L20:L25)</f>
        <v>311859600</v>
      </c>
      <c r="M19" s="1933"/>
      <c r="N19" s="1852">
        <f>+SUM(N20:N25)</f>
        <v>467789400</v>
      </c>
      <c r="O19" s="1852"/>
      <c r="P19" s="1852">
        <f>+SUM(P20:P25)</f>
        <v>519181799.99999994</v>
      </c>
      <c r="Q19" s="1852"/>
    </row>
    <row r="20" spans="2:20">
      <c r="B20" s="2506"/>
      <c r="C20" s="2171" t="str">
        <f>+'GM Batch2-APA'!C11</f>
        <v>Jangchon 1 (APA)</v>
      </c>
      <c r="D20" s="2171">
        <f>+'GM Batch2-APA'!D11</f>
        <v>551.04</v>
      </c>
      <c r="E20" s="2172">
        <v>850000</v>
      </c>
      <c r="F20" s="1933">
        <f>+D20*E20</f>
        <v>468383999.99999994</v>
      </c>
      <c r="G20" s="1852">
        <f>+L20+N20+P20</f>
        <v>208581599.99999994</v>
      </c>
      <c r="H20" s="1933">
        <f>+J20</f>
        <v>259802400</v>
      </c>
      <c r="I20" s="2173">
        <f>+'GM Batch2-APA'!N13</f>
        <v>45807</v>
      </c>
      <c r="J20" s="1933">
        <f>+'GM Batch2-APA'!Q12+'GM Batch2-APA'!Q13+'GM Batch2-APA'!Q14</f>
        <v>259802400</v>
      </c>
      <c r="K20" s="2173"/>
      <c r="L20" s="1852">
        <f>+'GM Batch2-APA'!W12+'GM Batch2-APA'!W13</f>
        <v>71635200</v>
      </c>
      <c r="M20" s="2173"/>
      <c r="N20" s="1852">
        <f>+'GM Batch2-APA'!AD12+'GM Batch2-APA'!AD13</f>
        <v>107452800</v>
      </c>
      <c r="O20" s="2187"/>
      <c r="P20" s="1852">
        <v>29493599.99999994</v>
      </c>
      <c r="Q20" s="2189" t="s">
        <v>2623</v>
      </c>
      <c r="S20" s="2190" t="b">
        <f>+F20=G20+H20</f>
        <v>1</v>
      </c>
      <c r="T20" s="2190"/>
    </row>
    <row r="21" spans="2:20">
      <c r="B21" s="2506"/>
      <c r="C21" s="2171" t="str">
        <f>+'GM Batch2-APA'!C17</f>
        <v>Soltop Masan 1 (APA)</v>
      </c>
      <c r="D21" s="2171">
        <f>+'GM Batch2-APA'!D17</f>
        <v>399.04</v>
      </c>
      <c r="E21" s="2172">
        <v>850000</v>
      </c>
      <c r="F21" s="1933">
        <f t="shared" ref="F21" si="3">+D21*E21</f>
        <v>339184000</v>
      </c>
      <c r="G21" s="1852">
        <f t="shared" ref="G21:G25" si="4">+L21+N21+P21</f>
        <v>235433600</v>
      </c>
      <c r="H21" s="1933">
        <f t="shared" ref="H21:H25" si="5">+J21</f>
        <v>103750400</v>
      </c>
      <c r="I21" s="2173">
        <f>+'GM Batch2-APA'!M18</f>
        <v>45807</v>
      </c>
      <c r="J21" s="1933">
        <f>+'GM Batch2-APA'!Q18+'GM Batch2-APA'!Q19+'GM Batch2-APA'!Q20</f>
        <v>103750400</v>
      </c>
      <c r="K21" s="2173"/>
      <c r="L21" s="1852">
        <f>+'GM Batch2-APA'!W18+'GM Batch2-APA'!W19</f>
        <v>51875200</v>
      </c>
      <c r="M21" s="2173"/>
      <c r="N21" s="1852">
        <f>+'GM Batch2-APA'!AD18+'GM Batch2-APA'!AD19</f>
        <v>77812800</v>
      </c>
      <c r="O21" s="2187"/>
      <c r="P21" s="1852">
        <f>+'GM Batch2-APA'!BM18+'GM Batch2-APA'!BM19+'GM Batch2-APA'!BM20</f>
        <v>105745600</v>
      </c>
      <c r="Q21" s="2187"/>
      <c r="S21" s="2190" t="b">
        <f t="shared" ref="S21:S25" si="6">+F21=G21+H21</f>
        <v>1</v>
      </c>
      <c r="T21" s="2190"/>
    </row>
    <row r="22" spans="2:20">
      <c r="B22" s="2506"/>
      <c r="C22" s="2171" t="str">
        <f>+'GM Batch2-APA'!C23</f>
        <v>Hanil Mugok 15 (APA)</v>
      </c>
      <c r="D22" s="2171">
        <f>+'GM Batch2-APA'!D23</f>
        <v>499.96</v>
      </c>
      <c r="E22" s="2172">
        <v>850000</v>
      </c>
      <c r="F22" s="1933">
        <f t="shared" ref="F22:F25" si="7">+D22*E22</f>
        <v>424966000</v>
      </c>
      <c r="G22" s="1852">
        <f t="shared" si="4"/>
        <v>294976400</v>
      </c>
      <c r="H22" s="1933">
        <f t="shared" si="5"/>
        <v>129989600</v>
      </c>
      <c r="I22" s="2173">
        <f>+I21</f>
        <v>45807</v>
      </c>
      <c r="J22" s="1933">
        <f>+'GM Batch2-APA'!Q24+'GM Batch2-APA'!Q25+'GM Batch2-APA'!Q26</f>
        <v>129989600</v>
      </c>
      <c r="K22" s="2173"/>
      <c r="L22" s="1852">
        <f>+'GM Batch2-APA'!W24+'GM Batch2-APA'!W25</f>
        <v>64994800</v>
      </c>
      <c r="M22" s="2173"/>
      <c r="N22" s="1852">
        <f>+'GM Batch2-APA'!AD24+'GM Batch2-APA'!AD25</f>
        <v>97492200</v>
      </c>
      <c r="O22" s="2187"/>
      <c r="P22" s="1852">
        <f>+'GM Batch2-APA'!BM24+'GM Batch2-APA'!BM25+'GM Batch2-APA'!BM26</f>
        <v>132489400</v>
      </c>
      <c r="Q22" s="2187"/>
      <c r="S22" s="2190" t="b">
        <f t="shared" si="6"/>
        <v>1</v>
      </c>
      <c r="T22" s="2190"/>
    </row>
    <row r="23" spans="2:20">
      <c r="B23" s="2506"/>
      <c r="C23" s="2171" t="str">
        <f>+'GM Batch2-APA'!C29</f>
        <v>Hanil Jigyeong 1 (APA)</v>
      </c>
      <c r="D23" s="2171">
        <f>+'GM Batch2-APA'!D29</f>
        <v>499.96</v>
      </c>
      <c r="E23" s="2172">
        <v>850000</v>
      </c>
      <c r="F23" s="1933">
        <f t="shared" si="7"/>
        <v>424966000</v>
      </c>
      <c r="G23" s="1852">
        <f t="shared" si="4"/>
        <v>294976400</v>
      </c>
      <c r="H23" s="1933">
        <f t="shared" si="5"/>
        <v>129989600</v>
      </c>
      <c r="I23" s="2173">
        <f>+I22</f>
        <v>45807</v>
      </c>
      <c r="J23" s="1933">
        <f>+'GM Batch2-APA'!Q30+'GM Batch2-APA'!Q31+'GM Batch2-APA'!Q32</f>
        <v>129989600</v>
      </c>
      <c r="K23" s="2173"/>
      <c r="L23" s="1852">
        <f>+'GM Batch2-APA'!W30+'GM Batch2-APA'!W31</f>
        <v>64994800</v>
      </c>
      <c r="M23" s="2173"/>
      <c r="N23" s="1852">
        <f>+'GM Batch2-APA'!AD30+'GM Batch2-APA'!AD31</f>
        <v>97492200</v>
      </c>
      <c r="O23" s="2187"/>
      <c r="P23" s="1852">
        <f>+'GM Batch2-APA'!BM30+'GM Batch2-APA'!BM31+'GM Batch2-APA'!BM32</f>
        <v>132489400</v>
      </c>
      <c r="Q23" s="2187"/>
      <c r="S23" s="2190" t="b">
        <f t="shared" si="6"/>
        <v>1</v>
      </c>
      <c r="T23" s="2190"/>
    </row>
    <row r="24" spans="2:20">
      <c r="B24" s="2506"/>
      <c r="C24" s="2171" t="str">
        <f>+'GM Batch2-APA'!C35</f>
        <v>Hanil Jigyeong 2 (APA)</v>
      </c>
      <c r="D24" s="2171">
        <f>+'GM Batch2-APA'!D35</f>
        <v>149.63999999999999</v>
      </c>
      <c r="E24" s="2172">
        <v>850000</v>
      </c>
      <c r="F24" s="1933">
        <f t="shared" si="7"/>
        <v>127193999.99999999</v>
      </c>
      <c r="G24" s="1852">
        <f t="shared" si="4"/>
        <v>88287600</v>
      </c>
      <c r="H24" s="1933">
        <f t="shared" si="5"/>
        <v>38906400</v>
      </c>
      <c r="I24" s="2173">
        <f t="shared" ref="I24:I25" si="8">+I23</f>
        <v>45807</v>
      </c>
      <c r="J24" s="1933">
        <f>+'GM Batch2-APA'!Q36+'GM Batch2-APA'!Q37+'GM Batch2-APA'!Q38</f>
        <v>38906400</v>
      </c>
      <c r="K24" s="2173"/>
      <c r="L24" s="1852">
        <f>+'GM Batch2-APA'!W36+'GM Batch2-APA'!W37</f>
        <v>19453200</v>
      </c>
      <c r="M24" s="2173"/>
      <c r="N24" s="1852">
        <f>+'GM Batch2-APA'!AD36+'GM Batch2-APA'!AD37</f>
        <v>29179799.999999993</v>
      </c>
      <c r="O24" s="2187"/>
      <c r="P24" s="1852">
        <f>+'GM Batch2-APA'!BM36+'GM Batch2-APA'!BM37+'GM Batch2-APA'!BM38</f>
        <v>39654600</v>
      </c>
      <c r="Q24" s="2187"/>
      <c r="S24" s="2190" t="b">
        <f t="shared" si="6"/>
        <v>1</v>
      </c>
      <c r="T24" s="2190"/>
    </row>
    <row r="25" spans="2:20">
      <c r="B25" s="2506"/>
      <c r="C25" s="2171" t="str">
        <f>+'GM Batch2-APA'!C41</f>
        <v>Ho Duck4 (APA)</v>
      </c>
      <c r="D25" s="2171">
        <f>+'GM Batch2-APA'!D41</f>
        <v>299.27999999999997</v>
      </c>
      <c r="E25" s="2172">
        <v>850000</v>
      </c>
      <c r="F25" s="1933">
        <f t="shared" si="7"/>
        <v>254387999.99999997</v>
      </c>
      <c r="G25" s="1852">
        <f t="shared" si="4"/>
        <v>176575200</v>
      </c>
      <c r="H25" s="1933">
        <f t="shared" si="5"/>
        <v>77812800</v>
      </c>
      <c r="I25" s="2173">
        <f t="shared" si="8"/>
        <v>45807</v>
      </c>
      <c r="J25" s="1933">
        <f>+'GM Batch2-APA'!Q42+'GM Batch2-APA'!Q43+'GM Batch2-APA'!Q44</f>
        <v>77812800</v>
      </c>
      <c r="K25" s="2173"/>
      <c r="L25" s="1852">
        <f>+'GM Batch2-APA'!W42+'GM Batch2-APA'!W43</f>
        <v>38906400</v>
      </c>
      <c r="M25" s="2173"/>
      <c r="N25" s="1852">
        <f>+'GM Batch2-APA'!AD42+'GM Batch2-APA'!AD43</f>
        <v>58359599.999999985</v>
      </c>
      <c r="O25" s="2187"/>
      <c r="P25" s="1852">
        <f>+'GM Batch2-APA'!BM42+'GM Batch2-APA'!BM43+'GM Batch2-APA'!BM44</f>
        <v>79309200</v>
      </c>
      <c r="Q25" s="2187"/>
      <c r="S25" s="2190" t="b">
        <f t="shared" si="6"/>
        <v>1</v>
      </c>
      <c r="T25" s="2190"/>
    </row>
    <row r="26" spans="2:20">
      <c r="B26" t="s">
        <v>2625</v>
      </c>
    </row>
    <row r="27" spans="2:20">
      <c r="B27" t="s">
        <v>2627</v>
      </c>
    </row>
    <row r="28" spans="2:20">
      <c r="B28" t="s">
        <v>2630</v>
      </c>
    </row>
    <row r="29" spans="2:20">
      <c r="B29" t="s">
        <v>2626</v>
      </c>
    </row>
    <row r="30" spans="2:20">
      <c r="Q30" s="389" t="s">
        <v>2621</v>
      </c>
    </row>
    <row r="31" spans="2:20">
      <c r="B31" s="2503" t="s">
        <v>132</v>
      </c>
      <c r="C31" s="2503" t="s">
        <v>2624</v>
      </c>
      <c r="D31" s="2504" t="s">
        <v>135</v>
      </c>
      <c r="E31" s="2505" t="s">
        <v>2614</v>
      </c>
      <c r="F31" s="2502" t="s">
        <v>138</v>
      </c>
      <c r="G31" s="2512" t="s">
        <v>2618</v>
      </c>
      <c r="H31" s="2507" t="s">
        <v>2561</v>
      </c>
      <c r="I31" s="2502" t="s">
        <v>2803</v>
      </c>
      <c r="J31" s="2502"/>
      <c r="K31" s="2502" t="s">
        <v>2615</v>
      </c>
      <c r="L31" s="2502"/>
      <c r="M31" s="2502" t="s">
        <v>2616</v>
      </c>
      <c r="N31" s="2502"/>
      <c r="O31" s="2502" t="s">
        <v>2804</v>
      </c>
      <c r="P31" s="2502"/>
      <c r="Q31" s="2502" t="s">
        <v>1815</v>
      </c>
    </row>
    <row r="32" spans="2:20">
      <c r="B32" s="2503"/>
      <c r="C32" s="2503"/>
      <c r="D32" s="2504"/>
      <c r="E32" s="2505"/>
      <c r="F32" s="2502"/>
      <c r="G32" s="2513"/>
      <c r="H32" s="2508"/>
      <c r="I32" s="2164" t="s">
        <v>148</v>
      </c>
      <c r="J32" s="2169" t="s">
        <v>2572</v>
      </c>
      <c r="K32" s="2164" t="s">
        <v>148</v>
      </c>
      <c r="L32" s="2169" t="s">
        <v>2622</v>
      </c>
      <c r="M32" s="2164" t="s">
        <v>148</v>
      </c>
      <c r="N32" s="2169" t="s">
        <v>2622</v>
      </c>
      <c r="O32" s="2164" t="s">
        <v>148</v>
      </c>
      <c r="P32" s="2169" t="s">
        <v>2622</v>
      </c>
      <c r="Q32" s="2502"/>
    </row>
    <row r="33" spans="2:20">
      <c r="B33" s="2506" t="s">
        <v>2605</v>
      </c>
      <c r="C33" s="2170"/>
      <c r="D33" s="2171">
        <f>+SUM(D34:D37)</f>
        <v>2443.3199999999997</v>
      </c>
      <c r="E33" s="2172"/>
      <c r="F33" s="1933">
        <f>+SUM(F34:F37)</f>
        <v>1390156000</v>
      </c>
      <c r="G33" s="1852">
        <f>+SUM(G34:G37)</f>
        <v>488664000</v>
      </c>
      <c r="H33" s="1933">
        <f>+SUM(H34:H37)</f>
        <v>901492000</v>
      </c>
      <c r="I33" s="2173"/>
      <c r="J33" s="1933">
        <f>+SUM(J34:J37)</f>
        <v>901492000</v>
      </c>
      <c r="K33" s="1933"/>
      <c r="L33" s="1852">
        <f>+SUM(L34:L37)</f>
        <v>0</v>
      </c>
      <c r="M33" s="1933"/>
      <c r="N33" s="1852">
        <f>+SUM(N34:N37)</f>
        <v>0</v>
      </c>
      <c r="O33" s="1852"/>
      <c r="P33" s="1852">
        <f>+SUM(P34:P37)</f>
        <v>488664000</v>
      </c>
      <c r="Q33" s="1852"/>
    </row>
    <row r="34" spans="2:20">
      <c r="B34" s="2506"/>
      <c r="C34" s="2171" t="str">
        <f>+'GM Batch2-SPA'!C11</f>
        <v>Galsan (SPA)</v>
      </c>
      <c r="D34" s="2171">
        <v>617.76</v>
      </c>
      <c r="E34" s="2172"/>
      <c r="F34" s="1933">
        <f>+D34*200000000/1000+223820970</f>
        <v>347372970</v>
      </c>
      <c r="G34" s="1852">
        <f>+L34+N34+P34</f>
        <v>123552000</v>
      </c>
      <c r="H34" s="1933">
        <f>+J34</f>
        <v>223820970</v>
      </c>
      <c r="I34" s="2173">
        <f>+'GM Batch2-SPA'!N12</f>
        <v>45863</v>
      </c>
      <c r="J34" s="1933">
        <f>+'GM Batch2-SPA'!K12</f>
        <v>223820970</v>
      </c>
      <c r="K34" s="2173"/>
      <c r="L34" s="1852"/>
      <c r="M34" s="2173"/>
      <c r="N34" s="1852"/>
      <c r="O34" s="2187"/>
      <c r="P34" s="1852">
        <f>+D34*200000000/1000</f>
        <v>123552000</v>
      </c>
      <c r="Q34" s="2189"/>
      <c r="S34" s="2190" t="b">
        <f>+P34+J34=F34</f>
        <v>1</v>
      </c>
      <c r="T34" s="2190"/>
    </row>
    <row r="35" spans="2:20">
      <c r="B35" s="2506"/>
      <c r="C35" s="2171" t="str">
        <f>+'GM Batch2-SPA'!C17</f>
        <v>Mineuri (SPA)</v>
      </c>
      <c r="D35" s="2171">
        <v>564.96</v>
      </c>
      <c r="E35" s="2172"/>
      <c r="F35" s="1933">
        <f>+D35*200000000/1000+110418040</f>
        <v>223410040</v>
      </c>
      <c r="G35" s="1852">
        <f t="shared" ref="G35:G37" si="9">+L35+N35+P35</f>
        <v>112992000</v>
      </c>
      <c r="H35" s="1933">
        <f t="shared" ref="H35:H37" si="10">+J35</f>
        <v>110418040</v>
      </c>
      <c r="I35" s="2173">
        <f>+I34</f>
        <v>45863</v>
      </c>
      <c r="J35" s="1933">
        <f>+'GM Batch2-SPA'!Q18</f>
        <v>110418040</v>
      </c>
      <c r="K35" s="2173"/>
      <c r="L35" s="1852"/>
      <c r="M35" s="2173"/>
      <c r="N35" s="1852"/>
      <c r="O35" s="2187"/>
      <c r="P35" s="1852">
        <f t="shared" ref="P35:P37" si="11">+D35*200000000/1000</f>
        <v>112992000</v>
      </c>
      <c r="Q35" s="2187"/>
      <c r="S35" s="2190" t="b">
        <f t="shared" ref="S35:S37" si="12">+P35+J35=F35</f>
        <v>1</v>
      </c>
      <c r="T35" s="2190"/>
    </row>
    <row r="36" spans="2:20">
      <c r="B36" s="2506"/>
      <c r="C36" s="2171" t="str">
        <f>+'GM Batch2-SPA'!C23</f>
        <v>Seagol(SPA)</v>
      </c>
      <c r="D36" s="2171">
        <v>634.91999999999996</v>
      </c>
      <c r="E36" s="2172"/>
      <c r="F36" s="1933">
        <f>+D36*200000000/1000+108773270</f>
        <v>235757270</v>
      </c>
      <c r="G36" s="1852">
        <f t="shared" si="9"/>
        <v>126983999.99999999</v>
      </c>
      <c r="H36" s="1933">
        <f t="shared" si="10"/>
        <v>108773270</v>
      </c>
      <c r="I36" s="2173">
        <f t="shared" ref="I36:I37" si="13">+I35</f>
        <v>45863</v>
      </c>
      <c r="J36" s="1933">
        <f>+'GM Batch2-SPA'!Q24</f>
        <v>108773270</v>
      </c>
      <c r="K36" s="2173"/>
      <c r="L36" s="1852"/>
      <c r="M36" s="2173"/>
      <c r="N36" s="1852"/>
      <c r="O36" s="2187"/>
      <c r="P36" s="1852">
        <f t="shared" si="11"/>
        <v>126983999.99999999</v>
      </c>
      <c r="Q36" s="2187"/>
      <c r="S36" s="2190" t="b">
        <f t="shared" si="12"/>
        <v>1</v>
      </c>
      <c r="T36" s="2190"/>
    </row>
    <row r="37" spans="2:20">
      <c r="B37" s="2506"/>
      <c r="C37" s="2171" t="str">
        <f>+'GM Batch2-SPA'!C29</f>
        <v>Jaesan (SPA)</v>
      </c>
      <c r="D37" s="2171">
        <v>625.67999999999995</v>
      </c>
      <c r="E37" s="2172"/>
      <c r="F37" s="1933">
        <f>+D37*200000000/1000+458479720</f>
        <v>583615720</v>
      </c>
      <c r="G37" s="1852">
        <f t="shared" si="9"/>
        <v>125135999.99999999</v>
      </c>
      <c r="H37" s="1933">
        <f t="shared" si="10"/>
        <v>458479720</v>
      </c>
      <c r="I37" s="2173">
        <f t="shared" si="13"/>
        <v>45863</v>
      </c>
      <c r="J37" s="1933">
        <f>+'GM Batch2-SPA'!Q30</f>
        <v>458479720</v>
      </c>
      <c r="K37" s="2173"/>
      <c r="L37" s="1852"/>
      <c r="M37" s="2173"/>
      <c r="N37" s="1852"/>
      <c r="O37" s="2187"/>
      <c r="P37" s="1852">
        <f t="shared" si="11"/>
        <v>125135999.99999999</v>
      </c>
      <c r="Q37" s="2187"/>
      <c r="S37" s="2190" t="b">
        <f t="shared" si="12"/>
        <v>1</v>
      </c>
      <c r="T37" s="2190"/>
    </row>
    <row r="38" spans="2:20">
      <c r="B38" t="s">
        <v>2628</v>
      </c>
    </row>
    <row r="39" spans="2:20">
      <c r="B39" t="s">
        <v>2629</v>
      </c>
    </row>
  </sheetData>
  <mergeCells count="39">
    <mergeCell ref="B33:B37"/>
    <mergeCell ref="O17:P17"/>
    <mergeCell ref="B19:B25"/>
    <mergeCell ref="Q17:Q18"/>
    <mergeCell ref="Q4:Q5"/>
    <mergeCell ref="B31:B32"/>
    <mergeCell ref="C31:C32"/>
    <mergeCell ref="D31:D32"/>
    <mergeCell ref="E31:E32"/>
    <mergeCell ref="F31:F32"/>
    <mergeCell ref="G31:G32"/>
    <mergeCell ref="H31:H32"/>
    <mergeCell ref="I31:J31"/>
    <mergeCell ref="K31:L31"/>
    <mergeCell ref="M31:N31"/>
    <mergeCell ref="O31:P31"/>
    <mergeCell ref="Q31:Q32"/>
    <mergeCell ref="G17:G18"/>
    <mergeCell ref="H17:H18"/>
    <mergeCell ref="I17:J17"/>
    <mergeCell ref="K17:L17"/>
    <mergeCell ref="M17:N17"/>
    <mergeCell ref="B17:B18"/>
    <mergeCell ref="C17:C18"/>
    <mergeCell ref="D17:D18"/>
    <mergeCell ref="E17:E18"/>
    <mergeCell ref="F17:F18"/>
    <mergeCell ref="M4:N4"/>
    <mergeCell ref="O4:P4"/>
    <mergeCell ref="B6:B14"/>
    <mergeCell ref="G4:G5"/>
    <mergeCell ref="F4:F5"/>
    <mergeCell ref="H4:H5"/>
    <mergeCell ref="I4:J4"/>
    <mergeCell ref="K4:L4"/>
    <mergeCell ref="B4:B5"/>
    <mergeCell ref="C4:C5"/>
    <mergeCell ref="D4:D5"/>
    <mergeCell ref="E4:E5"/>
  </mergeCells>
  <phoneticPr fontId="19"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C91D-C3F5-4D9E-B0F6-22C06F93118D}">
  <sheetPr>
    <tabColor rgb="FFFF0000"/>
    <pageSetUpPr fitToPage="1"/>
  </sheetPr>
  <dimension ref="A1:XFD72"/>
  <sheetViews>
    <sheetView showGridLines="0" zoomScale="115" zoomScaleNormal="115" zoomScaleSheetLayoutView="55" workbookViewId="0">
      <pane xSplit="9" ySplit="10" topLeftCell="BG11" activePane="bottomRight" state="frozen"/>
      <selection activeCell="B4" sqref="B4:E19"/>
      <selection pane="topRight" activeCell="B4" sqref="B4:E19"/>
      <selection pane="bottomLeft" activeCell="B4" sqref="B4:E19"/>
      <selection pane="bottomRight" activeCell="B4" sqref="B4:E19"/>
    </sheetView>
  </sheetViews>
  <sheetFormatPr defaultColWidth="9" defaultRowHeight="12.75" outlineLevelCol="1"/>
  <cols>
    <col min="1" max="1" width="1.625" style="1600" customWidth="1"/>
    <col min="2" max="2" width="4.875" style="1600" customWidth="1"/>
    <col min="3" max="3" width="17.625" style="1600" customWidth="1"/>
    <col min="4" max="4" width="12.625" style="1600" customWidth="1"/>
    <col min="5" max="5" width="12.375" style="1600" customWidth="1"/>
    <col min="6" max="6" width="17" style="1600" customWidth="1"/>
    <col min="7" max="9" width="11.625" style="1600" customWidth="1"/>
    <col min="10" max="10" width="6.625" style="1600" customWidth="1"/>
    <col min="11" max="12" width="11.625" style="1600" customWidth="1"/>
    <col min="13" max="14" width="10.125" style="1600" customWidth="1"/>
    <col min="15" max="15" width="6.625" style="1600" customWidth="1"/>
    <col min="16" max="18" width="11.625" style="1600" customWidth="1"/>
    <col min="19" max="19" width="9.75" style="1600" bestFit="1" customWidth="1"/>
    <col min="20" max="21" width="10.125" style="1600" customWidth="1"/>
    <col min="22" max="22" width="6.625" style="1600" customWidth="1"/>
    <col min="23" max="25" width="11.625" style="1600" customWidth="1"/>
    <col min="26" max="26" width="12.125" style="1600" customWidth="1"/>
    <col min="27" max="28" width="10.125" style="1600" customWidth="1"/>
    <col min="29" max="29" width="6.625" style="1600" customWidth="1"/>
    <col min="30" max="32" width="11.625" style="1600" customWidth="1"/>
    <col min="33" max="33" width="12.125" style="1600" customWidth="1"/>
    <col min="34" max="35" width="10.125" style="1600" customWidth="1" outlineLevel="1"/>
    <col min="36" max="36" width="6.625" style="1600" customWidth="1" outlineLevel="1"/>
    <col min="37" max="39" width="11.625" style="1600" customWidth="1" outlineLevel="1"/>
    <col min="40" max="40" width="12.125" style="1600" customWidth="1" outlineLevel="1"/>
    <col min="41" max="42" width="10.125" style="1600" customWidth="1"/>
    <col min="43" max="43" width="6.625" style="1600" customWidth="1"/>
    <col min="44" max="46" width="11.625" style="1600" customWidth="1"/>
    <col min="47" max="47" width="12.125" style="1600" customWidth="1"/>
    <col min="48" max="49" width="10.125" style="1600" customWidth="1"/>
    <col min="50" max="50" width="6.625" style="1600" customWidth="1"/>
    <col min="51" max="53" width="11.625" style="1600" customWidth="1"/>
    <col min="54" max="54" width="12.125" style="1600" customWidth="1"/>
    <col min="55" max="56" width="10.125" style="1600" customWidth="1"/>
    <col min="57" max="57" width="6.625" style="1600" customWidth="1"/>
    <col min="58" max="60" width="11.625" style="1600" customWidth="1"/>
    <col min="61" max="61" width="12.125" style="1600" customWidth="1"/>
    <col min="62" max="63" width="10.125" style="1600" customWidth="1"/>
    <col min="64" max="64" width="6.625" style="1600" customWidth="1"/>
    <col min="65" max="67" width="11.625" style="1600" customWidth="1"/>
    <col min="68" max="68" width="12.125" style="1600" customWidth="1"/>
    <col min="69" max="69" width="1.625" style="1600" customWidth="1"/>
    <col min="70" max="72" width="9.625" style="1600" customWidth="1"/>
    <col min="73" max="73" width="12.125" style="1600" customWidth="1"/>
    <col min="74" max="74" width="1.625" style="1600" customWidth="1"/>
    <col min="75" max="76" width="13.625" style="1600" customWidth="1"/>
    <col min="77" max="77" width="12.125" style="1600" customWidth="1"/>
    <col min="78" max="78" width="15" style="1600" bestFit="1" customWidth="1"/>
    <col min="79" max="16384" width="9" style="1600"/>
  </cols>
  <sheetData>
    <row r="1" spans="1:82 16384:16384" s="1599" customFormat="1">
      <c r="BV1" s="1600"/>
      <c r="BY1" s="1600"/>
    </row>
    <row r="2" spans="1:82 16384:16384" s="1599" customFormat="1">
      <c r="BV2" s="1600"/>
      <c r="BY2" s="1600"/>
    </row>
    <row r="3" spans="1:82 16384:16384" s="1599" customFormat="1">
      <c r="G3" s="1909"/>
      <c r="BV3" s="1600"/>
      <c r="BY3" s="1600"/>
    </row>
    <row r="4" spans="1:82 16384:16384" s="1599" customFormat="1">
      <c r="G4" s="1909"/>
      <c r="BV4" s="1600"/>
      <c r="BY4" s="1600"/>
    </row>
    <row r="5" spans="1:82 16384:16384" s="1599" customFormat="1">
      <c r="G5" s="1910"/>
      <c r="AE5" s="2117"/>
      <c r="BV5" s="1600"/>
      <c r="BY5" s="1600"/>
    </row>
    <row r="6" spans="1:82 16384:16384" s="1599" customFormat="1">
      <c r="G6" s="1909"/>
      <c r="AE6" s="1909"/>
      <c r="BV6" s="1600"/>
      <c r="BY6" s="1600"/>
    </row>
    <row r="7" spans="1:82 16384:16384" s="1599" customFormat="1">
      <c r="G7" s="1909"/>
      <c r="AE7" s="1909"/>
      <c r="BV7" s="1600"/>
      <c r="BY7" s="1600"/>
    </row>
    <row r="8" spans="1:82 16384:16384">
      <c r="A8" s="401"/>
      <c r="B8" s="2522"/>
      <c r="C8" s="2522"/>
      <c r="D8" s="1601"/>
      <c r="E8" s="1601"/>
      <c r="F8" s="401"/>
      <c r="G8" s="1648"/>
      <c r="H8" s="1648"/>
      <c r="I8" s="1648"/>
      <c r="J8" s="401"/>
      <c r="K8" s="401"/>
      <c r="L8" s="401"/>
      <c r="M8" s="401"/>
      <c r="N8" s="401"/>
      <c r="O8" s="401"/>
      <c r="P8" s="401"/>
      <c r="Q8" s="401"/>
      <c r="R8" s="401"/>
      <c r="S8" s="401"/>
      <c r="T8" s="401"/>
      <c r="U8" s="401"/>
      <c r="V8" s="401"/>
      <c r="W8" s="401"/>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c r="BK8" s="401"/>
      <c r="BL8" s="401"/>
      <c r="BM8" s="401"/>
      <c r="BN8" s="401"/>
      <c r="BO8" s="401"/>
      <c r="BP8" s="401"/>
      <c r="BQ8" s="404"/>
      <c r="BR8" s="401"/>
      <c r="BS8" s="401"/>
      <c r="BT8" s="401"/>
      <c r="BU8" s="401"/>
      <c r="BV8" s="401"/>
      <c r="BW8" s="401"/>
      <c r="BX8" s="401"/>
      <c r="BY8" s="401"/>
      <c r="BZ8" s="401"/>
      <c r="CA8" s="401"/>
      <c r="CB8" s="401"/>
      <c r="CC8" s="401"/>
      <c r="CD8" s="401"/>
    </row>
    <row r="9" spans="1:82 16384:16384" ht="28.15" customHeight="1">
      <c r="A9" s="401"/>
      <c r="B9" s="2375" t="s">
        <v>98</v>
      </c>
      <c r="C9" s="2375" t="s">
        <v>99</v>
      </c>
      <c r="D9" s="2373" t="s">
        <v>100</v>
      </c>
      <c r="E9" s="2523" t="s">
        <v>101</v>
      </c>
      <c r="F9" s="2373" t="s">
        <v>102</v>
      </c>
      <c r="G9" s="2373" t="s">
        <v>103</v>
      </c>
      <c r="H9" s="2373" t="s">
        <v>104</v>
      </c>
      <c r="I9" s="2373" t="s">
        <v>105</v>
      </c>
      <c r="J9" s="2521" t="s">
        <v>106</v>
      </c>
      <c r="K9" s="2521"/>
      <c r="L9" s="2521"/>
      <c r="M9" s="2521" t="s">
        <v>107</v>
      </c>
      <c r="N9" s="2521"/>
      <c r="O9" s="2521"/>
      <c r="P9" s="2521"/>
      <c r="Q9" s="2521"/>
      <c r="R9" s="2521"/>
      <c r="S9" s="2521"/>
      <c r="T9" s="2521" t="s">
        <v>108</v>
      </c>
      <c r="U9" s="2521"/>
      <c r="V9" s="2521"/>
      <c r="W9" s="2521"/>
      <c r="X9" s="2521"/>
      <c r="Y9" s="2521"/>
      <c r="Z9" s="2521"/>
      <c r="AA9" s="2521" t="s">
        <v>207</v>
      </c>
      <c r="AB9" s="2521"/>
      <c r="AC9" s="2521"/>
      <c r="AD9" s="2521"/>
      <c r="AE9" s="2521"/>
      <c r="AF9" s="2521"/>
      <c r="AG9" s="2521"/>
      <c r="AH9" s="2521" t="s">
        <v>208</v>
      </c>
      <c r="AI9" s="2521"/>
      <c r="AJ9" s="2521"/>
      <c r="AK9" s="2521"/>
      <c r="AL9" s="2521"/>
      <c r="AM9" s="2521"/>
      <c r="AN9" s="2521"/>
      <c r="AO9" s="2521" t="s">
        <v>111</v>
      </c>
      <c r="AP9" s="2521"/>
      <c r="AQ9" s="2521"/>
      <c r="AR9" s="2521"/>
      <c r="AS9" s="2521"/>
      <c r="AT9" s="2521"/>
      <c r="AU9" s="2521"/>
      <c r="AV9" s="2521" t="s">
        <v>112</v>
      </c>
      <c r="AW9" s="2521"/>
      <c r="AX9" s="2521"/>
      <c r="AY9" s="2521"/>
      <c r="AZ9" s="2521"/>
      <c r="BA9" s="2521"/>
      <c r="BB9" s="2521"/>
      <c r="BC9" s="2521" t="s">
        <v>113</v>
      </c>
      <c r="BD9" s="2521"/>
      <c r="BE9" s="2521"/>
      <c r="BF9" s="2521"/>
      <c r="BG9" s="2521"/>
      <c r="BH9" s="2521"/>
      <c r="BI9" s="2521"/>
      <c r="BJ9" s="2521" t="s">
        <v>209</v>
      </c>
      <c r="BK9" s="2521"/>
      <c r="BL9" s="2521"/>
      <c r="BM9" s="2521"/>
      <c r="BN9" s="2521"/>
      <c r="BO9" s="2521"/>
      <c r="BP9" s="2521"/>
      <c r="BQ9" s="1646"/>
      <c r="BR9" s="2521" t="s">
        <v>114</v>
      </c>
      <c r="BS9" s="2521"/>
      <c r="BT9" s="2521"/>
      <c r="BU9" s="401"/>
      <c r="BV9" s="401"/>
      <c r="BW9" s="401"/>
      <c r="BX9" s="401"/>
      <c r="BY9" s="401"/>
      <c r="BZ9" s="401"/>
      <c r="CA9" s="401"/>
      <c r="CB9" s="401"/>
      <c r="CC9" s="404"/>
      <c r="CD9" s="404"/>
    </row>
    <row r="10" spans="1:82 16384:16384" ht="42" customHeight="1">
      <c r="A10" s="401"/>
      <c r="B10" s="2376"/>
      <c r="C10" s="2376"/>
      <c r="D10" s="2374"/>
      <c r="E10" s="2524"/>
      <c r="F10" s="2374"/>
      <c r="G10" s="2374"/>
      <c r="H10" s="2374"/>
      <c r="I10" s="2374"/>
      <c r="J10" s="1590" t="s">
        <v>115</v>
      </c>
      <c r="K10" s="1590" t="s">
        <v>116</v>
      </c>
      <c r="L10" s="1590" t="s">
        <v>117</v>
      </c>
      <c r="M10" s="1590" t="s">
        <v>118</v>
      </c>
      <c r="N10" s="1590" t="s">
        <v>119</v>
      </c>
      <c r="O10" s="1590" t="s">
        <v>115</v>
      </c>
      <c r="P10" s="1590" t="s">
        <v>120</v>
      </c>
      <c r="Q10" s="1590" t="s">
        <v>121</v>
      </c>
      <c r="R10" s="1590" t="s">
        <v>122</v>
      </c>
      <c r="S10" s="1590" t="s">
        <v>123</v>
      </c>
      <c r="T10" s="1590" t="s">
        <v>118</v>
      </c>
      <c r="U10" s="1590" t="s">
        <v>119</v>
      </c>
      <c r="V10" s="1590" t="s">
        <v>115</v>
      </c>
      <c r="W10" s="1590" t="s">
        <v>120</v>
      </c>
      <c r="X10" s="1590" t="s">
        <v>121</v>
      </c>
      <c r="Y10" s="1590" t="s">
        <v>122</v>
      </c>
      <c r="Z10" s="1590" t="s">
        <v>123</v>
      </c>
      <c r="AA10" s="1590" t="s">
        <v>118</v>
      </c>
      <c r="AB10" s="1590" t="s">
        <v>119</v>
      </c>
      <c r="AC10" s="1590" t="s">
        <v>115</v>
      </c>
      <c r="AD10" s="1590" t="s">
        <v>120</v>
      </c>
      <c r="AE10" s="1590" t="s">
        <v>121</v>
      </c>
      <c r="AF10" s="1590" t="s">
        <v>122</v>
      </c>
      <c r="AG10" s="1590" t="s">
        <v>123</v>
      </c>
      <c r="AH10" s="1590" t="s">
        <v>118</v>
      </c>
      <c r="AI10" s="1590" t="s">
        <v>119</v>
      </c>
      <c r="AJ10" s="1590" t="s">
        <v>115</v>
      </c>
      <c r="AK10" s="1590" t="s">
        <v>120</v>
      </c>
      <c r="AL10" s="1590" t="s">
        <v>121</v>
      </c>
      <c r="AM10" s="1590" t="s">
        <v>122</v>
      </c>
      <c r="AN10" s="1590" t="s">
        <v>123</v>
      </c>
      <c r="AO10" s="1590" t="s">
        <v>118</v>
      </c>
      <c r="AP10" s="1590" t="s">
        <v>119</v>
      </c>
      <c r="AQ10" s="1590" t="s">
        <v>115</v>
      </c>
      <c r="AR10" s="1590" t="s">
        <v>120</v>
      </c>
      <c r="AS10" s="1590" t="s">
        <v>121</v>
      </c>
      <c r="AT10" s="1590" t="s">
        <v>122</v>
      </c>
      <c r="AU10" s="1590" t="s">
        <v>123</v>
      </c>
      <c r="AV10" s="1590" t="s">
        <v>118</v>
      </c>
      <c r="AW10" s="1590" t="s">
        <v>119</v>
      </c>
      <c r="AX10" s="1590" t="s">
        <v>115</v>
      </c>
      <c r="AY10" s="1590" t="s">
        <v>120</v>
      </c>
      <c r="AZ10" s="1590" t="s">
        <v>121</v>
      </c>
      <c r="BA10" s="1590" t="s">
        <v>122</v>
      </c>
      <c r="BB10" s="1590" t="s">
        <v>123</v>
      </c>
      <c r="BC10" s="1590" t="s">
        <v>118</v>
      </c>
      <c r="BD10" s="1590" t="s">
        <v>119</v>
      </c>
      <c r="BE10" s="1590" t="s">
        <v>115</v>
      </c>
      <c r="BF10" s="1590" t="s">
        <v>120</v>
      </c>
      <c r="BG10" s="1590" t="s">
        <v>121</v>
      </c>
      <c r="BH10" s="1590" t="s">
        <v>122</v>
      </c>
      <c r="BI10" s="1590" t="s">
        <v>123</v>
      </c>
      <c r="BJ10" s="1590" t="s">
        <v>118</v>
      </c>
      <c r="BK10" s="1590" t="s">
        <v>119</v>
      </c>
      <c r="BL10" s="1590" t="s">
        <v>115</v>
      </c>
      <c r="BM10" s="1590" t="s">
        <v>120</v>
      </c>
      <c r="BN10" s="1590" t="s">
        <v>121</v>
      </c>
      <c r="BO10" s="1590" t="s">
        <v>122</v>
      </c>
      <c r="BP10" s="1590" t="s">
        <v>123</v>
      </c>
      <c r="BQ10" s="1647"/>
      <c r="BR10" s="2521"/>
      <c r="BS10" s="2521"/>
      <c r="BT10" s="2521"/>
      <c r="BU10" s="401"/>
      <c r="BV10" s="401"/>
      <c r="BW10" s="401"/>
      <c r="BX10" s="401"/>
      <c r="BY10" s="401"/>
      <c r="BZ10" s="401"/>
      <c r="CA10" s="401"/>
      <c r="CB10" s="401"/>
      <c r="CC10" s="404"/>
      <c r="CD10" s="404"/>
    </row>
    <row r="11" spans="1:82 16384:16384" ht="16.5" customHeight="1">
      <c r="A11" s="1649"/>
      <c r="B11" s="2517">
        <v>1</v>
      </c>
      <c r="C11" s="2520" t="s">
        <v>210</v>
      </c>
      <c r="D11" s="2518">
        <v>999.58</v>
      </c>
      <c r="E11" s="2518" t="s">
        <v>124</v>
      </c>
      <c r="F11" s="1659" t="s">
        <v>125</v>
      </c>
      <c r="G11" s="1596">
        <f>+'PAYMENT RATIO_RAW'!F$5*'GM Batch1'!$D$11/1000+27500000*D11/1000</f>
        <v>1077047450</v>
      </c>
      <c r="H11" s="1596">
        <f>+G11*10%</f>
        <v>107704745</v>
      </c>
      <c r="I11" s="1596">
        <f t="shared" ref="I11:I14" si="0">SUM(G11:H11)</f>
        <v>1184752195</v>
      </c>
      <c r="J11" s="1676">
        <f t="shared" ref="J11:J63" si="1">+IFERROR(K11/I11,"-")</f>
        <v>0.19497748218985153</v>
      </c>
      <c r="K11" s="1670">
        <f>+IFERROR(Q11+X11+AE11+AS11+AZ11+BG11+BN11,"-")</f>
        <v>231000000</v>
      </c>
      <c r="L11" s="1670">
        <f>+I11-K11</f>
        <v>953752195</v>
      </c>
      <c r="M11" s="1625"/>
      <c r="N11" s="1586"/>
      <c r="O11" s="1677"/>
      <c r="P11" s="1654">
        <f>+$I11*'PAYMENT RATIO_RAW'!G$5</f>
        <v>0</v>
      </c>
      <c r="Q11" s="1678"/>
      <c r="R11" s="1678">
        <f>+P11-Q11</f>
        <v>0</v>
      </c>
      <c r="S11" s="1679"/>
      <c r="T11" s="1625"/>
      <c r="U11" s="1586"/>
      <c r="V11" s="1677"/>
      <c r="W11" s="1678">
        <f>+$I11*'PAYMENT RATIO_RAW'!N$5</f>
        <v>0</v>
      </c>
      <c r="X11" s="1678"/>
      <c r="Y11" s="1678">
        <f>+W11-X11</f>
        <v>0</v>
      </c>
      <c r="Z11" s="1679"/>
      <c r="AA11" s="1625">
        <v>45920</v>
      </c>
      <c r="AB11" s="1585">
        <v>45915</v>
      </c>
      <c r="AC11" s="1677">
        <f>+IFERROR(AD11/$I11,"-")</f>
        <v>0.19489559164733183</v>
      </c>
      <c r="AD11" s="1678">
        <f>+'PAYMENT RATIO_RAW'!$U$60*$D11*1050000000/1000*1.1</f>
        <v>230902980.00000006</v>
      </c>
      <c r="AE11" s="1678">
        <v>231000000</v>
      </c>
      <c r="AF11" s="1678">
        <f>+AD11-AE11</f>
        <v>-97019.999999940395</v>
      </c>
      <c r="AG11" s="1921" t="s">
        <v>2448</v>
      </c>
      <c r="AH11" s="1625">
        <f>+EDATE(AO11,0)</f>
        <v>45950</v>
      </c>
      <c r="AI11" s="1585">
        <v>45980</v>
      </c>
      <c r="AJ11" s="1677">
        <f>+IFERROR(AK11/$I11,"-")</f>
        <v>0</v>
      </c>
      <c r="AK11" s="1678">
        <f>+'PAYMENT RATIO_RAW'!AB$60*$I11</f>
        <v>0</v>
      </c>
      <c r="AL11" s="1678">
        <v>231000000</v>
      </c>
      <c r="AM11" s="1678">
        <f>+AK11-AL11</f>
        <v>-231000000</v>
      </c>
      <c r="AN11" s="1679"/>
      <c r="AO11" s="1625">
        <f>+EDATE(AV11,0)-10</f>
        <v>45950</v>
      </c>
      <c r="AP11" s="1586"/>
      <c r="AQ11" s="1677">
        <f>+IFERROR(AR11/$I11,"-")</f>
        <v>0.51276102088167053</v>
      </c>
      <c r="AR11" s="1678">
        <f>+'PAYMENT RATIO_RAW'!AI$60*$D11*1050000000/1000*1.1+27500000*D11/1000*1.1</f>
        <v>607494745</v>
      </c>
      <c r="AS11" s="1678"/>
      <c r="AT11" s="1678">
        <f>+AR11-AS11</f>
        <v>607494745</v>
      </c>
      <c r="AU11" s="1679"/>
      <c r="AV11" s="1625">
        <f>+EDATE(BC11,-1)</f>
        <v>45960</v>
      </c>
      <c r="AW11" s="1625"/>
      <c r="AX11" s="1677">
        <f>+IFERROR(AY11/$I11,"-")</f>
        <v>0</v>
      </c>
      <c r="AY11" s="1678">
        <f>+'PAYMENT RATIO_RAW'!AP$60*$I11</f>
        <v>0</v>
      </c>
      <c r="AZ11" s="1678"/>
      <c r="BA11" s="1678">
        <f>+AY11-AZ11</f>
        <v>0</v>
      </c>
      <c r="BB11" s="1679"/>
      <c r="BC11" s="1625">
        <f>+EDATE(BJ11,-1)</f>
        <v>45991</v>
      </c>
      <c r="BD11" s="1625"/>
      <c r="BE11" s="1677">
        <f>+IFERROR(BF11/$I11,"-")</f>
        <v>0.24361948955916474</v>
      </c>
      <c r="BF11" s="1678">
        <f>+'PAYMENT RATIO_RAW'!AW$60*$D11*1050000000/1000*1.1</f>
        <v>288628725</v>
      </c>
      <c r="BG11" s="1678"/>
      <c r="BH11" s="1678">
        <f>+BF11-BG11</f>
        <v>288628725</v>
      </c>
      <c r="BI11" s="1679"/>
      <c r="BJ11" s="1586">
        <v>46022</v>
      </c>
      <c r="BK11" s="1625"/>
      <c r="BL11" s="1677">
        <f>+IFERROR(BM11/$I11,"-")</f>
        <v>4.8723897911832958E-2</v>
      </c>
      <c r="BM11" s="1678">
        <f>+'PAYMENT RATIO_RAW'!BD$60*$D11*1050000000/1000*1.1</f>
        <v>57725745.000000015</v>
      </c>
      <c r="BN11" s="1678"/>
      <c r="BO11" s="1678">
        <f>+BM11-BN11</f>
        <v>57725745.000000015</v>
      </c>
      <c r="BP11" s="1679"/>
      <c r="BQ11" s="1588"/>
      <c r="BR11" s="1587" t="b">
        <f>+P11+W11+AD11+AK11+AR11+AY11+BF11+BM11=I11</f>
        <v>1</v>
      </c>
      <c r="BS11" s="1587" t="b">
        <f>+Q11+X11+AE11+AS11+AZ11+BG11+BN11=K11</f>
        <v>1</v>
      </c>
      <c r="BT11" s="1587"/>
      <c r="BU11" s="1688">
        <f>+D11*1050000000/1000*1.1+D11*27500000/1000*1.1</f>
        <v>1184752195</v>
      </c>
      <c r="BV11" s="401"/>
      <c r="BW11" s="401"/>
      <c r="BX11" s="1688">
        <v>27500000</v>
      </c>
      <c r="BY11" s="401"/>
      <c r="BZ11" s="401"/>
      <c r="CA11" s="401"/>
      <c r="CB11" s="401"/>
      <c r="CC11" s="404"/>
      <c r="CD11" s="404"/>
    </row>
    <row r="12" spans="1:82 16384:16384" ht="13.5">
      <c r="A12" s="1649"/>
      <c r="B12" s="2517"/>
      <c r="C12" s="2520"/>
      <c r="D12" s="2518"/>
      <c r="E12" s="2518"/>
      <c r="F12" s="1872" t="s">
        <v>126</v>
      </c>
      <c r="G12" s="1873">
        <f>+'PAYMENT RATIO_RAW'!F$6*'GM Batch1'!$D$11/1000</f>
        <v>549769000</v>
      </c>
      <c r="H12" s="1873"/>
      <c r="I12" s="1873">
        <f t="shared" si="0"/>
        <v>549769000</v>
      </c>
      <c r="J12" s="1872">
        <f t="shared" si="1"/>
        <v>0.66947517957542169</v>
      </c>
      <c r="K12" s="1874">
        <f t="shared" ref="K12:K57" si="2">+IFERROR(Q12+X12+AE12+AS12+AZ12+BG12+BN12,"-")</f>
        <v>368056700</v>
      </c>
      <c r="L12" s="1874">
        <f t="shared" ref="L12:L15" si="3">+I12-K12</f>
        <v>181712300</v>
      </c>
      <c r="M12" s="1875">
        <v>45450</v>
      </c>
      <c r="N12" s="1875">
        <v>45450</v>
      </c>
      <c r="O12" s="1876">
        <f t="shared" ref="O12:O14" si="4">+IFERROR(P12/$I12,"-")</f>
        <v>0.55000000000000004</v>
      </c>
      <c r="P12" s="1874">
        <f>+$I12*'PAYMENT RATIO_RAW'!G$6</f>
        <v>302372950</v>
      </c>
      <c r="Q12" s="1874">
        <v>302372950</v>
      </c>
      <c r="R12" s="1874">
        <f t="shared" ref="R12:R63" si="5">+P12-Q12</f>
        <v>0</v>
      </c>
      <c r="S12" s="1877"/>
      <c r="T12" s="1875">
        <v>45456</v>
      </c>
      <c r="U12" s="1875">
        <v>45456</v>
      </c>
      <c r="V12" s="1876">
        <f t="shared" ref="V12:V16" si="6">+IFERROR(W12/$I12,"-")</f>
        <v>0.11947517957542168</v>
      </c>
      <c r="W12" s="1878">
        <f>+$I12*'PAYMENT RATIO_RAW'!N$6-16781600</f>
        <v>65683750</v>
      </c>
      <c r="X12" s="1874">
        <v>65683750</v>
      </c>
      <c r="Y12" s="1874">
        <f t="shared" ref="Y12:Y16" si="7">+W12-X12</f>
        <v>0</v>
      </c>
      <c r="Z12" s="1879"/>
      <c r="AA12" s="1875">
        <v>45950</v>
      </c>
      <c r="AB12" s="1875"/>
      <c r="AC12" s="1876">
        <f t="shared" ref="AC12:AC16" si="8">+IFERROR(AD12/$I12,"-")</f>
        <v>3.0524820424578322E-2</v>
      </c>
      <c r="AD12" s="1878">
        <f>+$I12*'PAYMENT RATIO_RAW'!U$6+16781600</f>
        <v>16781600</v>
      </c>
      <c r="AE12" s="1874"/>
      <c r="AF12" s="1874">
        <f t="shared" ref="AF12:AF15" si="9">+AD12-AE12</f>
        <v>16781600</v>
      </c>
      <c r="AG12" s="1877"/>
      <c r="AH12" s="1875"/>
      <c r="AI12" s="1875"/>
      <c r="AJ12" s="1876">
        <f t="shared" ref="AJ12:AJ16" si="10">+IFERROR(AK12/$I12,"-")</f>
        <v>0</v>
      </c>
      <c r="AK12" s="1874">
        <f>+$I12*'PAYMENT RATIO_RAW'!AB35</f>
        <v>0</v>
      </c>
      <c r="AL12" s="1874"/>
      <c r="AM12" s="1874">
        <f t="shared" ref="AM12:AM16" si="11">+AK12-AL12</f>
        <v>0</v>
      </c>
      <c r="AN12" s="1877"/>
      <c r="AO12" s="1875"/>
      <c r="AP12" s="1875"/>
      <c r="AQ12" s="1876"/>
      <c r="AR12" s="1878">
        <f>+$I12*'PAYMENT RATIO_RAW'!AI$6</f>
        <v>0</v>
      </c>
      <c r="AS12" s="1874"/>
      <c r="AT12" s="1874">
        <f t="shared" ref="AT12:AT16" si="12">+AR12-AS12</f>
        <v>0</v>
      </c>
      <c r="AU12" s="1877"/>
      <c r="AV12" s="1875"/>
      <c r="AW12" s="1875"/>
      <c r="AX12" s="1876"/>
      <c r="AY12" s="1878">
        <f>+$I12*'PAYMENT RATIO_RAW'!AP$6</f>
        <v>0</v>
      </c>
      <c r="AZ12" s="1874"/>
      <c r="BA12" s="1874">
        <f t="shared" ref="BA12:BA16" si="13">+AY12-AZ12</f>
        <v>0</v>
      </c>
      <c r="BB12" s="1877"/>
      <c r="BC12" s="1875"/>
      <c r="BD12" s="1875"/>
      <c r="BE12" s="1876">
        <f t="shared" ref="BE12:BE15" si="14">+IFERROR(BF12/$I12,"-")</f>
        <v>0</v>
      </c>
      <c r="BF12" s="1878">
        <f>+$I12*'PAYMENT RATIO_RAW'!AW$6</f>
        <v>0</v>
      </c>
      <c r="BG12" s="1874"/>
      <c r="BH12" s="1878">
        <f t="shared" ref="BH12:BH15" si="15">+BF12-BG12</f>
        <v>0</v>
      </c>
      <c r="BI12" s="1877"/>
      <c r="BJ12" s="1875">
        <f>+BJ11</f>
        <v>46022</v>
      </c>
      <c r="BK12" s="1875"/>
      <c r="BL12" s="1876">
        <f t="shared" ref="BL12:BL58" si="16">+IFERROR(BM12/$I12,"-")</f>
        <v>0.3</v>
      </c>
      <c r="BM12" s="1874">
        <f>+$I12*'PAYMENT RATIO_RAW'!BD$6</f>
        <v>164930700</v>
      </c>
      <c r="BN12" s="1874"/>
      <c r="BO12" s="1874">
        <f t="shared" ref="BO12:BO16" si="17">+BM12-BN12</f>
        <v>164930700</v>
      </c>
      <c r="BP12" s="1877"/>
      <c r="BQ12" s="1588"/>
      <c r="BR12" s="1587" t="b">
        <f>+BM12+BF12+AY12+AR12+AD12+W12+P12=I12</f>
        <v>1</v>
      </c>
      <c r="BS12" s="1587" t="b">
        <f t="shared" ref="BS12:BS15" si="18">+Q12+X12+AE12+AS12+AZ12+BG12+BN12=K12</f>
        <v>1</v>
      </c>
      <c r="BT12" s="1587" t="b">
        <f>+BF12+BF14+AY12+AY14+AR12+AR14+AD12+AD14+W12+W14+P12+P14+BM12+BM14=('PAYMENT RATIO_RAW'!$F$6+'PAYMENT RATIO_RAW'!$F$8)*D11/1000</f>
        <v>1</v>
      </c>
      <c r="BU12" s="1688">
        <f>+$D11*1050000000/1000*1.1</f>
        <v>1154514900</v>
      </c>
      <c r="BV12" s="401"/>
      <c r="BW12" s="401" t="b">
        <f>+$BU12*20%=AD11</f>
        <v>1</v>
      </c>
      <c r="BX12" s="401" t="b">
        <f>+$BU12*50%+BX11*D11/1000*1.1=AR11</f>
        <v>1</v>
      </c>
      <c r="BY12" s="401" t="b">
        <f>+$BU12*25%=BF11</f>
        <v>1</v>
      </c>
      <c r="BZ12" s="401" t="b">
        <f>+$BU12*5%=BM11</f>
        <v>1</v>
      </c>
      <c r="CA12" s="401"/>
      <c r="CB12" s="401"/>
      <c r="CC12" s="404"/>
      <c r="CD12" s="404"/>
      <c r="XFD12" s="401"/>
    </row>
    <row r="13" spans="1:82 16384:16384" hidden="1">
      <c r="A13" s="1649"/>
      <c r="B13" s="2517"/>
      <c r="C13" s="2520"/>
      <c r="D13" s="2518"/>
      <c r="E13" s="2518"/>
      <c r="F13" s="1661" t="s">
        <v>127</v>
      </c>
      <c r="G13" s="1597">
        <f>+'PAYMENT RATIO_RAW'!F$7*'GM Batch1'!$D$11/1000</f>
        <v>0</v>
      </c>
      <c r="H13" s="1597">
        <f>+G13*10%</f>
        <v>0</v>
      </c>
      <c r="I13" s="1597">
        <f t="shared" si="0"/>
        <v>0</v>
      </c>
      <c r="J13" s="1661" t="str">
        <f t="shared" si="1"/>
        <v>-</v>
      </c>
      <c r="K13" s="1671">
        <f t="shared" si="2"/>
        <v>0</v>
      </c>
      <c r="L13" s="1671">
        <f t="shared" si="3"/>
        <v>0</v>
      </c>
      <c r="M13" s="1626"/>
      <c r="N13" s="1626"/>
      <c r="O13" s="1660" t="str">
        <f t="shared" si="4"/>
        <v>-</v>
      </c>
      <c r="P13" s="1654">
        <f>+$I13*'PAYMENT RATIO_RAW'!G$7</f>
        <v>0</v>
      </c>
      <c r="Q13" s="1654"/>
      <c r="R13" s="1654">
        <f t="shared" si="5"/>
        <v>0</v>
      </c>
      <c r="S13" s="1662"/>
      <c r="T13" s="1626"/>
      <c r="U13" s="1626"/>
      <c r="V13" s="1660" t="str">
        <f t="shared" si="6"/>
        <v>-</v>
      </c>
      <c r="W13" s="1678">
        <f>+$I13*'PAYMENT RATIO_RAW'!N$7</f>
        <v>0</v>
      </c>
      <c r="X13" s="1654"/>
      <c r="Y13" s="1654">
        <f t="shared" si="7"/>
        <v>0</v>
      </c>
      <c r="Z13" s="1662"/>
      <c r="AA13" s="1626"/>
      <c r="AB13" s="1626"/>
      <c r="AC13" s="1660" t="str">
        <f t="shared" si="8"/>
        <v>-</v>
      </c>
      <c r="AD13" s="1678">
        <f>+$I13*'PAYMENT RATIO_RAW'!U$7</f>
        <v>0</v>
      </c>
      <c r="AE13" s="1654"/>
      <c r="AF13" s="1654">
        <f t="shared" si="9"/>
        <v>0</v>
      </c>
      <c r="AG13" s="1662"/>
      <c r="AH13" s="1626"/>
      <c r="AI13" s="1626"/>
      <c r="AJ13" s="1660" t="str">
        <f t="shared" si="10"/>
        <v>-</v>
      </c>
      <c r="AK13" s="1654">
        <f>+$I13*'PAYMENT RATIO_RAW'!AB36</f>
        <v>0</v>
      </c>
      <c r="AL13" s="1654"/>
      <c r="AM13" s="1654">
        <f t="shared" si="11"/>
        <v>0</v>
      </c>
      <c r="AN13" s="1662"/>
      <c r="AO13" s="1626"/>
      <c r="AP13" s="1626"/>
      <c r="AQ13" s="1660"/>
      <c r="AR13" s="1678">
        <f>+$I13*'PAYMENT RATIO_RAW'!AI$7</f>
        <v>0</v>
      </c>
      <c r="AS13" s="1654"/>
      <c r="AT13" s="1654">
        <f t="shared" si="12"/>
        <v>0</v>
      </c>
      <c r="AU13" s="1662"/>
      <c r="AV13" s="1626"/>
      <c r="AW13" s="1626"/>
      <c r="AX13" s="1660"/>
      <c r="AY13" s="1678">
        <f>+$I13*'PAYMENT RATIO_RAW'!AP$7</f>
        <v>0</v>
      </c>
      <c r="AZ13" s="1654"/>
      <c r="BA13" s="1654">
        <f t="shared" si="13"/>
        <v>0</v>
      </c>
      <c r="BB13" s="1662"/>
      <c r="BC13" s="1626"/>
      <c r="BD13" s="1626"/>
      <c r="BE13" s="1660" t="str">
        <f t="shared" si="14"/>
        <v>-</v>
      </c>
      <c r="BF13" s="1678">
        <f>+$I13*'PAYMENT RATIO_RAW'!AW$7</f>
        <v>0</v>
      </c>
      <c r="BG13" s="1654"/>
      <c r="BH13" s="1678">
        <f t="shared" si="15"/>
        <v>0</v>
      </c>
      <c r="BI13" s="1662"/>
      <c r="BJ13" s="1626"/>
      <c r="BK13" s="1626"/>
      <c r="BL13" s="1660" t="str">
        <f t="shared" si="16"/>
        <v>-</v>
      </c>
      <c r="BM13" s="1654">
        <f>+$I13*'PAYMENT RATIO_RAW'!BD$7</f>
        <v>0</v>
      </c>
      <c r="BN13" s="1654"/>
      <c r="BO13" s="1654">
        <f t="shared" si="17"/>
        <v>0</v>
      </c>
      <c r="BP13" s="1662"/>
      <c r="BQ13" s="1588"/>
      <c r="BR13" s="1587" t="b">
        <f>+P13+W13+AD13+AR13+AY13+BF13+BM13=I13</f>
        <v>1</v>
      </c>
      <c r="BS13" s="1587" t="b">
        <f>+Q13+X13+AE13+AS13+AZ13+BG13+BN13=K13</f>
        <v>1</v>
      </c>
      <c r="BT13" s="1587"/>
      <c r="BU13" s="1688"/>
      <c r="BV13" s="401"/>
      <c r="BW13" s="401"/>
      <c r="BX13" s="401"/>
      <c r="BY13" s="401"/>
      <c r="BZ13" s="401"/>
      <c r="CA13" s="401"/>
      <c r="CB13" s="401"/>
      <c r="CC13" s="404"/>
      <c r="CD13" s="404"/>
    </row>
    <row r="14" spans="1:82 16384:16384" hidden="1">
      <c r="A14" s="1649"/>
      <c r="B14" s="2517"/>
      <c r="C14" s="2520"/>
      <c r="D14" s="2518"/>
      <c r="E14" s="2518"/>
      <c r="F14" s="1661" t="s">
        <v>128</v>
      </c>
      <c r="G14" s="1597">
        <f>+'PAYMENT RATIO_RAW'!F$8*'GM Batch1'!$D$11/1000</f>
        <v>0</v>
      </c>
      <c r="H14" s="1597">
        <f t="shared" ref="H14" si="19">+G14*10%</f>
        <v>0</v>
      </c>
      <c r="I14" s="1680">
        <f t="shared" si="0"/>
        <v>0</v>
      </c>
      <c r="J14" s="1661" t="str">
        <f t="shared" si="1"/>
        <v>-</v>
      </c>
      <c r="K14" s="1671">
        <f t="shared" si="2"/>
        <v>0</v>
      </c>
      <c r="L14" s="1671">
        <f t="shared" si="3"/>
        <v>0</v>
      </c>
      <c r="M14" s="1626"/>
      <c r="N14" s="1585"/>
      <c r="O14" s="1660" t="str">
        <f t="shared" si="4"/>
        <v>-</v>
      </c>
      <c r="P14" s="1654">
        <f>+$I14*'PAYMENT RATIO_RAW'!G$8</f>
        <v>0</v>
      </c>
      <c r="Q14" s="1654"/>
      <c r="R14" s="1654">
        <f t="shared" si="5"/>
        <v>0</v>
      </c>
      <c r="S14" s="1662"/>
      <c r="T14" s="1626"/>
      <c r="U14" s="1585"/>
      <c r="V14" s="1660" t="str">
        <f t="shared" si="6"/>
        <v>-</v>
      </c>
      <c r="W14" s="1678">
        <f>+$I14*'PAYMENT RATIO_RAW'!N$8</f>
        <v>0</v>
      </c>
      <c r="X14" s="1654"/>
      <c r="Y14" s="1654">
        <f t="shared" si="7"/>
        <v>0</v>
      </c>
      <c r="Z14" s="1662"/>
      <c r="AA14" s="1626"/>
      <c r="AB14" s="1585"/>
      <c r="AC14" s="1660" t="str">
        <f t="shared" si="8"/>
        <v>-</v>
      </c>
      <c r="AD14" s="1678">
        <f>+$I14*'PAYMENT RATIO_RAW'!U$8</f>
        <v>0</v>
      </c>
      <c r="AE14" s="1654"/>
      <c r="AF14" s="1654">
        <f t="shared" si="9"/>
        <v>0</v>
      </c>
      <c r="AG14" s="1662"/>
      <c r="AH14" s="1585"/>
      <c r="AI14" s="1585"/>
      <c r="AJ14" s="1660" t="str">
        <f t="shared" si="10"/>
        <v>-</v>
      </c>
      <c r="AK14" s="1654">
        <f>+$I14*'PAYMENT RATIO_RAW'!AB36</f>
        <v>0</v>
      </c>
      <c r="AL14" s="1654"/>
      <c r="AM14" s="1654">
        <f t="shared" si="11"/>
        <v>0</v>
      </c>
      <c r="AN14" s="1662"/>
      <c r="AO14" s="1585"/>
      <c r="AP14" s="1585"/>
      <c r="AQ14" s="1660"/>
      <c r="AR14" s="1678">
        <f>+$I14*'PAYMENT RATIO_RAW'!AI$8</f>
        <v>0</v>
      </c>
      <c r="AS14" s="1654"/>
      <c r="AT14" s="1654">
        <f t="shared" si="12"/>
        <v>0</v>
      </c>
      <c r="AU14" s="1662"/>
      <c r="AV14" s="1585"/>
      <c r="AW14" s="1585"/>
      <c r="AX14" s="1660"/>
      <c r="AY14" s="1678">
        <f>+$I14*'PAYMENT RATIO_RAW'!AP$8</f>
        <v>0</v>
      </c>
      <c r="AZ14" s="1654"/>
      <c r="BA14" s="1654">
        <f t="shared" si="13"/>
        <v>0</v>
      </c>
      <c r="BB14" s="1662"/>
      <c r="BC14" s="1585"/>
      <c r="BD14" s="1585"/>
      <c r="BE14" s="1660" t="str">
        <f t="shared" si="14"/>
        <v>-</v>
      </c>
      <c r="BF14" s="1678">
        <f>+$I14*'PAYMENT RATIO_RAW'!AW$8</f>
        <v>0</v>
      </c>
      <c r="BG14" s="1654"/>
      <c r="BH14" s="1678">
        <f t="shared" si="15"/>
        <v>0</v>
      </c>
      <c r="BI14" s="1662"/>
      <c r="BJ14" s="1585"/>
      <c r="BK14" s="1585"/>
      <c r="BL14" s="1660" t="str">
        <f t="shared" si="16"/>
        <v>-</v>
      </c>
      <c r="BM14" s="1654">
        <f>+$I14*'PAYMENT RATIO_RAW'!BD$8</f>
        <v>0</v>
      </c>
      <c r="BN14" s="1654"/>
      <c r="BO14" s="1654">
        <f t="shared" si="17"/>
        <v>0</v>
      </c>
      <c r="BP14" s="1662"/>
      <c r="BQ14" s="1588"/>
      <c r="BR14" s="1587" t="b">
        <f t="shared" ref="BR14:BR15" si="20">+P14+W14+AD14+AR14+AY14+BF14+BM14=I14</f>
        <v>1</v>
      </c>
      <c r="BS14" s="1587" t="b">
        <f t="shared" si="18"/>
        <v>1</v>
      </c>
      <c r="BT14" s="1587"/>
      <c r="BU14" s="1688"/>
      <c r="BV14" s="401"/>
      <c r="BW14" s="401"/>
      <c r="BX14" s="401"/>
      <c r="BY14" s="401"/>
      <c r="BZ14" s="401"/>
      <c r="CA14" s="401"/>
      <c r="CB14" s="401"/>
      <c r="CC14" s="404"/>
      <c r="CD14" s="404"/>
    </row>
    <row r="15" spans="1:82 16384:16384" hidden="1">
      <c r="A15" s="1649"/>
      <c r="B15" s="2517"/>
      <c r="C15" s="2520"/>
      <c r="D15" s="2518"/>
      <c r="E15" s="2518"/>
      <c r="F15" s="1630" t="s">
        <v>129</v>
      </c>
      <c r="G15" s="1680">
        <f>+'PAYMENT RATIO_RAW'!F$9*'GM Batch1'!$D$11/1000</f>
        <v>0</v>
      </c>
      <c r="H15" s="1680">
        <f>+G15*10%</f>
        <v>0</v>
      </c>
      <c r="I15" s="1680">
        <f>SUM(G15:H15)</f>
        <v>0</v>
      </c>
      <c r="J15" s="1630" t="str">
        <f t="shared" si="1"/>
        <v>-</v>
      </c>
      <c r="K15" s="1681">
        <f t="shared" si="2"/>
        <v>0</v>
      </c>
      <c r="L15" s="1681">
        <f t="shared" si="3"/>
        <v>0</v>
      </c>
      <c r="M15" s="1629"/>
      <c r="N15" s="1630"/>
      <c r="O15" s="1682"/>
      <c r="P15" s="1683">
        <f>+$I15*'PAYMENT RATIO_RAW'!G$9</f>
        <v>0</v>
      </c>
      <c r="Q15" s="1683"/>
      <c r="R15" s="1683">
        <f t="shared" si="5"/>
        <v>0</v>
      </c>
      <c r="S15" s="1630"/>
      <c r="T15" s="1629"/>
      <c r="U15" s="1630"/>
      <c r="V15" s="1682"/>
      <c r="W15" s="1678">
        <f>+$I15*'PAYMENT RATIO_RAW'!N$9</f>
        <v>0</v>
      </c>
      <c r="X15" s="1683"/>
      <c r="Y15" s="1683">
        <f t="shared" si="7"/>
        <v>0</v>
      </c>
      <c r="Z15" s="1630"/>
      <c r="AA15" s="1629"/>
      <c r="AB15" s="1630"/>
      <c r="AC15" s="1682"/>
      <c r="AD15" s="1678">
        <f>+$I15*'PAYMENT RATIO_RAW'!U$9</f>
        <v>0</v>
      </c>
      <c r="AE15" s="1683"/>
      <c r="AF15" s="1683">
        <f t="shared" si="9"/>
        <v>0</v>
      </c>
      <c r="AG15" s="1630"/>
      <c r="AH15" s="1629"/>
      <c r="AI15" s="1630"/>
      <c r="AJ15" s="1682"/>
      <c r="AK15" s="1683"/>
      <c r="AL15" s="1683"/>
      <c r="AM15" s="1683"/>
      <c r="AN15" s="1630"/>
      <c r="AO15" s="1629"/>
      <c r="AP15" s="1630"/>
      <c r="AQ15" s="1682"/>
      <c r="AR15" s="1678">
        <f>+$I15*'PAYMENT RATIO_RAW'!AI$9</f>
        <v>0</v>
      </c>
      <c r="AS15" s="1683"/>
      <c r="AT15" s="1683"/>
      <c r="AU15" s="1630"/>
      <c r="AV15" s="1629"/>
      <c r="AW15" s="1630"/>
      <c r="AX15" s="1682"/>
      <c r="AY15" s="1678">
        <f>+$I15*'PAYMENT RATIO_RAW'!AP$9</f>
        <v>0</v>
      </c>
      <c r="AZ15" s="1683"/>
      <c r="BA15" s="1683"/>
      <c r="BB15" s="1630"/>
      <c r="BC15" s="1629"/>
      <c r="BD15" s="1630"/>
      <c r="BE15" s="1682" t="str">
        <f t="shared" si="14"/>
        <v>-</v>
      </c>
      <c r="BF15" s="1678">
        <f>+$I15*'PAYMENT RATIO_RAW'!AW$9</f>
        <v>0</v>
      </c>
      <c r="BG15" s="1683"/>
      <c r="BH15" s="1678">
        <f t="shared" si="15"/>
        <v>0</v>
      </c>
      <c r="BI15" s="1630"/>
      <c r="BJ15" s="1629"/>
      <c r="BK15" s="1630"/>
      <c r="BL15" s="1682" t="str">
        <f t="shared" si="16"/>
        <v>-</v>
      </c>
      <c r="BM15" s="1683">
        <f>+$I15*'PAYMENT RATIO_RAW'!BD$9</f>
        <v>0</v>
      </c>
      <c r="BN15" s="1683"/>
      <c r="BO15" s="1683">
        <f t="shared" si="17"/>
        <v>0</v>
      </c>
      <c r="BP15" s="1630"/>
      <c r="BQ15" s="1589"/>
      <c r="BR15" s="1591" t="b">
        <f t="shared" si="20"/>
        <v>1</v>
      </c>
      <c r="BS15" s="1592" t="b">
        <f t="shared" si="18"/>
        <v>1</v>
      </c>
      <c r="BT15" s="1592"/>
      <c r="BU15" s="1688"/>
      <c r="BV15" s="401"/>
      <c r="BW15" s="401"/>
      <c r="BX15" s="401"/>
      <c r="BY15" s="401"/>
      <c r="BZ15" s="401"/>
      <c r="CA15" s="401"/>
      <c r="CB15" s="401"/>
      <c r="CC15" s="404"/>
      <c r="CD15" s="404"/>
    </row>
    <row r="16" spans="1:82 16384:16384">
      <c r="A16" s="1649"/>
      <c r="B16" s="2517"/>
      <c r="C16" s="2520"/>
      <c r="D16" s="2518"/>
      <c r="E16" s="2518"/>
      <c r="F16" s="419" t="s">
        <v>130</v>
      </c>
      <c r="G16" s="1628">
        <f>SUM(G11:G15)</f>
        <v>1626816450</v>
      </c>
      <c r="H16" s="1628">
        <f t="shared" ref="H16:L16" si="21">SUM(H11:H15)</f>
        <v>107704745</v>
      </c>
      <c r="I16" s="1628">
        <f t="shared" si="21"/>
        <v>1734521195</v>
      </c>
      <c r="J16" s="419">
        <f t="shared" si="1"/>
        <v>0.34537294887307501</v>
      </c>
      <c r="K16" s="1628">
        <f t="shared" si="21"/>
        <v>599056700</v>
      </c>
      <c r="L16" s="1628">
        <f t="shared" si="21"/>
        <v>1135464495</v>
      </c>
      <c r="M16" s="1631"/>
      <c r="N16" s="419"/>
      <c r="O16" s="1634">
        <f t="shared" ref="O16" si="22">+IFERROR(P16/$I16,"-")</f>
        <v>0.17432646592709986</v>
      </c>
      <c r="P16" s="1628">
        <f t="shared" ref="P16" si="23">SUM(P11:P15)</f>
        <v>302372950</v>
      </c>
      <c r="Q16" s="1628">
        <f t="shared" ref="Q16" si="24">SUM(Q11:Q15)</f>
        <v>302372950</v>
      </c>
      <c r="R16" s="1684">
        <f t="shared" si="5"/>
        <v>0</v>
      </c>
      <c r="S16" s="419"/>
      <c r="T16" s="1631"/>
      <c r="U16" s="419"/>
      <c r="V16" s="1634">
        <f t="shared" si="6"/>
        <v>3.786851967525251E-2</v>
      </c>
      <c r="W16" s="1628">
        <f t="shared" ref="W16:X16" si="25">SUM(W11:W15)</f>
        <v>65683750</v>
      </c>
      <c r="X16" s="1628">
        <f t="shared" si="25"/>
        <v>65683750</v>
      </c>
      <c r="Y16" s="1684">
        <f t="shared" si="7"/>
        <v>0</v>
      </c>
      <c r="Z16" s="419"/>
      <c r="AA16" s="1631"/>
      <c r="AB16" s="419"/>
      <c r="AC16" s="1634">
        <f t="shared" si="8"/>
        <v>0.14279709046737826</v>
      </c>
      <c r="AD16" s="1628">
        <f t="shared" ref="AD16:AE16" si="26">SUM(AD11:AD15)</f>
        <v>247684580.00000006</v>
      </c>
      <c r="AE16" s="1628">
        <f t="shared" si="26"/>
        <v>231000000</v>
      </c>
      <c r="AF16" s="1684">
        <f t="shared" ref="AF16" si="27">+AD16-AE16</f>
        <v>16684580.00000006</v>
      </c>
      <c r="AG16" s="419"/>
      <c r="AH16" s="1631"/>
      <c r="AI16" s="419"/>
      <c r="AJ16" s="1634">
        <f t="shared" si="10"/>
        <v>0</v>
      </c>
      <c r="AK16" s="1628">
        <f t="shared" ref="AK16:AL16" si="28">SUM(AK11:AK15)</f>
        <v>0</v>
      </c>
      <c r="AL16" s="1628">
        <f t="shared" si="28"/>
        <v>231000000</v>
      </c>
      <c r="AM16" s="1684">
        <f t="shared" si="11"/>
        <v>-231000000</v>
      </c>
      <c r="AN16" s="419"/>
      <c r="AO16" s="1631"/>
      <c r="AP16" s="419"/>
      <c r="AQ16" s="1634">
        <f t="shared" ref="AQ16" si="29">+IFERROR(AR16/$I16,"-")</f>
        <v>0.35023771790808239</v>
      </c>
      <c r="AR16" s="1628">
        <f t="shared" ref="AR16" si="30">SUM(AR11:AR15)</f>
        <v>607494745</v>
      </c>
      <c r="AS16" s="1628">
        <f t="shared" ref="AS16" si="31">SUM(AS11:AS15)</f>
        <v>0</v>
      </c>
      <c r="AT16" s="1684">
        <f t="shared" si="12"/>
        <v>607494745</v>
      </c>
      <c r="AU16" s="419"/>
      <c r="AV16" s="1631"/>
      <c r="AW16" s="419"/>
      <c r="AX16" s="1634">
        <f t="shared" ref="AX16:AX22" si="32">+IFERROR(AY16/$I16,"-")</f>
        <v>0</v>
      </c>
      <c r="AY16" s="1628">
        <f t="shared" ref="AY16" si="33">SUM(AY11:AY15)</f>
        <v>0</v>
      </c>
      <c r="AZ16" s="1628">
        <f t="shared" ref="AZ16" si="34">SUM(AZ11:AZ15)</f>
        <v>0</v>
      </c>
      <c r="BA16" s="1684">
        <f t="shared" si="13"/>
        <v>0</v>
      </c>
      <c r="BB16" s="419"/>
      <c r="BC16" s="1631"/>
      <c r="BD16" s="419"/>
      <c r="BE16" s="1634">
        <f t="shared" ref="BE16:BE22" si="35">+IFERROR(BF16/$I16,"-")</f>
        <v>0.1664025356576862</v>
      </c>
      <c r="BF16" s="1628">
        <f t="shared" ref="BF16" si="36">SUM(BF11:BF15)</f>
        <v>288628725</v>
      </c>
      <c r="BG16" s="1628">
        <f t="shared" ref="BG16" si="37">SUM(BG11:BG15)</f>
        <v>0</v>
      </c>
      <c r="BH16" s="1684">
        <f t="shared" ref="BH16" si="38">+BF16-BG16</f>
        <v>288628725</v>
      </c>
      <c r="BI16" s="419"/>
      <c r="BJ16" s="1631"/>
      <c r="BK16" s="419"/>
      <c r="BL16" s="1634">
        <f t="shared" si="16"/>
        <v>0.12836767036450078</v>
      </c>
      <c r="BM16" s="1628">
        <f t="shared" ref="BM16:BN16" si="39">SUM(BM11:BM15)</f>
        <v>222656445</v>
      </c>
      <c r="BN16" s="1628">
        <f t="shared" si="39"/>
        <v>0</v>
      </c>
      <c r="BO16" s="1684">
        <f t="shared" si="17"/>
        <v>222656445</v>
      </c>
      <c r="BP16" s="419"/>
      <c r="BQ16" s="1589"/>
      <c r="BR16" s="1632"/>
      <c r="BS16" s="1633"/>
      <c r="BT16" s="1633"/>
      <c r="BU16" s="1688">
        <f>+BX11*D11/1000*1.1</f>
        <v>30237295.000000004</v>
      </c>
      <c r="BV16" s="401"/>
      <c r="BW16" s="401"/>
      <c r="BX16" s="401"/>
      <c r="BY16" s="401"/>
      <c r="BZ16" s="401"/>
      <c r="CA16" s="401"/>
      <c r="CB16" s="401"/>
      <c r="CC16" s="404"/>
      <c r="CD16" s="404"/>
    </row>
    <row r="17" spans="1:82" ht="13.5">
      <c r="A17" s="1649"/>
      <c r="B17" s="2517">
        <v>2</v>
      </c>
      <c r="C17" s="2518" t="s">
        <v>211</v>
      </c>
      <c r="D17" s="2518">
        <v>999.58</v>
      </c>
      <c r="E17" s="2518" t="s">
        <v>124</v>
      </c>
      <c r="F17" s="1676" t="s">
        <v>125</v>
      </c>
      <c r="G17" s="1596">
        <f>+'PAYMENT RATIO_RAW'!F$5*$D$17/1000+27500000*D$17/1000</f>
        <v>1077047450</v>
      </c>
      <c r="H17" s="1685">
        <f>+G17*10%</f>
        <v>107704745</v>
      </c>
      <c r="I17" s="1685">
        <f t="shared" ref="I17:I20" si="40">SUM(G17:H17)</f>
        <v>1184752195</v>
      </c>
      <c r="J17" s="1630">
        <f t="shared" si="1"/>
        <v>0.19497748218985153</v>
      </c>
      <c r="K17" s="1681">
        <f t="shared" ref="K17" si="41">+IFERROR(Q17+X17+AE17+AS17+AZ17+BG17+BN17,"-")</f>
        <v>231000000</v>
      </c>
      <c r="L17" s="1672">
        <f>+I17-K17</f>
        <v>953752195</v>
      </c>
      <c r="M17" s="1625"/>
      <c r="N17" s="1586"/>
      <c r="O17" s="1677"/>
      <c r="P17" s="1654">
        <f>+$I17*'PAYMENT RATIO_RAW'!G$5</f>
        <v>0</v>
      </c>
      <c r="Q17" s="1678"/>
      <c r="R17" s="1678">
        <f>+P17-Q17</f>
        <v>0</v>
      </c>
      <c r="S17" s="1679"/>
      <c r="T17" s="1625"/>
      <c r="U17" s="1586"/>
      <c r="V17" s="1677"/>
      <c r="W17" s="1678">
        <f>+$I17*'PAYMENT RATIO_RAW'!N$5</f>
        <v>0</v>
      </c>
      <c r="X17" s="1678"/>
      <c r="Y17" s="1678">
        <f>+W17-X17</f>
        <v>0</v>
      </c>
      <c r="Z17" s="1679"/>
      <c r="AA17" s="1625">
        <f>+$AA$11</f>
        <v>45920</v>
      </c>
      <c r="AB17" s="1585">
        <v>45915</v>
      </c>
      <c r="AC17" s="1677">
        <f>+IFERROR(AD17/$I17,"-")</f>
        <v>0.19489559164733183</v>
      </c>
      <c r="AD17" s="1678">
        <f>+'PAYMENT RATIO_RAW'!$U$60*$D17*1050000000/1000*1.1</f>
        <v>230902980.00000006</v>
      </c>
      <c r="AE17" s="1678">
        <v>231000000</v>
      </c>
      <c r="AF17" s="1678">
        <f>+AD17-AE17</f>
        <v>-97019.999999940395</v>
      </c>
      <c r="AG17" s="1921" t="s">
        <v>2448</v>
      </c>
      <c r="AH17" s="1625">
        <f>+EDATE(AO17,0)</f>
        <v>45950</v>
      </c>
      <c r="AI17" s="1585">
        <v>45980</v>
      </c>
      <c r="AJ17" s="1677">
        <f>+IFERROR(AK17/$I17,"-")</f>
        <v>0</v>
      </c>
      <c r="AK17" s="1678">
        <f>+'PAYMENT RATIO_RAW'!AB$60*$I17</f>
        <v>0</v>
      </c>
      <c r="AL17" s="1678">
        <v>231000000</v>
      </c>
      <c r="AM17" s="1678">
        <f>+AK17-AL17</f>
        <v>-231000000</v>
      </c>
      <c r="AN17" s="1679"/>
      <c r="AO17" s="1625">
        <f>+EDATE(AV17,0)-10</f>
        <v>45950</v>
      </c>
      <c r="AP17" s="1586"/>
      <c r="AQ17" s="1677">
        <f>+IFERROR(AR17/$I17,"-")</f>
        <v>0.51276102088167053</v>
      </c>
      <c r="AR17" s="1678">
        <f>+'PAYMENT RATIO_RAW'!AI$60*$D17*1050000000/1000*1.1+27500000*$D17/1000*1.1</f>
        <v>607494745</v>
      </c>
      <c r="AS17" s="1678"/>
      <c r="AT17" s="1678">
        <f>+AR17-AS17</f>
        <v>607494745</v>
      </c>
      <c r="AU17" s="1679"/>
      <c r="AV17" s="1625">
        <f>+EDATE(BC17,-1)</f>
        <v>45960</v>
      </c>
      <c r="AW17" s="1625"/>
      <c r="AX17" s="1677">
        <f>+IFERROR(AY17/$I17,"-")</f>
        <v>0</v>
      </c>
      <c r="AY17" s="1678">
        <f>+'PAYMENT RATIO_RAW'!AP$60*$I17</f>
        <v>0</v>
      </c>
      <c r="AZ17" s="1678"/>
      <c r="BA17" s="1678">
        <f>+AY17-AZ17</f>
        <v>0</v>
      </c>
      <c r="BB17" s="1679"/>
      <c r="BC17" s="1625">
        <f>+EDATE(BJ17,-1)</f>
        <v>45991</v>
      </c>
      <c r="BD17" s="1625"/>
      <c r="BE17" s="1677">
        <f>+IFERROR(BF17/$I17,"-")</f>
        <v>0.24361948955916474</v>
      </c>
      <c r="BF17" s="1678">
        <f>+'PAYMENT RATIO_RAW'!AW$60*$D17*1050000000/1000*1.1</f>
        <v>288628725</v>
      </c>
      <c r="BG17" s="1678"/>
      <c r="BH17" s="1678">
        <f>+BF17-BG17</f>
        <v>288628725</v>
      </c>
      <c r="BI17" s="1679"/>
      <c r="BJ17" s="1586">
        <v>46022</v>
      </c>
      <c r="BK17" s="1625"/>
      <c r="BL17" s="1677">
        <f>+IFERROR(BM17/$I17,"-")</f>
        <v>4.8723897911832958E-2</v>
      </c>
      <c r="BM17" s="1678">
        <f>+'PAYMENT RATIO_RAW'!BD$60*$D17*1050000000/1000*1.1</f>
        <v>57725745.000000015</v>
      </c>
      <c r="BN17" s="1678"/>
      <c r="BO17" s="1678">
        <f>+BM17-BN17</f>
        <v>57725745.000000015</v>
      </c>
      <c r="BP17" s="1679"/>
      <c r="BQ17" s="1588"/>
      <c r="BR17" s="1587" t="b">
        <f>+P17+W17+AD17+AK17+AR17+AY17+BF17+BM17=I17</f>
        <v>1</v>
      </c>
      <c r="BS17" s="1587" t="b">
        <f>+Q17+X17+AE17+AS17+AZ17+BG17+BN17=K17</f>
        <v>1</v>
      </c>
      <c r="BT17" s="1587"/>
      <c r="BU17" s="401"/>
      <c r="BV17" s="401"/>
      <c r="BW17" s="401"/>
      <c r="BX17" s="401"/>
      <c r="BY17" s="401"/>
      <c r="BZ17" s="401"/>
      <c r="CA17" s="401"/>
      <c r="CB17" s="401"/>
      <c r="CC17" s="404"/>
      <c r="CD17" s="404"/>
    </row>
    <row r="18" spans="1:82" ht="13.5">
      <c r="A18" s="1649"/>
      <c r="B18" s="2517"/>
      <c r="C18" s="2518"/>
      <c r="D18" s="2518"/>
      <c r="E18" s="2518"/>
      <c r="F18" s="1872" t="s">
        <v>126</v>
      </c>
      <c r="G18" s="1873">
        <f>+'PAYMENT RATIO_RAW'!F$6*'GM Batch1'!$D$17/1000</f>
        <v>549769000</v>
      </c>
      <c r="H18" s="1873"/>
      <c r="I18" s="1873">
        <f t="shared" si="40"/>
        <v>549769000</v>
      </c>
      <c r="J18" s="1872">
        <f t="shared" si="1"/>
        <v>0.66947517957542169</v>
      </c>
      <c r="K18" s="1874">
        <f t="shared" si="2"/>
        <v>368056700</v>
      </c>
      <c r="L18" s="1874">
        <f t="shared" ref="L18:L21" si="42">+I18-K18</f>
        <v>181712300</v>
      </c>
      <c r="M18" s="1875">
        <v>45450</v>
      </c>
      <c r="N18" s="1875">
        <v>45450</v>
      </c>
      <c r="O18" s="1876">
        <f t="shared" ref="O18:O20" si="43">+IFERROR(P18/$I18,"-")</f>
        <v>0.55000000000000004</v>
      </c>
      <c r="P18" s="1874">
        <f>+$I18*'PAYMENT RATIO_RAW'!G$6</f>
        <v>302372950</v>
      </c>
      <c r="Q18" s="1874">
        <v>302372950</v>
      </c>
      <c r="R18" s="1874">
        <f t="shared" ref="R18:R21" si="44">+P18-Q18</f>
        <v>0</v>
      </c>
      <c r="S18" s="1877"/>
      <c r="T18" s="1875">
        <v>45456</v>
      </c>
      <c r="U18" s="1875">
        <v>45456</v>
      </c>
      <c r="V18" s="1876">
        <f t="shared" ref="V18:V20" si="45">+IFERROR(W18/$I18,"-")</f>
        <v>0.11947517957542168</v>
      </c>
      <c r="W18" s="1878">
        <f>+$I18*'PAYMENT RATIO_RAW'!N$6-16781600</f>
        <v>65683750</v>
      </c>
      <c r="X18" s="1874">
        <v>65683750</v>
      </c>
      <c r="Y18" s="1874">
        <f t="shared" ref="Y18:Y21" si="46">+W18-X18</f>
        <v>0</v>
      </c>
      <c r="Z18" s="1879"/>
      <c r="AA18" s="1875">
        <v>45950</v>
      </c>
      <c r="AB18" s="1922"/>
      <c r="AC18" s="1876">
        <f t="shared" ref="AC18:AC20" si="47">+IFERROR(AD18/$I18,"-")</f>
        <v>3.0524820424578322E-2</v>
      </c>
      <c r="AD18" s="1878">
        <f>+$I18*'PAYMENT RATIO_RAW'!U$6+16781600</f>
        <v>16781600</v>
      </c>
      <c r="AE18" s="1874"/>
      <c r="AF18" s="1874">
        <f t="shared" ref="AF18:AF21" si="48">+AD18-AE18</f>
        <v>16781600</v>
      </c>
      <c r="AG18" s="1877"/>
      <c r="AH18" s="1875"/>
      <c r="AI18" s="1875"/>
      <c r="AJ18" s="1876">
        <f t="shared" ref="AJ18:AJ20" si="49">+IFERROR(AK18/$I18,"-")</f>
        <v>0</v>
      </c>
      <c r="AK18" s="1874">
        <f>+$I18*'PAYMENT RATIO_RAW'!AB40</f>
        <v>0</v>
      </c>
      <c r="AL18" s="1874"/>
      <c r="AM18" s="1874">
        <f t="shared" ref="AM18:AM20" si="50">+AK18-AL18</f>
        <v>0</v>
      </c>
      <c r="AN18" s="1877"/>
      <c r="AO18" s="1875"/>
      <c r="AP18" s="1875"/>
      <c r="AQ18" s="1876"/>
      <c r="AR18" s="1878">
        <f>+$I18*'PAYMENT RATIO_RAW'!AI$6</f>
        <v>0</v>
      </c>
      <c r="AS18" s="1874"/>
      <c r="AT18" s="1874">
        <f t="shared" ref="AT18:AT20" si="51">+AR18-AS18</f>
        <v>0</v>
      </c>
      <c r="AU18" s="1877"/>
      <c r="AV18" s="1875"/>
      <c r="AW18" s="1875"/>
      <c r="AX18" s="1876"/>
      <c r="AY18" s="1878">
        <f>+$I18*'PAYMENT RATIO_RAW'!AP$6</f>
        <v>0</v>
      </c>
      <c r="AZ18" s="1874"/>
      <c r="BA18" s="1874">
        <f t="shared" ref="BA18:BA20" si="52">+AY18-AZ18</f>
        <v>0</v>
      </c>
      <c r="BB18" s="1877"/>
      <c r="BC18" s="1875"/>
      <c r="BD18" s="1875"/>
      <c r="BE18" s="1876">
        <f t="shared" ref="BE18:BE21" si="53">+IFERROR(BF18/$I18,"-")</f>
        <v>0</v>
      </c>
      <c r="BF18" s="1878">
        <f>+$I18*'PAYMENT RATIO_RAW'!AW$6</f>
        <v>0</v>
      </c>
      <c r="BG18" s="1874"/>
      <c r="BH18" s="1878">
        <f t="shared" ref="BH18:BH21" si="54">+BF18-BG18</f>
        <v>0</v>
      </c>
      <c r="BI18" s="1877"/>
      <c r="BJ18" s="1875">
        <f>+BJ17</f>
        <v>46022</v>
      </c>
      <c r="BK18" s="1875"/>
      <c r="BL18" s="1876">
        <f t="shared" ref="BL18:BL21" si="55">+IFERROR(BM18/$I18,"-")</f>
        <v>0.3</v>
      </c>
      <c r="BM18" s="1874">
        <f>+$I18*'PAYMENT RATIO_RAW'!BD$6</f>
        <v>164930700</v>
      </c>
      <c r="BN18" s="1874"/>
      <c r="BO18" s="1874">
        <f t="shared" ref="BO18:BO21" si="56">+BM18-BN18</f>
        <v>164930700</v>
      </c>
      <c r="BP18" s="1877"/>
      <c r="BQ18" s="1588"/>
      <c r="BR18" s="1587" t="b">
        <f t="shared" ref="BR18" si="57">+P18+W18+AD18+AR18+AY18+BF18+BM18=I18</f>
        <v>1</v>
      </c>
      <c r="BS18" s="1587" t="b">
        <f t="shared" ref="BS18:BS21" si="58">+Q18+X18+AE18+AS18+AZ18+BG18+BN18=K18</f>
        <v>1</v>
      </c>
      <c r="BT18" s="1587" t="b">
        <f>+BF18+BF20+AY18+AY20+AR18+AR20+AD18+AD20+W18+W20+P18+P20+BM18+BM20=('PAYMENT RATIO_RAW'!$F$6+'PAYMENT RATIO_RAW'!$F$8)*D17/1000</f>
        <v>1</v>
      </c>
      <c r="BU18" s="401"/>
      <c r="BV18" s="401"/>
      <c r="BW18" s="401"/>
      <c r="BX18" s="401"/>
      <c r="BY18" s="401"/>
      <c r="BZ18" s="401"/>
      <c r="CA18" s="401"/>
      <c r="CB18" s="401"/>
      <c r="CC18" s="404"/>
      <c r="CD18" s="404"/>
    </row>
    <row r="19" spans="1:82" hidden="1">
      <c r="A19" s="1649"/>
      <c r="B19" s="2517"/>
      <c r="C19" s="2518"/>
      <c r="D19" s="2518"/>
      <c r="E19" s="2518"/>
      <c r="F19" s="1661" t="s">
        <v>127</v>
      </c>
      <c r="G19" s="1597">
        <f>+'PAYMENT RATIO_RAW'!F$7*'GM Batch1'!$D$17/1000</f>
        <v>0</v>
      </c>
      <c r="H19" s="1597">
        <f>+G19*10%</f>
        <v>0</v>
      </c>
      <c r="I19" s="1597">
        <f t="shared" si="40"/>
        <v>0</v>
      </c>
      <c r="J19" s="1661" t="str">
        <f t="shared" si="1"/>
        <v>-</v>
      </c>
      <c r="K19" s="1671">
        <f t="shared" si="2"/>
        <v>0</v>
      </c>
      <c r="L19" s="1671">
        <f t="shared" si="42"/>
        <v>0</v>
      </c>
      <c r="M19" s="1626"/>
      <c r="N19" s="1626"/>
      <c r="O19" s="1660" t="str">
        <f t="shared" si="43"/>
        <v>-</v>
      </c>
      <c r="P19" s="1654">
        <f>+$I19*'PAYMENT RATIO_RAW'!G$7</f>
        <v>0</v>
      </c>
      <c r="Q19" s="1654"/>
      <c r="R19" s="1654">
        <f t="shared" si="44"/>
        <v>0</v>
      </c>
      <c r="S19" s="1662"/>
      <c r="T19" s="1626"/>
      <c r="U19" s="1626"/>
      <c r="V19" s="1660" t="str">
        <f t="shared" si="45"/>
        <v>-</v>
      </c>
      <c r="W19" s="1678">
        <f>+$I19*'PAYMENT RATIO_RAW'!N$7</f>
        <v>0</v>
      </c>
      <c r="X19" s="1654"/>
      <c r="Y19" s="1654">
        <f t="shared" si="46"/>
        <v>0</v>
      </c>
      <c r="Z19" s="1662"/>
      <c r="AA19" s="1626"/>
      <c r="AB19" s="1766"/>
      <c r="AC19" s="1660" t="str">
        <f t="shared" si="47"/>
        <v>-</v>
      </c>
      <c r="AD19" s="1678">
        <f>+$I19*'PAYMENT RATIO_RAW'!U$7</f>
        <v>0</v>
      </c>
      <c r="AE19" s="1654"/>
      <c r="AF19" s="1654">
        <f t="shared" si="48"/>
        <v>0</v>
      </c>
      <c r="AG19" s="1662"/>
      <c r="AH19" s="1626"/>
      <c r="AI19" s="1626"/>
      <c r="AJ19" s="1660" t="str">
        <f t="shared" si="49"/>
        <v>-</v>
      </c>
      <c r="AK19" s="1654">
        <f>+$I19*'PAYMENT RATIO_RAW'!AB40</f>
        <v>0</v>
      </c>
      <c r="AL19" s="1654"/>
      <c r="AM19" s="1654">
        <f t="shared" si="50"/>
        <v>0</v>
      </c>
      <c r="AN19" s="1662"/>
      <c r="AO19" s="1626"/>
      <c r="AP19" s="1626"/>
      <c r="AQ19" s="1660"/>
      <c r="AR19" s="1678">
        <f>+$I19*'PAYMENT RATIO_RAW'!AI$7</f>
        <v>0</v>
      </c>
      <c r="AS19" s="1654"/>
      <c r="AT19" s="1654">
        <f t="shared" si="51"/>
        <v>0</v>
      </c>
      <c r="AU19" s="1662"/>
      <c r="AV19" s="1626"/>
      <c r="AW19" s="1626"/>
      <c r="AX19" s="1660"/>
      <c r="AY19" s="1678">
        <f>+$I19*'PAYMENT RATIO_RAW'!AP$7</f>
        <v>0</v>
      </c>
      <c r="AZ19" s="1654"/>
      <c r="BA19" s="1654">
        <f t="shared" si="52"/>
        <v>0</v>
      </c>
      <c r="BB19" s="1662"/>
      <c r="BC19" s="1626"/>
      <c r="BD19" s="1626"/>
      <c r="BE19" s="1660" t="str">
        <f t="shared" si="53"/>
        <v>-</v>
      </c>
      <c r="BF19" s="1678">
        <f>+$I19*'PAYMENT RATIO_RAW'!AW$7</f>
        <v>0</v>
      </c>
      <c r="BG19" s="1654"/>
      <c r="BH19" s="1678">
        <f t="shared" si="54"/>
        <v>0</v>
      </c>
      <c r="BI19" s="1662"/>
      <c r="BJ19" s="1626"/>
      <c r="BK19" s="1626"/>
      <c r="BL19" s="1660" t="str">
        <f t="shared" si="55"/>
        <v>-</v>
      </c>
      <c r="BM19" s="1654">
        <f>+$I19*'PAYMENT RATIO_RAW'!BD$7</f>
        <v>0</v>
      </c>
      <c r="BN19" s="1654"/>
      <c r="BO19" s="1654">
        <f t="shared" si="56"/>
        <v>0</v>
      </c>
      <c r="BP19" s="1662"/>
      <c r="BQ19" s="1588"/>
      <c r="BR19" s="1587" t="b">
        <f>+P19+W19+AD19+AR19+AY19+BF19+BM19=I19</f>
        <v>1</v>
      </c>
      <c r="BS19" s="1587" t="b">
        <f t="shared" si="58"/>
        <v>1</v>
      </c>
      <c r="BT19" s="1587"/>
      <c r="BU19" s="401"/>
      <c r="BV19" s="401"/>
      <c r="BW19" s="401"/>
      <c r="BX19" s="401"/>
      <c r="BY19" s="401"/>
      <c r="BZ19" s="401"/>
      <c r="CA19" s="401"/>
      <c r="CB19" s="401"/>
      <c r="CC19" s="404"/>
      <c r="CD19" s="404"/>
    </row>
    <row r="20" spans="1:82" hidden="1">
      <c r="A20" s="1649"/>
      <c r="B20" s="2517"/>
      <c r="C20" s="2518"/>
      <c r="D20" s="2518"/>
      <c r="E20" s="2518"/>
      <c r="F20" s="1661" t="s">
        <v>128</v>
      </c>
      <c r="G20" s="1597">
        <f>+'PAYMENT RATIO_RAW'!F$8*'GM Batch1'!$D$17/1000</f>
        <v>0</v>
      </c>
      <c r="H20" s="1597">
        <f>+G20*10%</f>
        <v>0</v>
      </c>
      <c r="I20" s="1597">
        <f t="shared" si="40"/>
        <v>0</v>
      </c>
      <c r="J20" s="1661" t="str">
        <f t="shared" si="1"/>
        <v>-</v>
      </c>
      <c r="K20" s="1671">
        <f t="shared" si="2"/>
        <v>0</v>
      </c>
      <c r="L20" s="1671">
        <f t="shared" si="42"/>
        <v>0</v>
      </c>
      <c r="M20" s="1626"/>
      <c r="N20" s="1585"/>
      <c r="O20" s="1660" t="str">
        <f t="shared" si="43"/>
        <v>-</v>
      </c>
      <c r="P20" s="1654">
        <f>+$I20*'PAYMENT RATIO_RAW'!G$8</f>
        <v>0</v>
      </c>
      <c r="Q20" s="1654"/>
      <c r="R20" s="1654">
        <f t="shared" si="44"/>
        <v>0</v>
      </c>
      <c r="S20" s="1662"/>
      <c r="T20" s="1626"/>
      <c r="U20" s="1585"/>
      <c r="V20" s="1660" t="str">
        <f t="shared" si="45"/>
        <v>-</v>
      </c>
      <c r="W20" s="1678">
        <f>+$I20*'PAYMENT RATIO_RAW'!N$8</f>
        <v>0</v>
      </c>
      <c r="X20" s="1654"/>
      <c r="Y20" s="1654">
        <f t="shared" si="46"/>
        <v>0</v>
      </c>
      <c r="Z20" s="1662"/>
      <c r="AA20" s="1626"/>
      <c r="AB20" s="1585"/>
      <c r="AC20" s="1660" t="str">
        <f t="shared" si="47"/>
        <v>-</v>
      </c>
      <c r="AD20" s="1678">
        <f>+$I20*'PAYMENT RATIO_RAW'!U$8</f>
        <v>0</v>
      </c>
      <c r="AE20" s="1654"/>
      <c r="AF20" s="1654">
        <f t="shared" si="48"/>
        <v>0</v>
      </c>
      <c r="AG20" s="1662"/>
      <c r="AH20" s="1585"/>
      <c r="AI20" s="1585"/>
      <c r="AJ20" s="1660" t="str">
        <f t="shared" si="49"/>
        <v>-</v>
      </c>
      <c r="AK20" s="1654">
        <f>+$I20*'PAYMENT RATIO_RAW'!AB41</f>
        <v>0</v>
      </c>
      <c r="AL20" s="1654"/>
      <c r="AM20" s="1654">
        <f t="shared" si="50"/>
        <v>0</v>
      </c>
      <c r="AN20" s="1662"/>
      <c r="AO20" s="1585"/>
      <c r="AP20" s="1585"/>
      <c r="AQ20" s="1660"/>
      <c r="AR20" s="1678">
        <f>+$I20*'PAYMENT RATIO_RAW'!AI$8</f>
        <v>0</v>
      </c>
      <c r="AS20" s="1654"/>
      <c r="AT20" s="1654">
        <f t="shared" si="51"/>
        <v>0</v>
      </c>
      <c r="AU20" s="1662"/>
      <c r="AV20" s="1585"/>
      <c r="AW20" s="1585"/>
      <c r="AX20" s="1660"/>
      <c r="AY20" s="1678">
        <f>+$I20*'PAYMENT RATIO_RAW'!AP$8</f>
        <v>0</v>
      </c>
      <c r="AZ20" s="1654"/>
      <c r="BA20" s="1654">
        <f t="shared" si="52"/>
        <v>0</v>
      </c>
      <c r="BB20" s="1662"/>
      <c r="BC20" s="1585"/>
      <c r="BD20" s="1585"/>
      <c r="BE20" s="1660" t="str">
        <f t="shared" si="53"/>
        <v>-</v>
      </c>
      <c r="BF20" s="1678">
        <f>+$I20*'PAYMENT RATIO_RAW'!AW$8</f>
        <v>0</v>
      </c>
      <c r="BG20" s="1654"/>
      <c r="BH20" s="1678">
        <f t="shared" si="54"/>
        <v>0</v>
      </c>
      <c r="BI20" s="1662"/>
      <c r="BJ20" s="1585"/>
      <c r="BK20" s="1585"/>
      <c r="BL20" s="1660" t="str">
        <f t="shared" si="55"/>
        <v>-</v>
      </c>
      <c r="BM20" s="1654">
        <f>+$I20*'PAYMENT RATIO_RAW'!BD$8</f>
        <v>0</v>
      </c>
      <c r="BN20" s="1654"/>
      <c r="BO20" s="1654">
        <f t="shared" si="56"/>
        <v>0</v>
      </c>
      <c r="BP20" s="1662"/>
      <c r="BQ20" s="1588"/>
      <c r="BR20" s="1587" t="b">
        <f t="shared" ref="BR20:BR21" si="59">+P20+W20+AD20+AR20+AY20+BF20+BM20=I20</f>
        <v>1</v>
      </c>
      <c r="BS20" s="1587" t="b">
        <f t="shared" si="58"/>
        <v>1</v>
      </c>
      <c r="BT20" s="1587"/>
      <c r="BU20" s="401"/>
      <c r="BV20" s="401"/>
      <c r="BW20" s="401"/>
      <c r="BX20" s="401"/>
      <c r="BY20" s="401"/>
      <c r="BZ20" s="401"/>
      <c r="CA20" s="401"/>
      <c r="CB20" s="401"/>
      <c r="CC20" s="404"/>
      <c r="CD20" s="404"/>
    </row>
    <row r="21" spans="1:82" hidden="1">
      <c r="A21" s="1649"/>
      <c r="B21" s="2517"/>
      <c r="C21" s="2518"/>
      <c r="D21" s="2518"/>
      <c r="E21" s="2518"/>
      <c r="F21" s="1627" t="s">
        <v>129</v>
      </c>
      <c r="G21" s="1680">
        <f>+'PAYMENT RATIO_RAW'!F$9*'GM Batch1'!$D$17/1000</f>
        <v>0</v>
      </c>
      <c r="H21" s="1598">
        <f>+G21*0.1</f>
        <v>0</v>
      </c>
      <c r="I21" s="1598">
        <f>SUM(G21:H21)</f>
        <v>0</v>
      </c>
      <c r="J21" s="1627" t="str">
        <f t="shared" si="1"/>
        <v>-</v>
      </c>
      <c r="K21" s="1663">
        <f t="shared" si="2"/>
        <v>0</v>
      </c>
      <c r="L21" s="1663">
        <f t="shared" si="42"/>
        <v>0</v>
      </c>
      <c r="M21" s="1629"/>
      <c r="N21" s="1630"/>
      <c r="O21" s="1682"/>
      <c r="P21" s="1683">
        <f>+$I21*'PAYMENT RATIO_RAW'!G$9</f>
        <v>0</v>
      </c>
      <c r="Q21" s="1683"/>
      <c r="R21" s="1683">
        <f t="shared" si="44"/>
        <v>0</v>
      </c>
      <c r="S21" s="1630"/>
      <c r="T21" s="1629"/>
      <c r="U21" s="1630"/>
      <c r="V21" s="1682"/>
      <c r="W21" s="1678">
        <f>+$I21*'PAYMENT RATIO_RAW'!N$9</f>
        <v>0</v>
      </c>
      <c r="X21" s="1683"/>
      <c r="Y21" s="1683">
        <f t="shared" si="46"/>
        <v>0</v>
      </c>
      <c r="Z21" s="1630"/>
      <c r="AA21" s="1629"/>
      <c r="AB21" s="1630"/>
      <c r="AC21" s="1682"/>
      <c r="AD21" s="1678">
        <f>+$I21*'PAYMENT RATIO_RAW'!U$9</f>
        <v>0</v>
      </c>
      <c r="AE21" s="1683"/>
      <c r="AF21" s="1683">
        <f t="shared" si="48"/>
        <v>0</v>
      </c>
      <c r="AG21" s="1630"/>
      <c r="AH21" s="1629"/>
      <c r="AI21" s="1630"/>
      <c r="AJ21" s="1682"/>
      <c r="AK21" s="1683"/>
      <c r="AL21" s="1683"/>
      <c r="AM21" s="1683"/>
      <c r="AN21" s="1630"/>
      <c r="AO21" s="1629"/>
      <c r="AP21" s="1630"/>
      <c r="AQ21" s="1682"/>
      <c r="AR21" s="1678">
        <f>+$I21*'PAYMENT RATIO_RAW'!AI$9</f>
        <v>0</v>
      </c>
      <c r="AS21" s="1683"/>
      <c r="AT21" s="1683"/>
      <c r="AU21" s="1630"/>
      <c r="AV21" s="1629"/>
      <c r="AW21" s="1630"/>
      <c r="AX21" s="1682"/>
      <c r="AY21" s="1678">
        <f>+$I21*'PAYMENT RATIO_RAW'!AP$9</f>
        <v>0</v>
      </c>
      <c r="AZ21" s="1683"/>
      <c r="BA21" s="1683"/>
      <c r="BB21" s="1630"/>
      <c r="BC21" s="1629"/>
      <c r="BD21" s="1630"/>
      <c r="BE21" s="1682" t="str">
        <f t="shared" si="53"/>
        <v>-</v>
      </c>
      <c r="BF21" s="1678">
        <f>+$I21*'PAYMENT RATIO_RAW'!AW$9</f>
        <v>0</v>
      </c>
      <c r="BG21" s="1683"/>
      <c r="BH21" s="1678">
        <f t="shared" si="54"/>
        <v>0</v>
      </c>
      <c r="BI21" s="1630"/>
      <c r="BJ21" s="1629"/>
      <c r="BK21" s="1630"/>
      <c r="BL21" s="1682" t="str">
        <f t="shared" si="55"/>
        <v>-</v>
      </c>
      <c r="BM21" s="1683">
        <f>+$I21*'PAYMENT RATIO_RAW'!BD$9</f>
        <v>0</v>
      </c>
      <c r="BN21" s="1683"/>
      <c r="BO21" s="1683">
        <f t="shared" si="56"/>
        <v>0</v>
      </c>
      <c r="BP21" s="1630"/>
      <c r="BQ21" s="1589"/>
      <c r="BR21" s="1591" t="b">
        <f t="shared" si="59"/>
        <v>1</v>
      </c>
      <c r="BS21" s="1592" t="b">
        <f t="shared" si="58"/>
        <v>1</v>
      </c>
      <c r="BT21" s="1592"/>
      <c r="BU21" s="401"/>
      <c r="BV21" s="401"/>
      <c r="BW21" s="401"/>
      <c r="BX21" s="401"/>
      <c r="BY21" s="401"/>
      <c r="BZ21" s="401"/>
      <c r="CA21" s="401"/>
      <c r="CB21" s="401"/>
      <c r="CC21" s="404"/>
      <c r="CD21" s="404"/>
    </row>
    <row r="22" spans="1:82">
      <c r="A22" s="1649"/>
      <c r="B22" s="2517"/>
      <c r="C22" s="2518"/>
      <c r="D22" s="2518"/>
      <c r="E22" s="2518"/>
      <c r="F22" s="419" t="s">
        <v>130</v>
      </c>
      <c r="G22" s="1628">
        <f>SUM(G17:G21)</f>
        <v>1626816450</v>
      </c>
      <c r="H22" s="1628">
        <f t="shared" ref="H22:I22" si="60">SUM(H17:H21)</f>
        <v>107704745</v>
      </c>
      <c r="I22" s="1628">
        <f t="shared" si="60"/>
        <v>1734521195</v>
      </c>
      <c r="J22" s="419">
        <f t="shared" si="1"/>
        <v>0.34537294887307501</v>
      </c>
      <c r="K22" s="1628">
        <f t="shared" ref="K22:L22" si="61">SUM(K17:K21)</f>
        <v>599056700</v>
      </c>
      <c r="L22" s="1628">
        <f t="shared" si="61"/>
        <v>1135464495</v>
      </c>
      <c r="M22" s="1631"/>
      <c r="N22" s="419"/>
      <c r="O22" s="1634">
        <f t="shared" ref="O22" si="62">+IFERROR(P22/$I22,"-")</f>
        <v>0.17432646592709986</v>
      </c>
      <c r="P22" s="1628">
        <f t="shared" ref="P22:Q22" si="63">SUM(P17:P21)</f>
        <v>302372950</v>
      </c>
      <c r="Q22" s="1628">
        <f t="shared" si="63"/>
        <v>302372950</v>
      </c>
      <c r="R22" s="1684">
        <f t="shared" ref="R22" si="64">+P22-Q22</f>
        <v>0</v>
      </c>
      <c r="S22" s="419"/>
      <c r="T22" s="1631"/>
      <c r="U22" s="419"/>
      <c r="V22" s="1634">
        <f t="shared" ref="V22" si="65">+IFERROR(W22/$I22,"-")</f>
        <v>3.786851967525251E-2</v>
      </c>
      <c r="W22" s="1628">
        <f t="shared" ref="W22:X22" si="66">SUM(W17:W21)</f>
        <v>65683750</v>
      </c>
      <c r="X22" s="1628">
        <f t="shared" si="66"/>
        <v>65683750</v>
      </c>
      <c r="Y22" s="1684">
        <f t="shared" ref="Y22" si="67">+W22-X22</f>
        <v>0</v>
      </c>
      <c r="Z22" s="419"/>
      <c r="AA22" s="1631"/>
      <c r="AB22" s="1923"/>
      <c r="AC22" s="1634">
        <f t="shared" ref="AC22" si="68">+IFERROR(AD22/$I22,"-")</f>
        <v>0.14279709046737826</v>
      </c>
      <c r="AD22" s="1628">
        <f t="shared" ref="AD22:AE22" si="69">SUM(AD17:AD21)</f>
        <v>247684580.00000006</v>
      </c>
      <c r="AE22" s="1628">
        <f t="shared" si="69"/>
        <v>231000000</v>
      </c>
      <c r="AF22" s="1684">
        <f t="shared" ref="AF22" si="70">+AD22-AE22</f>
        <v>16684580.00000006</v>
      </c>
      <c r="AG22" s="419"/>
      <c r="AH22" s="1631"/>
      <c r="AI22" s="419"/>
      <c r="AJ22" s="1634">
        <f t="shared" ref="AJ22" si="71">+IFERROR(AK22/$I22,"-")</f>
        <v>0</v>
      </c>
      <c r="AK22" s="1628">
        <f t="shared" ref="AK22:AL22" si="72">SUM(AK17:AK21)</f>
        <v>0</v>
      </c>
      <c r="AL22" s="1628">
        <f t="shared" si="72"/>
        <v>231000000</v>
      </c>
      <c r="AM22" s="1684">
        <f t="shared" ref="AM22" si="73">+AK22-AL22</f>
        <v>-231000000</v>
      </c>
      <c r="AN22" s="419"/>
      <c r="AO22" s="1631"/>
      <c r="AP22" s="419"/>
      <c r="AQ22" s="1634">
        <f t="shared" ref="AQ22" si="74">+IFERROR(AR22/$I22,"-")</f>
        <v>0.35023771790808239</v>
      </c>
      <c r="AR22" s="1628">
        <f t="shared" ref="AR22" si="75">SUM(AR17:AR21)</f>
        <v>607494745</v>
      </c>
      <c r="AS22" s="1628">
        <f t="shared" ref="AS22" si="76">SUM(AS17:AS21)</f>
        <v>0</v>
      </c>
      <c r="AT22" s="1684">
        <f t="shared" ref="AT22" si="77">+AR22-AS22</f>
        <v>607494745</v>
      </c>
      <c r="AU22" s="419"/>
      <c r="AV22" s="1631"/>
      <c r="AW22" s="419"/>
      <c r="AX22" s="1634">
        <f t="shared" si="32"/>
        <v>0</v>
      </c>
      <c r="AY22" s="1628">
        <f t="shared" ref="AY22" si="78">SUM(AY17:AY21)</f>
        <v>0</v>
      </c>
      <c r="AZ22" s="1628">
        <f t="shared" ref="AZ22" si="79">SUM(AZ17:AZ21)</f>
        <v>0</v>
      </c>
      <c r="BA22" s="1684">
        <f t="shared" ref="BA22" si="80">+AY22-AZ22</f>
        <v>0</v>
      </c>
      <c r="BB22" s="419"/>
      <c r="BC22" s="1631"/>
      <c r="BD22" s="419"/>
      <c r="BE22" s="1634">
        <f t="shared" si="35"/>
        <v>0.1664025356576862</v>
      </c>
      <c r="BF22" s="1628">
        <f t="shared" ref="BF22:BG22" si="81">SUM(BF17:BF21)</f>
        <v>288628725</v>
      </c>
      <c r="BG22" s="1628">
        <f t="shared" si="81"/>
        <v>0</v>
      </c>
      <c r="BH22" s="1684">
        <f t="shared" ref="BH22" si="82">+BF22-BG22</f>
        <v>288628725</v>
      </c>
      <c r="BI22" s="419"/>
      <c r="BJ22" s="1631"/>
      <c r="BK22" s="419"/>
      <c r="BL22" s="1634">
        <f t="shared" si="16"/>
        <v>0.12836767036450078</v>
      </c>
      <c r="BM22" s="1628">
        <f t="shared" ref="BM22:BN22" si="83">SUM(BM17:BM21)</f>
        <v>222656445</v>
      </c>
      <c r="BN22" s="1628">
        <f t="shared" si="83"/>
        <v>0</v>
      </c>
      <c r="BO22" s="1684">
        <f t="shared" ref="BO22" si="84">+BM22-BN22</f>
        <v>222656445</v>
      </c>
      <c r="BP22" s="419"/>
      <c r="BQ22" s="1589"/>
      <c r="BR22" s="1632"/>
      <c r="BS22" s="1633"/>
      <c r="BT22" s="1633"/>
      <c r="BU22" s="401"/>
      <c r="BV22" s="401"/>
      <c r="BW22" s="401"/>
      <c r="BX22" s="401"/>
      <c r="BY22" s="401"/>
      <c r="BZ22" s="401"/>
      <c r="CA22" s="401"/>
      <c r="CB22" s="401"/>
      <c r="CC22" s="404"/>
      <c r="CD22" s="404"/>
    </row>
    <row r="23" spans="1:82" ht="13.5">
      <c r="A23" s="1650"/>
      <c r="B23" s="2517">
        <v>3</v>
      </c>
      <c r="C23" s="2518" t="s">
        <v>212</v>
      </c>
      <c r="D23" s="2519">
        <v>999.6</v>
      </c>
      <c r="E23" s="2518" t="s">
        <v>124</v>
      </c>
      <c r="F23" s="1659" t="s">
        <v>125</v>
      </c>
      <c r="G23" s="1596">
        <f>+'PAYMENT RATIO_RAW'!F$5*$D$23/1000+27500000*D$23/1000</f>
        <v>1077069000</v>
      </c>
      <c r="H23" s="1596">
        <f>+G23*10%</f>
        <v>107706900</v>
      </c>
      <c r="I23" s="1596">
        <f t="shared" ref="I23:I26" si="85">SUM(G23:H23)</f>
        <v>1184775900</v>
      </c>
      <c r="J23" s="1676">
        <f t="shared" si="1"/>
        <v>0.1949735810797637</v>
      </c>
      <c r="K23" s="1678">
        <f t="shared" si="2"/>
        <v>231000000</v>
      </c>
      <c r="L23" s="1678">
        <f>+I23-K23</f>
        <v>953775900</v>
      </c>
      <c r="M23" s="1625"/>
      <c r="N23" s="1586"/>
      <c r="O23" s="1677"/>
      <c r="P23" s="1654">
        <f>+$I23*'PAYMENT RATIO_RAW'!G$5</f>
        <v>0</v>
      </c>
      <c r="Q23" s="1678"/>
      <c r="R23" s="1678">
        <f>+P23-Q23</f>
        <v>0</v>
      </c>
      <c r="S23" s="1679"/>
      <c r="T23" s="1625"/>
      <c r="U23" s="1586"/>
      <c r="V23" s="1677"/>
      <c r="W23" s="1678">
        <f>+$I23*'PAYMENT RATIO_RAW'!N$5</f>
        <v>0</v>
      </c>
      <c r="X23" s="1678"/>
      <c r="Y23" s="1678">
        <f>+W23-X23</f>
        <v>0</v>
      </c>
      <c r="Z23" s="1679"/>
      <c r="AA23" s="1625">
        <f>+$AA$11</f>
        <v>45920</v>
      </c>
      <c r="AB23" s="1586">
        <v>45915</v>
      </c>
      <c r="AC23" s="1677">
        <f>+IFERROR(AD23/$I23,"-")</f>
        <v>0.19489559164733183</v>
      </c>
      <c r="AD23" s="1678">
        <f>+'PAYMENT RATIO_RAW'!$U$60*$D23*1050000000/1000*1.1</f>
        <v>230907600.00000006</v>
      </c>
      <c r="AE23" s="1678">
        <v>231000000</v>
      </c>
      <c r="AF23" s="1678">
        <f>+AD23-AE23</f>
        <v>-92399.999999940395</v>
      </c>
      <c r="AG23" s="1921" t="s">
        <v>2448</v>
      </c>
      <c r="AH23" s="1625">
        <f>+EDATE(AO23,0)</f>
        <v>45950</v>
      </c>
      <c r="AI23" s="1585">
        <v>45980</v>
      </c>
      <c r="AJ23" s="1677">
        <f>+IFERROR(AK23/$I23,"-")</f>
        <v>0</v>
      </c>
      <c r="AK23" s="1678">
        <f>+'PAYMENT RATIO_RAW'!AB$60*$I23</f>
        <v>0</v>
      </c>
      <c r="AL23" s="1678">
        <v>231000000</v>
      </c>
      <c r="AM23" s="1678">
        <f>+AK23-AL23</f>
        <v>-231000000</v>
      </c>
      <c r="AN23" s="1679"/>
      <c r="AO23" s="1625">
        <f>+EDATE(AV23,0)-10</f>
        <v>45950</v>
      </c>
      <c r="AP23" s="1586"/>
      <c r="AQ23" s="1677">
        <f>+IFERROR(AR23/$I23,"-")</f>
        <v>0.51276102088167053</v>
      </c>
      <c r="AR23" s="1678">
        <f>+'PAYMENT RATIO_RAW'!AI$60*$D23*1050000000/1000*1.1+27500000*$D23/1000*1.1</f>
        <v>607506900</v>
      </c>
      <c r="AS23" s="1678"/>
      <c r="AT23" s="1678">
        <f>+AR23-AS23</f>
        <v>607506900</v>
      </c>
      <c r="AU23" s="1679"/>
      <c r="AV23" s="1625">
        <f>+EDATE(BC23,-1)</f>
        <v>45960</v>
      </c>
      <c r="AW23" s="1625"/>
      <c r="AX23" s="1677">
        <f>+IFERROR(AY23/$I23,"-")</f>
        <v>0</v>
      </c>
      <c r="AY23" s="1678">
        <f>+'PAYMENT RATIO_RAW'!AP$60*$I23</f>
        <v>0</v>
      </c>
      <c r="AZ23" s="1678"/>
      <c r="BA23" s="1678">
        <f>+AY23-AZ23</f>
        <v>0</v>
      </c>
      <c r="BB23" s="1679"/>
      <c r="BC23" s="1625">
        <f>+EDATE(BJ23,-1)</f>
        <v>45991</v>
      </c>
      <c r="BD23" s="1625"/>
      <c r="BE23" s="1677">
        <f>+IFERROR(BF23/$I23,"-")</f>
        <v>0.24361948955916474</v>
      </c>
      <c r="BF23" s="1678">
        <f>+'PAYMENT RATIO_RAW'!AW$60*$D23*1050000000/1000*1.1</f>
        <v>288634500</v>
      </c>
      <c r="BG23" s="1678"/>
      <c r="BH23" s="1678">
        <f>+BF23-BG23</f>
        <v>288634500</v>
      </c>
      <c r="BI23" s="1679"/>
      <c r="BJ23" s="1586">
        <v>46022</v>
      </c>
      <c r="BK23" s="1625"/>
      <c r="BL23" s="1677">
        <f>+IFERROR(BM23/$I23,"-")</f>
        <v>4.8723897911832958E-2</v>
      </c>
      <c r="BM23" s="1678">
        <f>+'PAYMENT RATIO_RAW'!BD$60*$D23*1050000000/1000*1.1</f>
        <v>57726900.000000015</v>
      </c>
      <c r="BN23" s="1678"/>
      <c r="BO23" s="1678">
        <f>+BM23-BN23</f>
        <v>57726900.000000015</v>
      </c>
      <c r="BP23" s="1679"/>
      <c r="BQ23" s="1588"/>
      <c r="BR23" s="1587" t="b">
        <f>+P23+W23+AD23+AK23+AR23+AY23+BF23+BM23=I23</f>
        <v>1</v>
      </c>
      <c r="BS23" s="1587" t="b">
        <f>+Q23+X23+AE23+AS23+AZ23+BG23+BN23=K23</f>
        <v>1</v>
      </c>
      <c r="BT23" s="1587"/>
      <c r="BU23" s="404"/>
      <c r="BV23" s="404"/>
      <c r="BW23" s="404"/>
      <c r="BX23" s="404"/>
      <c r="BY23" s="404"/>
      <c r="BZ23" s="404"/>
      <c r="CA23" s="404"/>
      <c r="CB23" s="404"/>
      <c r="CC23" s="404"/>
      <c r="CD23" s="404"/>
    </row>
    <row r="24" spans="1:82" ht="13.5">
      <c r="A24" s="1650"/>
      <c r="B24" s="2517"/>
      <c r="C24" s="2518"/>
      <c r="D24" s="2519"/>
      <c r="E24" s="2518"/>
      <c r="F24" s="1872" t="s">
        <v>126</v>
      </c>
      <c r="G24" s="1873">
        <f>+'PAYMENT RATIO_RAW'!F$6*'GM Batch1'!$D$23/1000</f>
        <v>549780000</v>
      </c>
      <c r="H24" s="1873"/>
      <c r="I24" s="1873">
        <f t="shared" si="85"/>
        <v>549780000</v>
      </c>
      <c r="J24" s="1872">
        <f t="shared" si="1"/>
        <v>0.66947278911564623</v>
      </c>
      <c r="K24" s="1874">
        <f t="shared" si="2"/>
        <v>368062750</v>
      </c>
      <c r="L24" s="1874">
        <f t="shared" ref="L24:L27" si="86">+I24-K24</f>
        <v>181717250</v>
      </c>
      <c r="M24" s="1875">
        <v>45450</v>
      </c>
      <c r="N24" s="1875">
        <v>45450</v>
      </c>
      <c r="O24" s="1876">
        <f t="shared" ref="O24:O26" si="87">+IFERROR(P24/$I24,"-")</f>
        <v>0.55000000000000004</v>
      </c>
      <c r="P24" s="1874">
        <f>+$I24*'PAYMENT RATIO_RAW'!G$6</f>
        <v>302379000</v>
      </c>
      <c r="Q24" s="1874">
        <v>302379000</v>
      </c>
      <c r="R24" s="1874">
        <f t="shared" ref="R24:R27" si="88">+P24-Q24</f>
        <v>0</v>
      </c>
      <c r="S24" s="1877"/>
      <c r="T24" s="1875">
        <v>45456</v>
      </c>
      <c r="U24" s="1875">
        <v>45456</v>
      </c>
      <c r="V24" s="1876">
        <f t="shared" ref="V24:V26" si="89">+IFERROR(W24/$I24,"-")</f>
        <v>0.11947278911564625</v>
      </c>
      <c r="W24" s="1878">
        <f>+$I24*'PAYMENT RATIO_RAW'!N$6-16783250</f>
        <v>65683750</v>
      </c>
      <c r="X24" s="1874">
        <v>65683750</v>
      </c>
      <c r="Y24" s="1874">
        <f t="shared" ref="Y24:Y27" si="90">+W24-X24</f>
        <v>0</v>
      </c>
      <c r="Z24" s="1879"/>
      <c r="AA24" s="1875">
        <v>45950</v>
      </c>
      <c r="AB24" s="1922"/>
      <c r="AC24" s="1876">
        <f t="shared" ref="AC24:AC26" si="91">+IFERROR(AD24/$I24,"-")</f>
        <v>3.0527210884353742E-2</v>
      </c>
      <c r="AD24" s="1878">
        <f>+$I24*'PAYMENT RATIO_RAW'!U$6+16783250</f>
        <v>16783250</v>
      </c>
      <c r="AE24" s="1874"/>
      <c r="AF24" s="1874">
        <f t="shared" ref="AF24:AF27" si="92">+AD24-AE24</f>
        <v>16783250</v>
      </c>
      <c r="AG24" s="1877"/>
      <c r="AH24" s="1875"/>
      <c r="AI24" s="1875"/>
      <c r="AJ24" s="1876">
        <f t="shared" ref="AJ24:AJ26" si="93">+IFERROR(AK24/$I24,"-")</f>
        <v>0</v>
      </c>
      <c r="AK24" s="1874">
        <f>+$I24*'PAYMENT RATIO_RAW'!AB44</f>
        <v>0</v>
      </c>
      <c r="AL24" s="1874"/>
      <c r="AM24" s="1874">
        <f t="shared" ref="AM24:AM26" si="94">+AK24-AL24</f>
        <v>0</v>
      </c>
      <c r="AN24" s="1877"/>
      <c r="AO24" s="1875"/>
      <c r="AP24" s="1875"/>
      <c r="AQ24" s="1876"/>
      <c r="AR24" s="1878">
        <f>+$I24*'PAYMENT RATIO_RAW'!AI$6</f>
        <v>0</v>
      </c>
      <c r="AS24" s="1874"/>
      <c r="AT24" s="1874">
        <f t="shared" ref="AT24:AT26" si="95">+AR24-AS24</f>
        <v>0</v>
      </c>
      <c r="AU24" s="1877"/>
      <c r="AV24" s="1875"/>
      <c r="AW24" s="1875"/>
      <c r="AX24" s="1876"/>
      <c r="AY24" s="1878">
        <f>+$I24*'PAYMENT RATIO_RAW'!AP$6</f>
        <v>0</v>
      </c>
      <c r="AZ24" s="1874"/>
      <c r="BA24" s="1874">
        <f t="shared" ref="BA24:BA26" si="96">+AY24-AZ24</f>
        <v>0</v>
      </c>
      <c r="BB24" s="1877"/>
      <c r="BC24" s="1875"/>
      <c r="BD24" s="1875"/>
      <c r="BE24" s="1876">
        <f t="shared" ref="BE24:BE27" si="97">+IFERROR(BF24/$I24,"-")</f>
        <v>0</v>
      </c>
      <c r="BF24" s="1878">
        <f>+$I24*'PAYMENT RATIO_RAW'!AW$6</f>
        <v>0</v>
      </c>
      <c r="BG24" s="1874"/>
      <c r="BH24" s="1878">
        <f t="shared" ref="BH24:BH27" si="98">+BF24-BG24</f>
        <v>0</v>
      </c>
      <c r="BI24" s="1877"/>
      <c r="BJ24" s="1875">
        <f>+BJ23</f>
        <v>46022</v>
      </c>
      <c r="BK24" s="1875"/>
      <c r="BL24" s="1876">
        <f t="shared" ref="BL24:BL27" si="99">+IFERROR(BM24/$I24,"-")</f>
        <v>0.3</v>
      </c>
      <c r="BM24" s="1874">
        <f>+$I24*'PAYMENT RATIO_RAW'!BD$6</f>
        <v>164934000</v>
      </c>
      <c r="BN24" s="1874"/>
      <c r="BO24" s="1874">
        <f t="shared" ref="BO24:BO27" si="100">+BM24-BN24</f>
        <v>164934000</v>
      </c>
      <c r="BP24" s="1877"/>
      <c r="BQ24" s="1588"/>
      <c r="BR24" s="1587" t="b">
        <f t="shared" ref="BR24" si="101">+P24+W24+AD24+AR24+AY24+BF24+BM24=I24</f>
        <v>1</v>
      </c>
      <c r="BS24" s="1587" t="b">
        <f t="shared" ref="BS24:BS27" si="102">+Q24+X24+AE24+AS24+AZ24+BG24+BN24=K24</f>
        <v>1</v>
      </c>
      <c r="BT24" s="1587" t="b">
        <f>+BF24+BF26+AY24+AY26+AR24+AR26+AD24+AD26+W24+W26+P24+P26+BM24+BM26=('PAYMENT RATIO_RAW'!$F$6+'PAYMENT RATIO_RAW'!$F$8)*D23/1000</f>
        <v>1</v>
      </c>
      <c r="BU24" s="404"/>
      <c r="BV24" s="404"/>
      <c r="BW24" s="404"/>
      <c r="BX24" s="404"/>
      <c r="BY24" s="404"/>
      <c r="BZ24" s="404"/>
      <c r="CA24" s="404"/>
      <c r="CB24" s="404"/>
      <c r="CC24" s="404"/>
      <c r="CD24" s="404"/>
    </row>
    <row r="25" spans="1:82" hidden="1">
      <c r="A25" s="1650"/>
      <c r="B25" s="2517"/>
      <c r="C25" s="2518"/>
      <c r="D25" s="2519"/>
      <c r="E25" s="2518"/>
      <c r="F25" s="1661" t="s">
        <v>127</v>
      </c>
      <c r="G25" s="1597">
        <f>+'PAYMENT RATIO_RAW'!F$7*'GM Batch1'!$D$23/1000</f>
        <v>0</v>
      </c>
      <c r="H25" s="1597"/>
      <c r="I25" s="1597">
        <f t="shared" si="85"/>
        <v>0</v>
      </c>
      <c r="J25" s="1661" t="str">
        <f t="shared" si="1"/>
        <v>-</v>
      </c>
      <c r="K25" s="1654">
        <f t="shared" si="2"/>
        <v>0</v>
      </c>
      <c r="L25" s="1654">
        <f t="shared" si="86"/>
        <v>0</v>
      </c>
      <c r="M25" s="1626"/>
      <c r="N25" s="1626"/>
      <c r="O25" s="1660" t="str">
        <f t="shared" si="87"/>
        <v>-</v>
      </c>
      <c r="P25" s="1654">
        <f>+$I25*'PAYMENT RATIO_RAW'!G$7</f>
        <v>0</v>
      </c>
      <c r="Q25" s="1654"/>
      <c r="R25" s="1654">
        <f t="shared" si="88"/>
        <v>0</v>
      </c>
      <c r="S25" s="1662"/>
      <c r="T25" s="1626"/>
      <c r="U25" s="1626"/>
      <c r="V25" s="1660" t="str">
        <f t="shared" si="89"/>
        <v>-</v>
      </c>
      <c r="W25" s="1678">
        <f>+$I25*'PAYMENT RATIO_RAW'!N$7</f>
        <v>0</v>
      </c>
      <c r="X25" s="1654"/>
      <c r="Y25" s="1654">
        <f t="shared" si="90"/>
        <v>0</v>
      </c>
      <c r="Z25" s="1662"/>
      <c r="AA25" s="1626"/>
      <c r="AB25" s="1766"/>
      <c r="AC25" s="1660" t="str">
        <f t="shared" si="91"/>
        <v>-</v>
      </c>
      <c r="AD25" s="1678">
        <f>+$I25*'PAYMENT RATIO_RAW'!U$7</f>
        <v>0</v>
      </c>
      <c r="AE25" s="1654"/>
      <c r="AF25" s="1654">
        <f t="shared" si="92"/>
        <v>0</v>
      </c>
      <c r="AG25" s="1662"/>
      <c r="AH25" s="1626"/>
      <c r="AI25" s="1626"/>
      <c r="AJ25" s="1660" t="str">
        <f t="shared" si="93"/>
        <v>-</v>
      </c>
      <c r="AK25" s="1654">
        <f>+$I25*'PAYMENT RATIO_RAW'!AB45</f>
        <v>0</v>
      </c>
      <c r="AL25" s="1654"/>
      <c r="AM25" s="1654">
        <f t="shared" si="94"/>
        <v>0</v>
      </c>
      <c r="AN25" s="1662"/>
      <c r="AO25" s="1626"/>
      <c r="AP25" s="1626"/>
      <c r="AQ25" s="1660"/>
      <c r="AR25" s="1678">
        <f>+$I25*'PAYMENT RATIO_RAW'!AI$7</f>
        <v>0</v>
      </c>
      <c r="AS25" s="1654"/>
      <c r="AT25" s="1654">
        <f t="shared" si="95"/>
        <v>0</v>
      </c>
      <c r="AU25" s="1662"/>
      <c r="AV25" s="1626"/>
      <c r="AW25" s="1626"/>
      <c r="AX25" s="1660"/>
      <c r="AY25" s="1678">
        <f>+$I25*'PAYMENT RATIO_RAW'!AP$7</f>
        <v>0</v>
      </c>
      <c r="AZ25" s="1654"/>
      <c r="BA25" s="1654">
        <f t="shared" si="96"/>
        <v>0</v>
      </c>
      <c r="BB25" s="1662"/>
      <c r="BC25" s="1626"/>
      <c r="BD25" s="1626"/>
      <c r="BE25" s="1660" t="str">
        <f t="shared" si="97"/>
        <v>-</v>
      </c>
      <c r="BF25" s="1678">
        <f>+$I25*'PAYMENT RATIO_RAW'!AW$7</f>
        <v>0</v>
      </c>
      <c r="BG25" s="1654"/>
      <c r="BH25" s="1678">
        <f t="shared" si="98"/>
        <v>0</v>
      </c>
      <c r="BI25" s="1662"/>
      <c r="BJ25" s="1626"/>
      <c r="BK25" s="1626"/>
      <c r="BL25" s="1660" t="str">
        <f t="shared" si="99"/>
        <v>-</v>
      </c>
      <c r="BM25" s="1654">
        <f>+$I25*'PAYMENT RATIO_RAW'!BD$7</f>
        <v>0</v>
      </c>
      <c r="BN25" s="1654"/>
      <c r="BO25" s="1654">
        <f t="shared" si="100"/>
        <v>0</v>
      </c>
      <c r="BP25" s="1662"/>
      <c r="BQ25" s="1588"/>
      <c r="BR25" s="1587" t="b">
        <f>+P25+W25+AD25+AR25+AY25+BF25+BM25=I25</f>
        <v>1</v>
      </c>
      <c r="BS25" s="1587" t="b">
        <f t="shared" si="102"/>
        <v>1</v>
      </c>
      <c r="BT25" s="1587"/>
      <c r="BU25" s="404"/>
      <c r="BV25" s="404"/>
      <c r="BW25" s="404"/>
      <c r="BX25" s="404"/>
      <c r="BY25" s="404"/>
      <c r="BZ25" s="404"/>
      <c r="CA25" s="404"/>
      <c r="CB25" s="404"/>
      <c r="CC25" s="404"/>
      <c r="CD25" s="404"/>
    </row>
    <row r="26" spans="1:82" hidden="1">
      <c r="A26" s="1650"/>
      <c r="B26" s="2517"/>
      <c r="C26" s="2518"/>
      <c r="D26" s="2519"/>
      <c r="E26" s="2518"/>
      <c r="F26" s="1661" t="s">
        <v>128</v>
      </c>
      <c r="G26" s="1597">
        <f>+'PAYMENT RATIO_RAW'!F$8*'GM Batch1'!$D$23/1000</f>
        <v>0</v>
      </c>
      <c r="H26" s="1597">
        <f t="shared" ref="H26" si="103">+G26*10%</f>
        <v>0</v>
      </c>
      <c r="I26" s="1597">
        <f t="shared" si="85"/>
        <v>0</v>
      </c>
      <c r="J26" s="1661" t="str">
        <f t="shared" si="1"/>
        <v>-</v>
      </c>
      <c r="K26" s="1654">
        <f t="shared" si="2"/>
        <v>0</v>
      </c>
      <c r="L26" s="1654">
        <f t="shared" si="86"/>
        <v>0</v>
      </c>
      <c r="M26" s="1626"/>
      <c r="N26" s="1585"/>
      <c r="O26" s="1660" t="str">
        <f t="shared" si="87"/>
        <v>-</v>
      </c>
      <c r="P26" s="1654">
        <f>+$I26*'PAYMENT RATIO_RAW'!G$8</f>
        <v>0</v>
      </c>
      <c r="Q26" s="1654"/>
      <c r="R26" s="1654">
        <f t="shared" si="88"/>
        <v>0</v>
      </c>
      <c r="S26" s="1662"/>
      <c r="T26" s="1626"/>
      <c r="U26" s="1585"/>
      <c r="V26" s="1660" t="str">
        <f t="shared" si="89"/>
        <v>-</v>
      </c>
      <c r="W26" s="1678">
        <f>+$I26*'PAYMENT RATIO_RAW'!N$8</f>
        <v>0</v>
      </c>
      <c r="X26" s="1654"/>
      <c r="Y26" s="1654">
        <f t="shared" si="90"/>
        <v>0</v>
      </c>
      <c r="Z26" s="1662"/>
      <c r="AA26" s="1626"/>
      <c r="AB26" s="1585"/>
      <c r="AC26" s="1660" t="str">
        <f t="shared" si="91"/>
        <v>-</v>
      </c>
      <c r="AD26" s="1678">
        <f>+$I26*'PAYMENT RATIO_RAW'!U$8</f>
        <v>0</v>
      </c>
      <c r="AE26" s="1654"/>
      <c r="AF26" s="1654">
        <f t="shared" si="92"/>
        <v>0</v>
      </c>
      <c r="AG26" s="1662"/>
      <c r="AH26" s="1585"/>
      <c r="AI26" s="1585"/>
      <c r="AJ26" s="1660" t="str">
        <f t="shared" si="93"/>
        <v>-</v>
      </c>
      <c r="AK26" s="1654">
        <f>+$I26*'PAYMENT RATIO_RAW'!AB46</f>
        <v>0</v>
      </c>
      <c r="AL26" s="1654"/>
      <c r="AM26" s="1654">
        <f t="shared" si="94"/>
        <v>0</v>
      </c>
      <c r="AN26" s="1662"/>
      <c r="AO26" s="1585"/>
      <c r="AP26" s="1585"/>
      <c r="AQ26" s="1660"/>
      <c r="AR26" s="1678">
        <f>+$I26*'PAYMENT RATIO_RAW'!AI$8</f>
        <v>0</v>
      </c>
      <c r="AS26" s="1654"/>
      <c r="AT26" s="1654">
        <f t="shared" si="95"/>
        <v>0</v>
      </c>
      <c r="AU26" s="1662"/>
      <c r="AV26" s="1585"/>
      <c r="AW26" s="1585"/>
      <c r="AX26" s="1660"/>
      <c r="AY26" s="1678">
        <f>+$I26*'PAYMENT RATIO_RAW'!AP$8</f>
        <v>0</v>
      </c>
      <c r="AZ26" s="1654"/>
      <c r="BA26" s="1654">
        <f t="shared" si="96"/>
        <v>0</v>
      </c>
      <c r="BB26" s="1662"/>
      <c r="BC26" s="1585"/>
      <c r="BD26" s="1585"/>
      <c r="BE26" s="1660" t="str">
        <f t="shared" si="97"/>
        <v>-</v>
      </c>
      <c r="BF26" s="1678">
        <f>+$I26*'PAYMENT RATIO_RAW'!AW$8</f>
        <v>0</v>
      </c>
      <c r="BG26" s="1654"/>
      <c r="BH26" s="1678">
        <f t="shared" si="98"/>
        <v>0</v>
      </c>
      <c r="BI26" s="1662"/>
      <c r="BJ26" s="1585"/>
      <c r="BK26" s="1585"/>
      <c r="BL26" s="1660" t="str">
        <f t="shared" si="99"/>
        <v>-</v>
      </c>
      <c r="BM26" s="1654">
        <f>+$I26*'PAYMENT RATIO_RAW'!BD$8</f>
        <v>0</v>
      </c>
      <c r="BN26" s="1654"/>
      <c r="BO26" s="1654">
        <f t="shared" si="100"/>
        <v>0</v>
      </c>
      <c r="BP26" s="1662"/>
      <c r="BQ26" s="1588"/>
      <c r="BR26" s="1587" t="b">
        <f t="shared" ref="BR26:BR27" si="104">+P26+W26+AD26+AR26+AY26+BF26+BM26=I26</f>
        <v>1</v>
      </c>
      <c r="BS26" s="1587" t="b">
        <f t="shared" si="102"/>
        <v>1</v>
      </c>
      <c r="BT26" s="1587"/>
      <c r="BU26" s="404"/>
      <c r="BV26" s="404"/>
      <c r="BW26" s="404"/>
      <c r="BX26" s="404"/>
      <c r="BY26" s="404"/>
      <c r="BZ26" s="404"/>
      <c r="CA26" s="404"/>
      <c r="CB26" s="404"/>
      <c r="CC26" s="404"/>
      <c r="CD26" s="404"/>
    </row>
    <row r="27" spans="1:82" hidden="1">
      <c r="A27" s="1650"/>
      <c r="B27" s="2517"/>
      <c r="C27" s="2518"/>
      <c r="D27" s="2519"/>
      <c r="E27" s="2518"/>
      <c r="F27" s="1627" t="s">
        <v>129</v>
      </c>
      <c r="G27" s="1680">
        <f>+'PAYMENT RATIO_RAW'!F$9*'GM Batch1'!$D$23/1000</f>
        <v>0</v>
      </c>
      <c r="H27" s="1598">
        <f>+G27*0.1</f>
        <v>0</v>
      </c>
      <c r="I27" s="1598">
        <f>SUM(G27:H27)</f>
        <v>0</v>
      </c>
      <c r="J27" s="1627" t="str">
        <f t="shared" si="1"/>
        <v>-</v>
      </c>
      <c r="K27" s="1655">
        <f t="shared" si="2"/>
        <v>0</v>
      </c>
      <c r="L27" s="1655">
        <f t="shared" si="86"/>
        <v>0</v>
      </c>
      <c r="M27" s="1629"/>
      <c r="N27" s="1630"/>
      <c r="O27" s="1682"/>
      <c r="P27" s="1683">
        <f>+$I27*'PAYMENT RATIO_RAW'!G$9</f>
        <v>0</v>
      </c>
      <c r="Q27" s="1683"/>
      <c r="R27" s="1683">
        <f t="shared" si="88"/>
        <v>0</v>
      </c>
      <c r="S27" s="1630"/>
      <c r="T27" s="1629"/>
      <c r="U27" s="1630"/>
      <c r="V27" s="1682"/>
      <c r="W27" s="1678">
        <f>+$I27*'PAYMENT RATIO_RAW'!N$9</f>
        <v>0</v>
      </c>
      <c r="X27" s="1683"/>
      <c r="Y27" s="1683">
        <f t="shared" si="90"/>
        <v>0</v>
      </c>
      <c r="Z27" s="1630"/>
      <c r="AA27" s="1629"/>
      <c r="AB27" s="1630"/>
      <c r="AC27" s="1682"/>
      <c r="AD27" s="1678">
        <f>+$I27*'PAYMENT RATIO_RAW'!U$9</f>
        <v>0</v>
      </c>
      <c r="AE27" s="1683"/>
      <c r="AF27" s="1683">
        <f t="shared" si="92"/>
        <v>0</v>
      </c>
      <c r="AG27" s="1630"/>
      <c r="AH27" s="1629"/>
      <c r="AI27" s="1630"/>
      <c r="AJ27" s="1682"/>
      <c r="AK27" s="1683"/>
      <c r="AL27" s="1683"/>
      <c r="AM27" s="1683"/>
      <c r="AN27" s="1630"/>
      <c r="AO27" s="1629"/>
      <c r="AP27" s="1630"/>
      <c r="AQ27" s="1682"/>
      <c r="AR27" s="1678">
        <f>+$I27*'PAYMENT RATIO_RAW'!AI$9</f>
        <v>0</v>
      </c>
      <c r="AS27" s="1683"/>
      <c r="AT27" s="1683"/>
      <c r="AU27" s="1630"/>
      <c r="AV27" s="1629"/>
      <c r="AW27" s="1630"/>
      <c r="AX27" s="1682"/>
      <c r="AY27" s="1678">
        <f>+$I27*'PAYMENT RATIO_RAW'!AP$9</f>
        <v>0</v>
      </c>
      <c r="AZ27" s="1683"/>
      <c r="BA27" s="1683"/>
      <c r="BB27" s="1630"/>
      <c r="BC27" s="1629"/>
      <c r="BD27" s="1630"/>
      <c r="BE27" s="1682" t="str">
        <f t="shared" si="97"/>
        <v>-</v>
      </c>
      <c r="BF27" s="1678">
        <f>+$I27*'PAYMENT RATIO_RAW'!AW$9</f>
        <v>0</v>
      </c>
      <c r="BG27" s="1683"/>
      <c r="BH27" s="1678">
        <f t="shared" si="98"/>
        <v>0</v>
      </c>
      <c r="BI27" s="1630"/>
      <c r="BJ27" s="1629"/>
      <c r="BK27" s="1630"/>
      <c r="BL27" s="1682" t="str">
        <f t="shared" si="99"/>
        <v>-</v>
      </c>
      <c r="BM27" s="1683">
        <f>+$I27*'PAYMENT RATIO_RAW'!BD$9</f>
        <v>0</v>
      </c>
      <c r="BN27" s="1683"/>
      <c r="BO27" s="1683">
        <f t="shared" si="100"/>
        <v>0</v>
      </c>
      <c r="BP27" s="1630"/>
      <c r="BQ27" s="1589"/>
      <c r="BR27" s="1591" t="b">
        <f t="shared" si="104"/>
        <v>1</v>
      </c>
      <c r="BS27" s="1592" t="b">
        <f t="shared" si="102"/>
        <v>1</v>
      </c>
      <c r="BT27" s="1592"/>
      <c r="BU27" s="404"/>
      <c r="BV27" s="404"/>
      <c r="BW27" s="404"/>
      <c r="BX27" s="404"/>
      <c r="BY27" s="404"/>
      <c r="BZ27" s="404"/>
      <c r="CA27" s="404"/>
      <c r="CB27" s="404"/>
      <c r="CC27" s="404"/>
      <c r="CD27" s="404"/>
    </row>
    <row r="28" spans="1:82">
      <c r="A28" s="1649"/>
      <c r="B28" s="2517"/>
      <c r="C28" s="2518"/>
      <c r="D28" s="2519"/>
      <c r="E28" s="2518"/>
      <c r="F28" s="419" t="s">
        <v>130</v>
      </c>
      <c r="G28" s="1628">
        <f>SUM(G23:G27)</f>
        <v>1626849000</v>
      </c>
      <c r="H28" s="1628">
        <f t="shared" ref="H28:I28" si="105">SUM(H23:H27)</f>
        <v>107706900</v>
      </c>
      <c r="I28" s="1628">
        <f t="shared" si="105"/>
        <v>1734555900</v>
      </c>
      <c r="J28" s="419">
        <f t="shared" si="1"/>
        <v>0.34536952657449665</v>
      </c>
      <c r="K28" s="1628">
        <f t="shared" ref="K28:L28" si="106">SUM(K23:K27)</f>
        <v>599062750</v>
      </c>
      <c r="L28" s="1628">
        <f t="shared" si="106"/>
        <v>1135493150</v>
      </c>
      <c r="M28" s="1631"/>
      <c r="N28" s="419"/>
      <c r="O28" s="1634">
        <f t="shared" ref="O28:O34" si="107">+IFERROR(P28/$I28,"-")</f>
        <v>0.17432646592709986</v>
      </c>
      <c r="P28" s="1628">
        <f t="shared" ref="P28:Q28" si="108">SUM(P23:P27)</f>
        <v>302379000</v>
      </c>
      <c r="Q28" s="1628">
        <f t="shared" si="108"/>
        <v>302379000</v>
      </c>
      <c r="R28" s="1684">
        <f t="shared" ref="R28" si="109">+P28-Q28</f>
        <v>0</v>
      </c>
      <c r="S28" s="419"/>
      <c r="T28" s="1631"/>
      <c r="U28" s="419"/>
      <c r="V28" s="1634">
        <f t="shared" ref="V28" si="110">+IFERROR(W28/$I28,"-")</f>
        <v>3.7867762001789623E-2</v>
      </c>
      <c r="W28" s="1628">
        <f t="shared" ref="W28:X28" si="111">SUM(W23:W27)</f>
        <v>65683750</v>
      </c>
      <c r="X28" s="1628">
        <f t="shared" si="111"/>
        <v>65683750</v>
      </c>
      <c r="Y28" s="1684">
        <f t="shared" ref="Y28" si="112">+W28-X28</f>
        <v>0</v>
      </c>
      <c r="Z28" s="419"/>
      <c r="AA28" s="1631"/>
      <c r="AB28" s="1923"/>
      <c r="AC28" s="1634">
        <f t="shared" ref="AC28" si="113">+IFERROR(AD28/$I28,"-")</f>
        <v>0.14279784814084115</v>
      </c>
      <c r="AD28" s="1628">
        <f t="shared" ref="AD28:AE28" si="114">SUM(AD23:AD27)</f>
        <v>247690850.00000006</v>
      </c>
      <c r="AE28" s="1628">
        <f t="shared" si="114"/>
        <v>231000000</v>
      </c>
      <c r="AF28" s="1684">
        <f t="shared" ref="AF28" si="115">+AD28-AE28</f>
        <v>16690850.00000006</v>
      </c>
      <c r="AG28" s="419"/>
      <c r="AH28" s="1631"/>
      <c r="AI28" s="419"/>
      <c r="AJ28" s="1634">
        <f t="shared" ref="AJ28" si="116">+IFERROR(AK28/$I28,"-")</f>
        <v>0</v>
      </c>
      <c r="AK28" s="1628">
        <f t="shared" ref="AK28:AL28" si="117">SUM(AK23:AK27)</f>
        <v>0</v>
      </c>
      <c r="AL28" s="1628">
        <f t="shared" si="117"/>
        <v>231000000</v>
      </c>
      <c r="AM28" s="1684">
        <f t="shared" ref="AM28" si="118">+AK28-AL28</f>
        <v>-231000000</v>
      </c>
      <c r="AN28" s="419"/>
      <c r="AO28" s="1631"/>
      <c r="AP28" s="419"/>
      <c r="AQ28" s="1634">
        <f t="shared" ref="AQ28" si="119">+IFERROR(AR28/$I28,"-")</f>
        <v>0.35023771790808239</v>
      </c>
      <c r="AR28" s="1628">
        <f t="shared" ref="AR28" si="120">SUM(AR23:AR27)</f>
        <v>607506900</v>
      </c>
      <c r="AS28" s="1628">
        <f t="shared" ref="AS28" si="121">SUM(AS23:AS27)</f>
        <v>0</v>
      </c>
      <c r="AT28" s="1684">
        <f t="shared" ref="AT28" si="122">+AR28-AS28</f>
        <v>607506900</v>
      </c>
      <c r="AU28" s="419"/>
      <c r="AV28" s="1631"/>
      <c r="AW28" s="419"/>
      <c r="AX28" s="1634">
        <f t="shared" ref="AX28" si="123">+IFERROR(AY28/$I28,"-")</f>
        <v>0</v>
      </c>
      <c r="AY28" s="1628">
        <f t="shared" ref="AY28" si="124">SUM(AY23:AY27)</f>
        <v>0</v>
      </c>
      <c r="AZ28" s="1628">
        <f t="shared" ref="AZ28" si="125">SUM(AZ23:AZ27)</f>
        <v>0</v>
      </c>
      <c r="BA28" s="1684">
        <f t="shared" ref="BA28" si="126">+AY28-AZ28</f>
        <v>0</v>
      </c>
      <c r="BB28" s="419"/>
      <c r="BC28" s="1631"/>
      <c r="BD28" s="419"/>
      <c r="BE28" s="1634">
        <f t="shared" ref="BE28" si="127">+IFERROR(BF28/$I28,"-")</f>
        <v>0.1664025356576862</v>
      </c>
      <c r="BF28" s="1628">
        <f t="shared" ref="BF28" si="128">SUM(BF23:BF27)</f>
        <v>288634500</v>
      </c>
      <c r="BG28" s="1628">
        <f t="shared" ref="BG28" si="129">SUM(BG23:BG27)</f>
        <v>0</v>
      </c>
      <c r="BH28" s="1684">
        <f t="shared" ref="BH28" si="130">+BF28-BG28</f>
        <v>288634500</v>
      </c>
      <c r="BI28" s="419"/>
      <c r="BJ28" s="1631"/>
      <c r="BK28" s="419"/>
      <c r="BL28" s="1634">
        <f t="shared" si="16"/>
        <v>0.12836767036450078</v>
      </c>
      <c r="BM28" s="1628">
        <f t="shared" ref="BM28:BN28" si="131">SUM(BM23:BM27)</f>
        <v>222660900</v>
      </c>
      <c r="BN28" s="1628">
        <f t="shared" si="131"/>
        <v>0</v>
      </c>
      <c r="BO28" s="1684">
        <f t="shared" ref="BO28" si="132">+BM28-BN28</f>
        <v>222660900</v>
      </c>
      <c r="BP28" s="419"/>
      <c r="BQ28" s="1589"/>
      <c r="BR28" s="1632"/>
      <c r="BS28" s="1633"/>
      <c r="BT28" s="1633"/>
      <c r="BU28" s="401"/>
      <c r="BV28" s="401"/>
      <c r="BW28" s="401"/>
      <c r="BX28" s="401"/>
      <c r="BY28" s="401"/>
      <c r="BZ28" s="401"/>
      <c r="CA28" s="401"/>
      <c r="CB28" s="401"/>
      <c r="CC28" s="404"/>
      <c r="CD28" s="404"/>
    </row>
    <row r="29" spans="1:82" ht="13.5">
      <c r="A29" s="1649"/>
      <c r="B29" s="2517">
        <v>4</v>
      </c>
      <c r="C29" s="2520" t="s">
        <v>213</v>
      </c>
      <c r="D29" s="2519">
        <v>999.6</v>
      </c>
      <c r="E29" s="2518" t="s">
        <v>124</v>
      </c>
      <c r="F29" s="1659" t="s">
        <v>125</v>
      </c>
      <c r="G29" s="1596">
        <f>+'PAYMENT RATIO_RAW'!F$5*$D$29/1000+27500000*D$29/1000</f>
        <v>1077069000</v>
      </c>
      <c r="H29" s="1596">
        <f>+G29*10%</f>
        <v>107706900</v>
      </c>
      <c r="I29" s="1596">
        <f t="shared" ref="I29:I32" si="133">SUM(G29:H29)</f>
        <v>1184775900</v>
      </c>
      <c r="J29" s="1676">
        <f t="shared" si="1"/>
        <v>0.1949735810797637</v>
      </c>
      <c r="K29" s="1678">
        <f t="shared" si="2"/>
        <v>231000000</v>
      </c>
      <c r="L29" s="1678">
        <f>+I29-K29</f>
        <v>953775900</v>
      </c>
      <c r="M29" s="1625"/>
      <c r="N29" s="1586"/>
      <c r="O29" s="1677"/>
      <c r="P29" s="1654">
        <f>+$I29*'PAYMENT RATIO_RAW'!G$5</f>
        <v>0</v>
      </c>
      <c r="Q29" s="1678"/>
      <c r="R29" s="1678">
        <f>+P29-Q29</f>
        <v>0</v>
      </c>
      <c r="S29" s="1679"/>
      <c r="T29" s="1625"/>
      <c r="U29" s="1586"/>
      <c r="V29" s="1677"/>
      <c r="W29" s="1678">
        <f>+$I29*'PAYMENT RATIO_RAW'!N$5</f>
        <v>0</v>
      </c>
      <c r="X29" s="1678"/>
      <c r="Y29" s="1678">
        <f>+W29-X29</f>
        <v>0</v>
      </c>
      <c r="Z29" s="1679"/>
      <c r="AA29" s="1625">
        <f>+$AA$11</f>
        <v>45920</v>
      </c>
      <c r="AB29" s="1586">
        <v>45915</v>
      </c>
      <c r="AC29" s="1677">
        <f>+IFERROR(AD29/$I29,"-")</f>
        <v>0.19489559164733183</v>
      </c>
      <c r="AD29" s="1678">
        <f>+'PAYMENT RATIO_RAW'!$U$60*$D29*1050000000/1000*1.1</f>
        <v>230907600.00000006</v>
      </c>
      <c r="AE29" s="1678">
        <v>231000000</v>
      </c>
      <c r="AF29" s="1678">
        <f>+AD29-AE29</f>
        <v>-92399.999999940395</v>
      </c>
      <c r="AG29" s="1921" t="s">
        <v>2448</v>
      </c>
      <c r="AH29" s="1625">
        <f>+EDATE(AO29,0)</f>
        <v>45950</v>
      </c>
      <c r="AI29" s="1585">
        <v>45980</v>
      </c>
      <c r="AJ29" s="1677">
        <f>+IFERROR(AK29/$I29,"-")</f>
        <v>0</v>
      </c>
      <c r="AK29" s="1678">
        <f>+'PAYMENT RATIO_RAW'!AB$60*$I29</f>
        <v>0</v>
      </c>
      <c r="AL29" s="1678">
        <v>231000000</v>
      </c>
      <c r="AM29" s="1678">
        <f>+AK29-AL29</f>
        <v>-231000000</v>
      </c>
      <c r="AN29" s="1679"/>
      <c r="AO29" s="1625">
        <f>+EDATE(AV29,0)-10</f>
        <v>45950</v>
      </c>
      <c r="AP29" s="1586"/>
      <c r="AQ29" s="1677">
        <f>+IFERROR(AR29/$I29,"-")</f>
        <v>0.51276102088167053</v>
      </c>
      <c r="AR29" s="1678">
        <f>+'PAYMENT RATIO_RAW'!AI$60*$D29*1050000000/1000*1.1+27500000*$D29/1000*1.1</f>
        <v>607506900</v>
      </c>
      <c r="AS29" s="1678"/>
      <c r="AT29" s="1678">
        <f>+AR29-AS29</f>
        <v>607506900</v>
      </c>
      <c r="AU29" s="1679"/>
      <c r="AV29" s="1625">
        <f>+EDATE(BC29,-1)</f>
        <v>45960</v>
      </c>
      <c r="AW29" s="1625"/>
      <c r="AX29" s="1677">
        <f>+IFERROR(AY29/$I29,"-")</f>
        <v>0</v>
      </c>
      <c r="AY29" s="1678">
        <f>+'PAYMENT RATIO_RAW'!AP$60*$I29</f>
        <v>0</v>
      </c>
      <c r="AZ29" s="1678"/>
      <c r="BA29" s="1678">
        <f>+AY29-AZ29</f>
        <v>0</v>
      </c>
      <c r="BB29" s="1679"/>
      <c r="BC29" s="1625">
        <f>+EDATE(BJ29,-1)</f>
        <v>45991</v>
      </c>
      <c r="BD29" s="1625"/>
      <c r="BE29" s="1677">
        <f>+IFERROR(BF29/$I29,"-")</f>
        <v>0.24361948955916474</v>
      </c>
      <c r="BF29" s="1678">
        <f>+'PAYMENT RATIO_RAW'!AW$60*$D29*1050000000/1000*1.1</f>
        <v>288634500</v>
      </c>
      <c r="BG29" s="1678"/>
      <c r="BH29" s="1678">
        <f>+BF29-BG29</f>
        <v>288634500</v>
      </c>
      <c r="BI29" s="1679"/>
      <c r="BJ29" s="1586">
        <v>46022</v>
      </c>
      <c r="BK29" s="1625"/>
      <c r="BL29" s="1677">
        <f>+IFERROR(BM29/$I29,"-")</f>
        <v>4.8723897911832958E-2</v>
      </c>
      <c r="BM29" s="1678">
        <f>+'PAYMENT RATIO_RAW'!BD$60*$D29*1050000000/1000*1.1</f>
        <v>57726900.000000015</v>
      </c>
      <c r="BN29" s="1678"/>
      <c r="BO29" s="1678">
        <f>+BM29-BN29</f>
        <v>57726900.000000015</v>
      </c>
      <c r="BP29" s="1679"/>
      <c r="BQ29" s="1588"/>
      <c r="BR29" s="1587" t="b">
        <f>+P29+W29+AD29+AK29+AR29+AY29+BF29+BM29=I29</f>
        <v>1</v>
      </c>
      <c r="BS29" s="1587" t="b">
        <f>+Q29+X29+AE29+AS29+AZ29+BG29+BN29=K29</f>
        <v>1</v>
      </c>
      <c r="BT29" s="1587"/>
      <c r="BU29" s="401"/>
      <c r="BV29" s="401"/>
      <c r="BW29" s="401"/>
      <c r="BX29" s="401"/>
      <c r="BY29" s="401"/>
      <c r="BZ29" s="401"/>
      <c r="CA29" s="401"/>
      <c r="CB29" s="401"/>
      <c r="CC29" s="404"/>
      <c r="CD29" s="404"/>
    </row>
    <row r="30" spans="1:82" ht="13.5">
      <c r="A30" s="1649"/>
      <c r="B30" s="2517"/>
      <c r="C30" s="2520"/>
      <c r="D30" s="2519"/>
      <c r="E30" s="2518"/>
      <c r="F30" s="1872" t="s">
        <v>126</v>
      </c>
      <c r="G30" s="1873">
        <f>+'PAYMENT RATIO_RAW'!F$6*'GM Batch1'!$D$29/1000</f>
        <v>549780000</v>
      </c>
      <c r="H30" s="1873"/>
      <c r="I30" s="1873">
        <f t="shared" si="133"/>
        <v>549780000</v>
      </c>
      <c r="J30" s="1872">
        <f t="shared" si="1"/>
        <v>0.66947278911564623</v>
      </c>
      <c r="K30" s="1874">
        <f t="shared" si="2"/>
        <v>368062750</v>
      </c>
      <c r="L30" s="1874">
        <f t="shared" ref="L30:L33" si="134">+I30-K30</f>
        <v>181717250</v>
      </c>
      <c r="M30" s="1875">
        <v>45450</v>
      </c>
      <c r="N30" s="1875">
        <v>45450</v>
      </c>
      <c r="O30" s="1876">
        <f t="shared" ref="O30:O32" si="135">+IFERROR(P30/$I30,"-")</f>
        <v>0.55000000000000004</v>
      </c>
      <c r="P30" s="1874">
        <f>+$I30*'PAYMENT RATIO_RAW'!G$6</f>
        <v>302379000</v>
      </c>
      <c r="Q30" s="1874">
        <v>302379000</v>
      </c>
      <c r="R30" s="1874">
        <f t="shared" ref="R30:R33" si="136">+P30-Q30</f>
        <v>0</v>
      </c>
      <c r="S30" s="1877"/>
      <c r="T30" s="1875">
        <v>45456</v>
      </c>
      <c r="U30" s="1875">
        <v>45456</v>
      </c>
      <c r="V30" s="1876">
        <f t="shared" ref="V30:V32" si="137">+IFERROR(W30/$I30,"-")</f>
        <v>0.11947278911564625</v>
      </c>
      <c r="W30" s="1878">
        <f>+$I30*'PAYMENT RATIO_RAW'!N$6-16783250</f>
        <v>65683750</v>
      </c>
      <c r="X30" s="1874">
        <v>65683750</v>
      </c>
      <c r="Y30" s="1874">
        <f t="shared" ref="Y30:Y33" si="138">+W30-X30</f>
        <v>0</v>
      </c>
      <c r="Z30" s="1879"/>
      <c r="AA30" s="1875">
        <v>45950</v>
      </c>
      <c r="AB30" s="1875"/>
      <c r="AC30" s="1876">
        <f t="shared" ref="AC30:AC32" si="139">+IFERROR(AD30/$I30,"-")</f>
        <v>3.0527210884353742E-2</v>
      </c>
      <c r="AD30" s="1878">
        <f>+$I30*'PAYMENT RATIO_RAW'!U$6+16783250</f>
        <v>16783250</v>
      </c>
      <c r="AE30" s="1874"/>
      <c r="AF30" s="1874">
        <f t="shared" ref="AF30:AF33" si="140">+AD30-AE30</f>
        <v>16783250</v>
      </c>
      <c r="AG30" s="1877"/>
      <c r="AH30" s="1875"/>
      <c r="AI30" s="1875"/>
      <c r="AJ30" s="1876">
        <f t="shared" ref="AJ30:AJ32" si="141">+IFERROR(AK30/$I30,"-")</f>
        <v>0</v>
      </c>
      <c r="AK30" s="1874">
        <f>+$I30*'PAYMENT RATIO_RAW'!AB50</f>
        <v>0</v>
      </c>
      <c r="AL30" s="1874"/>
      <c r="AM30" s="1874">
        <f t="shared" ref="AM30:AM32" si="142">+AK30-AL30</f>
        <v>0</v>
      </c>
      <c r="AN30" s="1877"/>
      <c r="AO30" s="1875"/>
      <c r="AP30" s="1875"/>
      <c r="AQ30" s="1876"/>
      <c r="AR30" s="1878">
        <f>+$I30*'PAYMENT RATIO_RAW'!AI$6</f>
        <v>0</v>
      </c>
      <c r="AS30" s="1874"/>
      <c r="AT30" s="1874">
        <f t="shared" ref="AT30:AT32" si="143">+AR30-AS30</f>
        <v>0</v>
      </c>
      <c r="AU30" s="1877"/>
      <c r="AV30" s="1875"/>
      <c r="AW30" s="1875"/>
      <c r="AX30" s="1876"/>
      <c r="AY30" s="1878">
        <f>+$I30*'PAYMENT RATIO_RAW'!AP$6</f>
        <v>0</v>
      </c>
      <c r="AZ30" s="1874"/>
      <c r="BA30" s="1874">
        <f t="shared" ref="BA30:BA32" si="144">+AY30-AZ30</f>
        <v>0</v>
      </c>
      <c r="BB30" s="1877"/>
      <c r="BC30" s="1875"/>
      <c r="BD30" s="1875"/>
      <c r="BE30" s="1876">
        <f t="shared" ref="BE30:BE33" si="145">+IFERROR(BF30/$I30,"-")</f>
        <v>0</v>
      </c>
      <c r="BF30" s="1878">
        <f>+$I30*'PAYMENT RATIO_RAW'!AW$6</f>
        <v>0</v>
      </c>
      <c r="BG30" s="1874"/>
      <c r="BH30" s="1878">
        <f t="shared" ref="BH30:BH33" si="146">+BF30-BG30</f>
        <v>0</v>
      </c>
      <c r="BI30" s="1877"/>
      <c r="BJ30" s="1875">
        <f>+BJ29</f>
        <v>46022</v>
      </c>
      <c r="BK30" s="1875"/>
      <c r="BL30" s="1876">
        <f t="shared" ref="BL30:BL33" si="147">+IFERROR(BM30/$I30,"-")</f>
        <v>0.3</v>
      </c>
      <c r="BM30" s="1874">
        <f>+$I30*'PAYMENT RATIO_RAW'!BD$6</f>
        <v>164934000</v>
      </c>
      <c r="BN30" s="1874"/>
      <c r="BO30" s="1874">
        <f t="shared" ref="BO30:BO33" si="148">+BM30-BN30</f>
        <v>164934000</v>
      </c>
      <c r="BP30" s="1877"/>
      <c r="BQ30" s="1588"/>
      <c r="BR30" s="1587" t="b">
        <f t="shared" ref="BR30" si="149">+P30+W30+AD30+AR30+AY30+BF30+BM30=I30</f>
        <v>1</v>
      </c>
      <c r="BS30" s="1587" t="b">
        <f t="shared" ref="BS30:BS33" si="150">+Q30+X30+AE30+AS30+AZ30+BG30+BN30=K30</f>
        <v>1</v>
      </c>
      <c r="BT30" s="1587" t="b">
        <f>+BF30+BF32+AY30+AY32+AR30+AR32+AD30+AD32+W30+W32+P30+P32+BM30+BM32=('PAYMENT RATIO_RAW'!$F$6+'PAYMENT RATIO_RAW'!$F$8)*D29/1000</f>
        <v>1</v>
      </c>
      <c r="BU30" s="401"/>
      <c r="BV30" s="401"/>
      <c r="BW30" s="401"/>
      <c r="BX30" s="401"/>
      <c r="BY30" s="401"/>
      <c r="BZ30" s="401"/>
      <c r="CA30" s="401"/>
      <c r="CB30" s="401"/>
      <c r="CC30" s="404"/>
      <c r="CD30" s="404"/>
    </row>
    <row r="31" spans="1:82" hidden="1">
      <c r="A31" s="1649"/>
      <c r="B31" s="2517"/>
      <c r="C31" s="2520"/>
      <c r="D31" s="2519"/>
      <c r="E31" s="2518"/>
      <c r="F31" s="1661" t="s">
        <v>127</v>
      </c>
      <c r="G31" s="1597">
        <f>+'PAYMENT RATIO_RAW'!F$7*'GM Batch1'!$D$29/1000</f>
        <v>0</v>
      </c>
      <c r="H31" s="1597"/>
      <c r="I31" s="1597">
        <f t="shared" si="133"/>
        <v>0</v>
      </c>
      <c r="J31" s="1661" t="str">
        <f t="shared" si="1"/>
        <v>-</v>
      </c>
      <c r="K31" s="1654">
        <f t="shared" si="2"/>
        <v>0</v>
      </c>
      <c r="L31" s="1654">
        <f t="shared" si="134"/>
        <v>0</v>
      </c>
      <c r="M31" s="1626"/>
      <c r="N31" s="1626"/>
      <c r="O31" s="1660" t="str">
        <f t="shared" si="135"/>
        <v>-</v>
      </c>
      <c r="P31" s="1654">
        <f>+$I31*'PAYMENT RATIO_RAW'!G$7</f>
        <v>0</v>
      </c>
      <c r="Q31" s="1654"/>
      <c r="R31" s="1654">
        <f t="shared" si="136"/>
        <v>0</v>
      </c>
      <c r="S31" s="1662"/>
      <c r="T31" s="1626"/>
      <c r="U31" s="1626"/>
      <c r="V31" s="1660" t="str">
        <f t="shared" si="137"/>
        <v>-</v>
      </c>
      <c r="W31" s="1678">
        <f>+$I31*'PAYMENT RATIO_RAW'!N$7</f>
        <v>0</v>
      </c>
      <c r="X31" s="1654"/>
      <c r="Y31" s="1654">
        <f t="shared" si="138"/>
        <v>0</v>
      </c>
      <c r="Z31" s="1662"/>
      <c r="AA31" s="1626"/>
      <c r="AB31" s="1626"/>
      <c r="AC31" s="1660" t="str">
        <f t="shared" si="139"/>
        <v>-</v>
      </c>
      <c r="AD31" s="1678">
        <f>+$I31*'PAYMENT RATIO_RAW'!U$7</f>
        <v>0</v>
      </c>
      <c r="AE31" s="1654"/>
      <c r="AF31" s="1654">
        <f t="shared" si="140"/>
        <v>0</v>
      </c>
      <c r="AG31" s="1662"/>
      <c r="AH31" s="1626"/>
      <c r="AI31" s="1626"/>
      <c r="AJ31" s="1660" t="str">
        <f t="shared" si="141"/>
        <v>-</v>
      </c>
      <c r="AK31" s="1654">
        <f>+$I31*'PAYMENT RATIO_RAW'!AB51</f>
        <v>0</v>
      </c>
      <c r="AL31" s="1654"/>
      <c r="AM31" s="1654">
        <f t="shared" si="142"/>
        <v>0</v>
      </c>
      <c r="AN31" s="1662"/>
      <c r="AO31" s="1626"/>
      <c r="AP31" s="1626"/>
      <c r="AQ31" s="1660"/>
      <c r="AR31" s="1678">
        <f>+$I31*'PAYMENT RATIO_RAW'!AI$7</f>
        <v>0</v>
      </c>
      <c r="AS31" s="1654"/>
      <c r="AT31" s="1654">
        <f t="shared" si="143"/>
        <v>0</v>
      </c>
      <c r="AU31" s="1662"/>
      <c r="AV31" s="1626"/>
      <c r="AW31" s="1626"/>
      <c r="AX31" s="1660"/>
      <c r="AY31" s="1678">
        <f>+$I31*'PAYMENT RATIO_RAW'!AP$7</f>
        <v>0</v>
      </c>
      <c r="AZ31" s="1654"/>
      <c r="BA31" s="1654">
        <f t="shared" si="144"/>
        <v>0</v>
      </c>
      <c r="BB31" s="1662"/>
      <c r="BC31" s="1626"/>
      <c r="BD31" s="1626"/>
      <c r="BE31" s="1660" t="str">
        <f t="shared" si="145"/>
        <v>-</v>
      </c>
      <c r="BF31" s="1678">
        <f>+$I31*'PAYMENT RATIO_RAW'!AW$7</f>
        <v>0</v>
      </c>
      <c r="BG31" s="1654"/>
      <c r="BH31" s="1678">
        <f t="shared" si="146"/>
        <v>0</v>
      </c>
      <c r="BI31" s="1662"/>
      <c r="BJ31" s="1626"/>
      <c r="BK31" s="1626"/>
      <c r="BL31" s="1660" t="str">
        <f t="shared" si="147"/>
        <v>-</v>
      </c>
      <c r="BM31" s="1654">
        <f>+$I31*'PAYMENT RATIO_RAW'!BD$7</f>
        <v>0</v>
      </c>
      <c r="BN31" s="1654"/>
      <c r="BO31" s="1654">
        <f t="shared" si="148"/>
        <v>0</v>
      </c>
      <c r="BP31" s="1662"/>
      <c r="BQ31" s="1588"/>
      <c r="BR31" s="1587" t="b">
        <f>+P31+W31+AD31+AR31+AY31+BF31+BM31=I31</f>
        <v>1</v>
      </c>
      <c r="BS31" s="1587" t="b">
        <f t="shared" si="150"/>
        <v>1</v>
      </c>
      <c r="BT31" s="1587"/>
      <c r="BU31" s="401"/>
      <c r="BV31" s="401"/>
      <c r="BW31" s="401"/>
      <c r="BX31" s="401"/>
      <c r="BY31" s="401"/>
      <c r="BZ31" s="401"/>
      <c r="CA31" s="401"/>
      <c r="CB31" s="401"/>
      <c r="CC31" s="404"/>
      <c r="CD31" s="404"/>
    </row>
    <row r="32" spans="1:82" hidden="1">
      <c r="A32" s="1649"/>
      <c r="B32" s="2517"/>
      <c r="C32" s="2520"/>
      <c r="D32" s="2519"/>
      <c r="E32" s="2518"/>
      <c r="F32" s="1661" t="s">
        <v>128</v>
      </c>
      <c r="G32" s="1597">
        <f>+'PAYMENT RATIO_RAW'!F$8*'GM Batch1'!$D$29/1000</f>
        <v>0</v>
      </c>
      <c r="H32" s="1597">
        <f t="shared" ref="H32" si="151">+G32*10%</f>
        <v>0</v>
      </c>
      <c r="I32" s="1597">
        <f t="shared" si="133"/>
        <v>0</v>
      </c>
      <c r="J32" s="1661" t="str">
        <f t="shared" si="1"/>
        <v>-</v>
      </c>
      <c r="K32" s="1654">
        <f t="shared" si="2"/>
        <v>0</v>
      </c>
      <c r="L32" s="1654">
        <f t="shared" si="134"/>
        <v>0</v>
      </c>
      <c r="M32" s="1626"/>
      <c r="N32" s="1585"/>
      <c r="O32" s="1660" t="str">
        <f t="shared" si="135"/>
        <v>-</v>
      </c>
      <c r="P32" s="1654">
        <f>+$I32*'PAYMENT RATIO_RAW'!G$8</f>
        <v>0</v>
      </c>
      <c r="Q32" s="1654"/>
      <c r="R32" s="1654">
        <f t="shared" si="136"/>
        <v>0</v>
      </c>
      <c r="S32" s="1662"/>
      <c r="T32" s="1626"/>
      <c r="U32" s="1585"/>
      <c r="V32" s="1660" t="str">
        <f t="shared" si="137"/>
        <v>-</v>
      </c>
      <c r="W32" s="1678">
        <f>+$I32*'PAYMENT RATIO_RAW'!N$8</f>
        <v>0</v>
      </c>
      <c r="X32" s="1654"/>
      <c r="Y32" s="1654">
        <f t="shared" si="138"/>
        <v>0</v>
      </c>
      <c r="Z32" s="1662"/>
      <c r="AA32" s="1626"/>
      <c r="AB32" s="1585"/>
      <c r="AC32" s="1660" t="str">
        <f t="shared" si="139"/>
        <v>-</v>
      </c>
      <c r="AD32" s="1678">
        <f>+$I32*'PAYMENT RATIO_RAW'!U$8</f>
        <v>0</v>
      </c>
      <c r="AE32" s="1654"/>
      <c r="AF32" s="1654">
        <f t="shared" si="140"/>
        <v>0</v>
      </c>
      <c r="AG32" s="1662"/>
      <c r="AH32" s="1585"/>
      <c r="AI32" s="1585"/>
      <c r="AJ32" s="1660" t="str">
        <f t="shared" si="141"/>
        <v>-</v>
      </c>
      <c r="AK32" s="1654"/>
      <c r="AL32" s="1654"/>
      <c r="AM32" s="1654">
        <f t="shared" si="142"/>
        <v>0</v>
      </c>
      <c r="AN32" s="1662"/>
      <c r="AO32" s="1585"/>
      <c r="AP32" s="1585"/>
      <c r="AQ32" s="1660"/>
      <c r="AR32" s="1678">
        <f>+$I32*'PAYMENT RATIO_RAW'!AI$8</f>
        <v>0</v>
      </c>
      <c r="AS32" s="1654"/>
      <c r="AT32" s="1654">
        <f t="shared" si="143"/>
        <v>0</v>
      </c>
      <c r="AU32" s="1662"/>
      <c r="AV32" s="1585"/>
      <c r="AW32" s="1585"/>
      <c r="AX32" s="1660"/>
      <c r="AY32" s="1678">
        <f>+$I32*'PAYMENT RATIO_RAW'!AP$8</f>
        <v>0</v>
      </c>
      <c r="AZ32" s="1654"/>
      <c r="BA32" s="1654">
        <f t="shared" si="144"/>
        <v>0</v>
      </c>
      <c r="BB32" s="1662"/>
      <c r="BC32" s="1585"/>
      <c r="BD32" s="1585"/>
      <c r="BE32" s="1660" t="str">
        <f t="shared" si="145"/>
        <v>-</v>
      </c>
      <c r="BF32" s="1678">
        <f>+$I32*'PAYMENT RATIO_RAW'!AW$8</f>
        <v>0</v>
      </c>
      <c r="BG32" s="1654"/>
      <c r="BH32" s="1678">
        <f t="shared" si="146"/>
        <v>0</v>
      </c>
      <c r="BI32" s="1662"/>
      <c r="BJ32" s="1585"/>
      <c r="BK32" s="1585"/>
      <c r="BL32" s="1660" t="str">
        <f t="shared" si="147"/>
        <v>-</v>
      </c>
      <c r="BM32" s="1654">
        <f>+$I32*'PAYMENT RATIO_RAW'!BD$8</f>
        <v>0</v>
      </c>
      <c r="BN32" s="1654"/>
      <c r="BO32" s="1654">
        <f t="shared" si="148"/>
        <v>0</v>
      </c>
      <c r="BP32" s="1662"/>
      <c r="BQ32" s="1588"/>
      <c r="BR32" s="1587" t="b">
        <f t="shared" ref="BR32:BR33" si="152">+P32+W32+AD32+AR32+AY32+BF32+BM32=I32</f>
        <v>1</v>
      </c>
      <c r="BS32" s="1587" t="b">
        <f t="shared" si="150"/>
        <v>1</v>
      </c>
      <c r="BT32" s="1587"/>
      <c r="BU32" s="401"/>
      <c r="BV32" s="401"/>
      <c r="BW32" s="401"/>
      <c r="BX32" s="401"/>
      <c r="BY32" s="401"/>
      <c r="BZ32" s="401"/>
      <c r="CA32" s="401"/>
      <c r="CB32" s="401"/>
      <c r="CC32" s="404"/>
      <c r="CD32" s="404"/>
    </row>
    <row r="33" spans="1:82" hidden="1">
      <c r="A33" s="1649"/>
      <c r="B33" s="2517"/>
      <c r="C33" s="2520"/>
      <c r="D33" s="2519"/>
      <c r="E33" s="2518"/>
      <c r="F33" s="1627" t="s">
        <v>129</v>
      </c>
      <c r="G33" s="1680">
        <f>+'PAYMENT RATIO_RAW'!F$9*'GM Batch1'!$D$29/1000</f>
        <v>0</v>
      </c>
      <c r="H33" s="1598">
        <f>+G33*0.1</f>
        <v>0</v>
      </c>
      <c r="I33" s="1598">
        <f>SUM(G33:H33)</f>
        <v>0</v>
      </c>
      <c r="J33" s="1627" t="str">
        <f t="shared" si="1"/>
        <v>-</v>
      </c>
      <c r="K33" s="1655">
        <f t="shared" si="2"/>
        <v>0</v>
      </c>
      <c r="L33" s="1655">
        <f t="shared" si="134"/>
        <v>0</v>
      </c>
      <c r="M33" s="1629"/>
      <c r="N33" s="1630"/>
      <c r="O33" s="1682"/>
      <c r="P33" s="1683">
        <f>+$I33*'PAYMENT RATIO_RAW'!G$9</f>
        <v>0</v>
      </c>
      <c r="Q33" s="1683"/>
      <c r="R33" s="1683">
        <f t="shared" si="136"/>
        <v>0</v>
      </c>
      <c r="S33" s="1630"/>
      <c r="T33" s="1629"/>
      <c r="U33" s="1630"/>
      <c r="V33" s="1682"/>
      <c r="W33" s="1678">
        <f>+$I33*'PAYMENT RATIO_RAW'!N$9</f>
        <v>0</v>
      </c>
      <c r="X33" s="1683"/>
      <c r="Y33" s="1683">
        <f t="shared" si="138"/>
        <v>0</v>
      </c>
      <c r="Z33" s="1630"/>
      <c r="AA33" s="1629"/>
      <c r="AB33" s="1630"/>
      <c r="AC33" s="1682"/>
      <c r="AD33" s="1678">
        <f>+$I33*'PAYMENT RATIO_RAW'!U$9</f>
        <v>0</v>
      </c>
      <c r="AE33" s="1683"/>
      <c r="AF33" s="1683">
        <f t="shared" si="140"/>
        <v>0</v>
      </c>
      <c r="AG33" s="1630"/>
      <c r="AH33" s="1629"/>
      <c r="AI33" s="1630"/>
      <c r="AJ33" s="1682"/>
      <c r="AK33" s="1683"/>
      <c r="AL33" s="1683"/>
      <c r="AM33" s="1683"/>
      <c r="AN33" s="1630"/>
      <c r="AO33" s="1629"/>
      <c r="AP33" s="1630"/>
      <c r="AQ33" s="1682"/>
      <c r="AR33" s="1678">
        <f>+$I33*'PAYMENT RATIO_RAW'!AI$9</f>
        <v>0</v>
      </c>
      <c r="AS33" s="1683"/>
      <c r="AT33" s="1683"/>
      <c r="AU33" s="1630"/>
      <c r="AV33" s="1629"/>
      <c r="AW33" s="1630"/>
      <c r="AX33" s="1682"/>
      <c r="AY33" s="1678">
        <f>+$I33*'PAYMENT RATIO_RAW'!AP$9</f>
        <v>0</v>
      </c>
      <c r="AZ33" s="1683"/>
      <c r="BA33" s="1683"/>
      <c r="BB33" s="1630"/>
      <c r="BC33" s="1629"/>
      <c r="BD33" s="1630"/>
      <c r="BE33" s="1682" t="str">
        <f t="shared" si="145"/>
        <v>-</v>
      </c>
      <c r="BF33" s="1678">
        <f>+$I33*'PAYMENT RATIO_RAW'!AW$9</f>
        <v>0</v>
      </c>
      <c r="BG33" s="1683"/>
      <c r="BH33" s="1678">
        <f t="shared" si="146"/>
        <v>0</v>
      </c>
      <c r="BI33" s="1630"/>
      <c r="BJ33" s="1629"/>
      <c r="BK33" s="1630"/>
      <c r="BL33" s="1682" t="str">
        <f t="shared" si="147"/>
        <v>-</v>
      </c>
      <c r="BM33" s="1683">
        <f>+$I33*'PAYMENT RATIO_RAW'!BD$9</f>
        <v>0</v>
      </c>
      <c r="BN33" s="1683"/>
      <c r="BO33" s="1683">
        <f t="shared" si="148"/>
        <v>0</v>
      </c>
      <c r="BP33" s="1630"/>
      <c r="BQ33" s="1589"/>
      <c r="BR33" s="1591" t="b">
        <f t="shared" si="152"/>
        <v>1</v>
      </c>
      <c r="BS33" s="1592" t="b">
        <f t="shared" si="150"/>
        <v>1</v>
      </c>
      <c r="BT33" s="1592"/>
      <c r="BU33" s="401"/>
      <c r="BV33" s="401"/>
      <c r="BW33" s="401"/>
      <c r="BX33" s="401"/>
      <c r="BY33" s="401"/>
      <c r="BZ33" s="401"/>
      <c r="CA33" s="401"/>
      <c r="CB33" s="401"/>
      <c r="CC33" s="404"/>
      <c r="CD33" s="404"/>
    </row>
    <row r="34" spans="1:82">
      <c r="A34" s="1649"/>
      <c r="B34" s="2517"/>
      <c r="C34" s="2520"/>
      <c r="D34" s="2519"/>
      <c r="E34" s="2518"/>
      <c r="F34" s="419" t="s">
        <v>130</v>
      </c>
      <c r="G34" s="1628">
        <f>SUM(G29:G33)</f>
        <v>1626849000</v>
      </c>
      <c r="H34" s="1628">
        <f t="shared" ref="H34:I34" si="153">SUM(H29:H33)</f>
        <v>107706900</v>
      </c>
      <c r="I34" s="1628">
        <f t="shared" si="153"/>
        <v>1734555900</v>
      </c>
      <c r="J34" s="419">
        <f t="shared" si="1"/>
        <v>0.34536952657449665</v>
      </c>
      <c r="K34" s="1628">
        <f t="shared" ref="K34:L34" si="154">SUM(K29:K33)</f>
        <v>599062750</v>
      </c>
      <c r="L34" s="1628">
        <f t="shared" si="154"/>
        <v>1135493150</v>
      </c>
      <c r="M34" s="1631"/>
      <c r="N34" s="419"/>
      <c r="O34" s="1634">
        <f t="shared" si="107"/>
        <v>0.17432646592709986</v>
      </c>
      <c r="P34" s="1628">
        <f t="shared" ref="P34:Q34" si="155">SUM(P29:P33)</f>
        <v>302379000</v>
      </c>
      <c r="Q34" s="1628">
        <f t="shared" si="155"/>
        <v>302379000</v>
      </c>
      <c r="R34" s="1684">
        <f t="shared" ref="R34" si="156">+P34-Q34</f>
        <v>0</v>
      </c>
      <c r="S34" s="419"/>
      <c r="T34" s="1631"/>
      <c r="U34" s="419"/>
      <c r="V34" s="1634">
        <f t="shared" ref="V34" si="157">+IFERROR(W34/$I34,"-")</f>
        <v>3.7867762001789623E-2</v>
      </c>
      <c r="W34" s="1628">
        <f t="shared" ref="W34:X34" si="158">SUM(W29:W33)</f>
        <v>65683750</v>
      </c>
      <c r="X34" s="1628">
        <f t="shared" si="158"/>
        <v>65683750</v>
      </c>
      <c r="Y34" s="1684">
        <f t="shared" ref="Y34" si="159">+W34-X34</f>
        <v>0</v>
      </c>
      <c r="Z34" s="419"/>
      <c r="AA34" s="1631"/>
      <c r="AB34" s="419"/>
      <c r="AC34" s="1634">
        <f t="shared" ref="AC34" si="160">+IFERROR(AD34/$I34,"-")</f>
        <v>0.14279784814084115</v>
      </c>
      <c r="AD34" s="1628">
        <f t="shared" ref="AD34:AE34" si="161">SUM(AD29:AD33)</f>
        <v>247690850.00000006</v>
      </c>
      <c r="AE34" s="1628">
        <f t="shared" si="161"/>
        <v>231000000</v>
      </c>
      <c r="AF34" s="1684">
        <f t="shared" ref="AF34" si="162">+AD34-AE34</f>
        <v>16690850.00000006</v>
      </c>
      <c r="AG34" s="419"/>
      <c r="AH34" s="1631"/>
      <c r="AI34" s="419"/>
      <c r="AJ34" s="1634">
        <f t="shared" ref="AJ34" si="163">+IFERROR(AK34/$I34,"-")</f>
        <v>0</v>
      </c>
      <c r="AK34" s="1628">
        <f t="shared" ref="AK34:AL34" si="164">SUM(AK29:AK33)</f>
        <v>0</v>
      </c>
      <c r="AL34" s="1628">
        <f t="shared" si="164"/>
        <v>231000000</v>
      </c>
      <c r="AM34" s="1684">
        <f t="shared" ref="AM34" si="165">+AK34-AL34</f>
        <v>-231000000</v>
      </c>
      <c r="AN34" s="419"/>
      <c r="AO34" s="1631"/>
      <c r="AP34" s="419"/>
      <c r="AQ34" s="1634">
        <f t="shared" ref="AQ34" si="166">+IFERROR(AR34/$I34,"-")</f>
        <v>0.35023771790808239</v>
      </c>
      <c r="AR34" s="1628">
        <f t="shared" ref="AR34" si="167">SUM(AR29:AR33)</f>
        <v>607506900</v>
      </c>
      <c r="AS34" s="1628">
        <f t="shared" ref="AS34" si="168">SUM(AS29:AS33)</f>
        <v>0</v>
      </c>
      <c r="AT34" s="1684">
        <f t="shared" ref="AT34" si="169">+AR34-AS34</f>
        <v>607506900</v>
      </c>
      <c r="AU34" s="419"/>
      <c r="AV34" s="1631"/>
      <c r="AW34" s="419"/>
      <c r="AX34" s="1634">
        <f t="shared" ref="AX34" si="170">+IFERROR(AY34/$I34,"-")</f>
        <v>0</v>
      </c>
      <c r="AY34" s="1628">
        <f t="shared" ref="AY34" si="171">SUM(AY29:AY33)</f>
        <v>0</v>
      </c>
      <c r="AZ34" s="1628">
        <f t="shared" ref="AZ34" si="172">SUM(AZ29:AZ33)</f>
        <v>0</v>
      </c>
      <c r="BA34" s="1684">
        <f t="shared" ref="BA34" si="173">+AY34-AZ34</f>
        <v>0</v>
      </c>
      <c r="BB34" s="419"/>
      <c r="BC34" s="1631"/>
      <c r="BD34" s="419"/>
      <c r="BE34" s="1634">
        <f t="shared" ref="BE34" si="174">+IFERROR(BF34/$I34,"-")</f>
        <v>0.1664025356576862</v>
      </c>
      <c r="BF34" s="1628">
        <f t="shared" ref="BF34" si="175">SUM(BF29:BF33)</f>
        <v>288634500</v>
      </c>
      <c r="BG34" s="1628">
        <f t="shared" ref="BG34" si="176">SUM(BG29:BG33)</f>
        <v>0</v>
      </c>
      <c r="BH34" s="1684">
        <f t="shared" ref="BH34" si="177">+BF34-BG34</f>
        <v>288634500</v>
      </c>
      <c r="BI34" s="419"/>
      <c r="BJ34" s="1631"/>
      <c r="BK34" s="419"/>
      <c r="BL34" s="1634">
        <f t="shared" si="16"/>
        <v>0.12836767036450078</v>
      </c>
      <c r="BM34" s="1628">
        <f t="shared" ref="BM34:BN34" si="178">SUM(BM29:BM33)</f>
        <v>222660900</v>
      </c>
      <c r="BN34" s="1628">
        <f t="shared" si="178"/>
        <v>0</v>
      </c>
      <c r="BO34" s="1684">
        <f t="shared" ref="BO34" si="179">+BM34-BN34</f>
        <v>222660900</v>
      </c>
      <c r="BP34" s="419"/>
      <c r="BQ34" s="1589"/>
      <c r="BR34" s="1632"/>
      <c r="BS34" s="1633"/>
      <c r="BT34" s="1633"/>
      <c r="BU34" s="401"/>
      <c r="BV34" s="401"/>
      <c r="BW34" s="401"/>
      <c r="BX34" s="401"/>
      <c r="BY34" s="401"/>
      <c r="BZ34" s="401"/>
      <c r="CA34" s="401"/>
      <c r="CB34" s="401"/>
      <c r="CC34" s="404"/>
      <c r="CD34" s="404"/>
    </row>
    <row r="35" spans="1:82">
      <c r="A35" s="1649"/>
      <c r="B35" s="2517">
        <v>5</v>
      </c>
      <c r="C35" s="2518" t="s">
        <v>214</v>
      </c>
      <c r="D35" s="2519">
        <v>999.24</v>
      </c>
      <c r="E35" s="2518" t="s">
        <v>124</v>
      </c>
      <c r="F35" s="1659" t="s">
        <v>125</v>
      </c>
      <c r="G35" s="1596">
        <f>+'PAYMENT RATIO_RAW'!F$5*$D$35/1000+27500000*D$35/1000</f>
        <v>1076681100</v>
      </c>
      <c r="H35" s="1596">
        <f>+G35*10%</f>
        <v>107668110</v>
      </c>
      <c r="I35" s="1596">
        <f t="shared" ref="I35:I38" si="180">SUM(G35:H35)</f>
        <v>1184349210</v>
      </c>
      <c r="J35" s="1676">
        <f t="shared" si="1"/>
        <v>0</v>
      </c>
      <c r="K35" s="1678">
        <f t="shared" si="2"/>
        <v>0</v>
      </c>
      <c r="L35" s="1678">
        <f>+I35-K35</f>
        <v>1184349210</v>
      </c>
      <c r="M35" s="1625"/>
      <c r="N35" s="1586"/>
      <c r="O35" s="1677"/>
      <c r="P35" s="1654">
        <f>+$I35*'PAYMENT RATIO_RAW'!G$5</f>
        <v>0</v>
      </c>
      <c r="Q35" s="1678"/>
      <c r="R35" s="1678">
        <f>+P35-Q35</f>
        <v>0</v>
      </c>
      <c r="S35" s="1679"/>
      <c r="T35" s="1625"/>
      <c r="U35" s="1586"/>
      <c r="V35" s="1677"/>
      <c r="W35" s="1678">
        <f>+$I35*'PAYMENT RATIO_RAW'!N$5</f>
        <v>0</v>
      </c>
      <c r="X35" s="1678"/>
      <c r="Y35" s="1678">
        <f>+W35-X35</f>
        <v>0</v>
      </c>
      <c r="Z35" s="1679"/>
      <c r="AA35" s="1625">
        <f>+EDATE(AH35,-2)</f>
        <v>46052</v>
      </c>
      <c r="AB35" s="1585"/>
      <c r="AC35" s="1677">
        <f>+IFERROR(AD35/$I35,"-")</f>
        <v>0.19489559164733181</v>
      </c>
      <c r="AD35" s="1678">
        <f>+'PAYMENT RATIO_RAW'!$U$60*$D35*1050000000/1000*1.1</f>
        <v>230824440.00000003</v>
      </c>
      <c r="AE35" s="1678"/>
      <c r="AF35" s="1678">
        <f>+AD35-AE35</f>
        <v>230824440.00000003</v>
      </c>
      <c r="AG35" s="1679"/>
      <c r="AH35" s="1625">
        <f>+EDATE(AO35,-1)</f>
        <v>46111</v>
      </c>
      <c r="AI35" s="1585"/>
      <c r="AJ35" s="1677">
        <f>+IFERROR(AK35/$I35,"-")</f>
        <v>0</v>
      </c>
      <c r="AK35" s="1678">
        <f>+'PAYMENT RATIO_RAW'!$AB65*I35</f>
        <v>0</v>
      </c>
      <c r="AL35" s="1678"/>
      <c r="AM35" s="1678">
        <f>+AK35-AL35</f>
        <v>0</v>
      </c>
      <c r="AN35" s="1679"/>
      <c r="AO35" s="1625">
        <f>+EDATE(AV35,-1)</f>
        <v>46142</v>
      </c>
      <c r="AP35" s="1586"/>
      <c r="AQ35" s="1677">
        <f>+IFERROR(AR35/$I35,"-")</f>
        <v>0.51276102088167053</v>
      </c>
      <c r="AR35" s="1678">
        <f>+'PAYMENT RATIO_RAW'!AI$60*$D35*1050000000/1000*1.1+27500000*$D35/1000*1.1</f>
        <v>607288110</v>
      </c>
      <c r="AS35" s="1678"/>
      <c r="AT35" s="1678">
        <f>+AR35-AS35</f>
        <v>607288110</v>
      </c>
      <c r="AU35" s="1679"/>
      <c r="AV35" s="1625">
        <f>+EDATE(BC35,-1)</f>
        <v>46172</v>
      </c>
      <c r="AW35" s="1625"/>
      <c r="AX35" s="1677">
        <f>+IFERROR(AY35/$I35,"-")</f>
        <v>0</v>
      </c>
      <c r="AY35" s="1678">
        <f>+'PAYMENT RATIO_RAW'!AP65*$I35</f>
        <v>0</v>
      </c>
      <c r="AZ35" s="1678"/>
      <c r="BA35" s="1678">
        <f>+AY35-AZ35</f>
        <v>0</v>
      </c>
      <c r="BB35" s="1679"/>
      <c r="BC35" s="1625">
        <f>+EDATE(BJ35,-1)</f>
        <v>46203</v>
      </c>
      <c r="BD35" s="1625"/>
      <c r="BE35" s="1677">
        <f>+IFERROR(BF35/$I35,"-")</f>
        <v>0.24361948955916474</v>
      </c>
      <c r="BF35" s="1678">
        <f>+'PAYMENT RATIO_RAW'!AW$60*$D35*1050000000/1000*1.1</f>
        <v>288530550</v>
      </c>
      <c r="BG35" s="1678"/>
      <c r="BH35" s="1678">
        <f>+BF35-BG35</f>
        <v>288530550</v>
      </c>
      <c r="BI35" s="1679"/>
      <c r="BJ35" s="1586">
        <v>46233</v>
      </c>
      <c r="BK35" s="1625"/>
      <c r="BL35" s="1677">
        <f>+IFERROR(BM35/$I35,"-")</f>
        <v>4.8723897911832952E-2</v>
      </c>
      <c r="BM35" s="1678">
        <f>+'PAYMENT RATIO_RAW'!BD$60*$D35*1050000000/1000*1.1</f>
        <v>57706110.000000007</v>
      </c>
      <c r="BN35" s="1678"/>
      <c r="BO35" s="1678">
        <f>+BM35-BN35</f>
        <v>57706110.000000007</v>
      </c>
      <c r="BP35" s="1679"/>
      <c r="BQ35" s="1588"/>
      <c r="BR35" s="1587" t="b">
        <f>+P35+W35+AD35+AK35+AR35+AY35+BF35+BM35=I35</f>
        <v>1</v>
      </c>
      <c r="BS35" s="1587" t="b">
        <f>+Q35+X35+AE35+AS35+AZ35+BG35+BN35=K35</f>
        <v>1</v>
      </c>
      <c r="BT35" s="1587"/>
      <c r="BU35" s="401"/>
      <c r="BV35" s="401"/>
      <c r="BW35" s="401"/>
      <c r="BX35" s="401"/>
      <c r="BY35" s="401"/>
      <c r="BZ35" s="401"/>
      <c r="CA35" s="401"/>
      <c r="CB35" s="401"/>
      <c r="CC35" s="404"/>
      <c r="CD35" s="404"/>
    </row>
    <row r="36" spans="1:82" ht="13.5">
      <c r="A36" s="1649"/>
      <c r="B36" s="2517"/>
      <c r="C36" s="2518"/>
      <c r="D36" s="2519"/>
      <c r="E36" s="2518"/>
      <c r="F36" s="1872" t="s">
        <v>126</v>
      </c>
      <c r="G36" s="1873">
        <f>+'PAYMENT RATIO_RAW'!F$6*'GM Batch1'!$D$35/1000</f>
        <v>549582000</v>
      </c>
      <c r="H36" s="1873"/>
      <c r="I36" s="1873">
        <f t="shared" si="180"/>
        <v>549582000</v>
      </c>
      <c r="J36" s="1872">
        <f t="shared" si="1"/>
        <v>0.62115407709859494</v>
      </c>
      <c r="K36" s="1874">
        <f t="shared" si="2"/>
        <v>341375100</v>
      </c>
      <c r="L36" s="1874">
        <f t="shared" ref="L36:L39" si="181">+I36-K36</f>
        <v>208206900</v>
      </c>
      <c r="M36" s="1875">
        <v>45450</v>
      </c>
      <c r="N36" s="1875">
        <v>45450</v>
      </c>
      <c r="O36" s="1876">
        <f t="shared" ref="O36:O38" si="182">+IFERROR(P36/$I36,"-")</f>
        <v>0.55000000000000004</v>
      </c>
      <c r="P36" s="1874">
        <f>+$I36*'PAYMENT RATIO_RAW'!G$6</f>
        <v>302270100</v>
      </c>
      <c r="Q36" s="1874">
        <v>302270100</v>
      </c>
      <c r="R36" s="1874">
        <f t="shared" ref="R36:R39" si="183">+P36-Q36</f>
        <v>0</v>
      </c>
      <c r="S36" s="1877"/>
      <c r="T36" s="1875">
        <v>45456</v>
      </c>
      <c r="U36" s="1875">
        <v>45456</v>
      </c>
      <c r="V36" s="1876">
        <f t="shared" ref="V36:V38" si="184">+IFERROR(W36/$I36,"-")</f>
        <v>7.1154077098594934E-2</v>
      </c>
      <c r="W36" s="1878">
        <f>+$I36*'PAYMENT RATIO_RAW'!N$6-43332300</f>
        <v>39105000</v>
      </c>
      <c r="X36" s="1874">
        <v>39105000</v>
      </c>
      <c r="Y36" s="1874">
        <f t="shared" ref="Y36:Y39" si="185">+W36-X36</f>
        <v>0</v>
      </c>
      <c r="Z36" s="1879"/>
      <c r="AA36" s="1875">
        <v>46022</v>
      </c>
      <c r="AB36" s="1875"/>
      <c r="AC36" s="1876">
        <f t="shared" ref="AC36:AC38" si="186">+IFERROR(AD36/$I36,"-")</f>
        <v>7.8845922901405074E-2</v>
      </c>
      <c r="AD36" s="1878">
        <f>+$I36*'PAYMENT RATIO_RAW'!U$6+43332300</f>
        <v>43332300</v>
      </c>
      <c r="AE36" s="1874"/>
      <c r="AF36" s="1874">
        <f t="shared" ref="AF36:AF39" si="187">+AD36-AE36</f>
        <v>43332300</v>
      </c>
      <c r="AG36" s="1877"/>
      <c r="AH36" s="1875"/>
      <c r="AI36" s="1875"/>
      <c r="AJ36" s="1876">
        <f t="shared" ref="AJ36:AJ38" si="188">+IFERROR(AK36/$I36,"-")</f>
        <v>0</v>
      </c>
      <c r="AK36" s="1878">
        <f>+'PAYMENT RATIO_RAW'!$AB66*I36</f>
        <v>0</v>
      </c>
      <c r="AL36" s="1874"/>
      <c r="AM36" s="1874">
        <f t="shared" ref="AM36:AM38" si="189">+AK36-AL36</f>
        <v>0</v>
      </c>
      <c r="AN36" s="1877"/>
      <c r="AO36" s="1875"/>
      <c r="AP36" s="1875"/>
      <c r="AQ36" s="1876"/>
      <c r="AR36" s="1878">
        <f>+$I36*'PAYMENT RATIO_RAW'!AI$6</f>
        <v>0</v>
      </c>
      <c r="AS36" s="1874"/>
      <c r="AT36" s="1874">
        <f t="shared" ref="AT36:AT38" si="190">+AR36-AS36</f>
        <v>0</v>
      </c>
      <c r="AU36" s="1877"/>
      <c r="AV36" s="1875"/>
      <c r="AW36" s="1875"/>
      <c r="AX36" s="1876"/>
      <c r="AY36" s="1878">
        <f>+$I36*'PAYMENT RATIO_RAW'!AP$6</f>
        <v>0</v>
      </c>
      <c r="AZ36" s="1874"/>
      <c r="BA36" s="1874">
        <f t="shared" ref="BA36:BA38" si="191">+AY36-AZ36</f>
        <v>0</v>
      </c>
      <c r="BB36" s="1877"/>
      <c r="BC36" s="1875"/>
      <c r="BD36" s="1875"/>
      <c r="BE36" s="1876">
        <f t="shared" ref="BE36:BE39" si="192">+IFERROR(BF36/$I36,"-")</f>
        <v>0</v>
      </c>
      <c r="BF36" s="1878">
        <f>+$I36*'PAYMENT RATIO_RAW'!AW$6</f>
        <v>0</v>
      </c>
      <c r="BG36" s="1874"/>
      <c r="BH36" s="1878">
        <f t="shared" ref="BH36:BH39" si="193">+BF36-BG36</f>
        <v>0</v>
      </c>
      <c r="BI36" s="1877"/>
      <c r="BJ36" s="1875">
        <f>+BJ35</f>
        <v>46233</v>
      </c>
      <c r="BK36" s="1875"/>
      <c r="BL36" s="1876">
        <f t="shared" ref="BL36:BL39" si="194">+IFERROR(BM36/$I36,"-")</f>
        <v>0.3</v>
      </c>
      <c r="BM36" s="1874">
        <f>+$I36*'PAYMENT RATIO_RAW'!BD$6</f>
        <v>164874600</v>
      </c>
      <c r="BN36" s="1874"/>
      <c r="BO36" s="1874">
        <f t="shared" ref="BO36:BO39" si="195">+BM36-BN36</f>
        <v>164874600</v>
      </c>
      <c r="BP36" s="1877"/>
      <c r="BQ36" s="1588"/>
      <c r="BR36" s="1587" t="b">
        <f t="shared" ref="BR36" si="196">+P36+W36+AD36+AR36+AY36+BF36+BM36=I36</f>
        <v>1</v>
      </c>
      <c r="BS36" s="1587" t="b">
        <f t="shared" ref="BS36:BS39" si="197">+Q36+X36+AE36+AS36+AZ36+BG36+BN36=K36</f>
        <v>1</v>
      </c>
      <c r="BT36" s="1587" t="b">
        <f>+BF36+BF38+AY36+AY38+AR36+AR38+AD36+AD38+W36+W38+P36+P38+BM36+BM38=('PAYMENT RATIO_RAW'!$F$6+'PAYMENT RATIO_RAW'!$F$8)*D35/1000</f>
        <v>1</v>
      </c>
      <c r="BU36" s="401"/>
      <c r="BV36" s="401"/>
      <c r="BW36" s="401"/>
      <c r="BX36" s="401"/>
      <c r="BY36" s="401"/>
      <c r="BZ36" s="401"/>
      <c r="CA36" s="401"/>
      <c r="CB36" s="401"/>
      <c r="CC36" s="404"/>
      <c r="CD36" s="404"/>
    </row>
    <row r="37" spans="1:82" hidden="1">
      <c r="A37" s="1649"/>
      <c r="B37" s="2517"/>
      <c r="C37" s="2518"/>
      <c r="D37" s="2519"/>
      <c r="E37" s="2518"/>
      <c r="F37" s="1661" t="s">
        <v>127</v>
      </c>
      <c r="G37" s="1597">
        <f>+'PAYMENT RATIO_RAW'!F$7*'GM Batch1'!$D$35/1000</f>
        <v>0</v>
      </c>
      <c r="H37" s="1597"/>
      <c r="I37" s="1597">
        <f t="shared" si="180"/>
        <v>0</v>
      </c>
      <c r="J37" s="1661" t="str">
        <f t="shared" si="1"/>
        <v>-</v>
      </c>
      <c r="K37" s="1654">
        <f t="shared" si="2"/>
        <v>0</v>
      </c>
      <c r="L37" s="1654">
        <f t="shared" si="181"/>
        <v>0</v>
      </c>
      <c r="M37" s="1626"/>
      <c r="N37" s="1626"/>
      <c r="O37" s="1660" t="str">
        <f t="shared" si="182"/>
        <v>-</v>
      </c>
      <c r="P37" s="1654">
        <f>+$I37*'PAYMENT RATIO_RAW'!G$7</f>
        <v>0</v>
      </c>
      <c r="Q37" s="1654"/>
      <c r="R37" s="1654">
        <f t="shared" si="183"/>
        <v>0</v>
      </c>
      <c r="S37" s="1662"/>
      <c r="T37" s="1626"/>
      <c r="U37" s="1626"/>
      <c r="V37" s="1660" t="str">
        <f t="shared" si="184"/>
        <v>-</v>
      </c>
      <c r="W37" s="1678">
        <f>+$I37*'PAYMENT RATIO_RAW'!N$7</f>
        <v>0</v>
      </c>
      <c r="X37" s="1654"/>
      <c r="Y37" s="1654">
        <f t="shared" si="185"/>
        <v>0</v>
      </c>
      <c r="Z37" s="1662"/>
      <c r="AA37" s="1626"/>
      <c r="AB37" s="1626"/>
      <c r="AC37" s="1660" t="str">
        <f t="shared" si="186"/>
        <v>-</v>
      </c>
      <c r="AD37" s="1678">
        <f>+$I37*'PAYMENT RATIO_RAW'!U$7</f>
        <v>0</v>
      </c>
      <c r="AE37" s="1654"/>
      <c r="AF37" s="1654">
        <f t="shared" si="187"/>
        <v>0</v>
      </c>
      <c r="AG37" s="1662"/>
      <c r="AH37" s="1626"/>
      <c r="AI37" s="1626"/>
      <c r="AJ37" s="1660" t="str">
        <f t="shared" si="188"/>
        <v>-</v>
      </c>
      <c r="AK37" s="1678">
        <f>+'PAYMENT RATIO_RAW'!$AB67*I37</f>
        <v>0</v>
      </c>
      <c r="AL37" s="1654"/>
      <c r="AM37" s="1654">
        <f t="shared" si="189"/>
        <v>0</v>
      </c>
      <c r="AN37" s="1662"/>
      <c r="AO37" s="1626"/>
      <c r="AP37" s="1626"/>
      <c r="AQ37" s="1660"/>
      <c r="AR37" s="1678">
        <f>+$I37*'PAYMENT RATIO_RAW'!AI$7</f>
        <v>0</v>
      </c>
      <c r="AS37" s="1654"/>
      <c r="AT37" s="1654">
        <f t="shared" si="190"/>
        <v>0</v>
      </c>
      <c r="AU37" s="1662"/>
      <c r="AV37" s="1626"/>
      <c r="AW37" s="1626"/>
      <c r="AX37" s="1660"/>
      <c r="AY37" s="1678">
        <f>+$I37*'PAYMENT RATIO_RAW'!AP$7</f>
        <v>0</v>
      </c>
      <c r="AZ37" s="1654"/>
      <c r="BA37" s="1654">
        <f t="shared" si="191"/>
        <v>0</v>
      </c>
      <c r="BB37" s="1662"/>
      <c r="BC37" s="1626"/>
      <c r="BD37" s="1626"/>
      <c r="BE37" s="1660" t="str">
        <f t="shared" si="192"/>
        <v>-</v>
      </c>
      <c r="BF37" s="1678">
        <f>+$I37*'PAYMENT RATIO_RAW'!AW$7</f>
        <v>0</v>
      </c>
      <c r="BG37" s="1654"/>
      <c r="BH37" s="1678">
        <f t="shared" si="193"/>
        <v>0</v>
      </c>
      <c r="BI37" s="1662"/>
      <c r="BJ37" s="1626"/>
      <c r="BK37" s="1626"/>
      <c r="BL37" s="1660" t="str">
        <f t="shared" si="194"/>
        <v>-</v>
      </c>
      <c r="BM37" s="1654">
        <f>+$I37*'PAYMENT RATIO_RAW'!BD$7</f>
        <v>0</v>
      </c>
      <c r="BN37" s="1654"/>
      <c r="BO37" s="1654">
        <f t="shared" si="195"/>
        <v>0</v>
      </c>
      <c r="BP37" s="1662"/>
      <c r="BQ37" s="1588"/>
      <c r="BR37" s="1587" t="b">
        <f>+P37+W37+AD37+AR37+AY37+BF37+BM37=I37</f>
        <v>1</v>
      </c>
      <c r="BS37" s="1587" t="b">
        <f t="shared" si="197"/>
        <v>1</v>
      </c>
      <c r="BT37" s="1587"/>
      <c r="BU37" s="401"/>
      <c r="BV37" s="401"/>
      <c r="BW37" s="401"/>
      <c r="BX37" s="401"/>
      <c r="BY37" s="401"/>
      <c r="BZ37" s="401"/>
      <c r="CA37" s="401"/>
      <c r="CB37" s="401"/>
      <c r="CC37" s="404"/>
      <c r="CD37" s="404"/>
    </row>
    <row r="38" spans="1:82" hidden="1">
      <c r="A38" s="1649"/>
      <c r="B38" s="2517"/>
      <c r="C38" s="2518"/>
      <c r="D38" s="2519"/>
      <c r="E38" s="2518"/>
      <c r="F38" s="1661" t="s">
        <v>128</v>
      </c>
      <c r="G38" s="1597">
        <f>+'PAYMENT RATIO_RAW'!F$8*'GM Batch1'!$D$35/1000</f>
        <v>0</v>
      </c>
      <c r="H38" s="1597">
        <f t="shared" ref="H38" si="198">+G38*10%</f>
        <v>0</v>
      </c>
      <c r="I38" s="1597">
        <f t="shared" si="180"/>
        <v>0</v>
      </c>
      <c r="J38" s="1661" t="str">
        <f t="shared" si="1"/>
        <v>-</v>
      </c>
      <c r="K38" s="1654">
        <f t="shared" si="2"/>
        <v>0</v>
      </c>
      <c r="L38" s="1654">
        <f t="shared" si="181"/>
        <v>0</v>
      </c>
      <c r="M38" s="1626"/>
      <c r="N38" s="1585"/>
      <c r="O38" s="1660" t="str">
        <f t="shared" si="182"/>
        <v>-</v>
      </c>
      <c r="P38" s="1654">
        <f>+$I38*'PAYMENT RATIO_RAW'!G$8</f>
        <v>0</v>
      </c>
      <c r="Q38" s="1654"/>
      <c r="R38" s="1654">
        <f t="shared" si="183"/>
        <v>0</v>
      </c>
      <c r="S38" s="1662"/>
      <c r="T38" s="1626"/>
      <c r="U38" s="1585"/>
      <c r="V38" s="1660" t="str">
        <f t="shared" si="184"/>
        <v>-</v>
      </c>
      <c r="W38" s="1678">
        <f>+$I38*'PAYMENT RATIO_RAW'!N$8</f>
        <v>0</v>
      </c>
      <c r="X38" s="1654"/>
      <c r="Y38" s="1654">
        <f t="shared" si="185"/>
        <v>0</v>
      </c>
      <c r="Z38" s="1662"/>
      <c r="AA38" s="1626"/>
      <c r="AB38" s="1585"/>
      <c r="AC38" s="1660" t="str">
        <f t="shared" si="186"/>
        <v>-</v>
      </c>
      <c r="AD38" s="1678">
        <f>+$I38*'PAYMENT RATIO_RAW'!U$8</f>
        <v>0</v>
      </c>
      <c r="AE38" s="1654"/>
      <c r="AF38" s="1654">
        <f t="shared" si="187"/>
        <v>0</v>
      </c>
      <c r="AG38" s="1662"/>
      <c r="AH38" s="1585"/>
      <c r="AI38" s="1585"/>
      <c r="AJ38" s="1660" t="str">
        <f t="shared" si="188"/>
        <v>-</v>
      </c>
      <c r="AK38" s="1678">
        <f>+'PAYMENT RATIO_RAW'!$AB68*I38</f>
        <v>0</v>
      </c>
      <c r="AL38" s="1654"/>
      <c r="AM38" s="1654">
        <f t="shared" si="189"/>
        <v>0</v>
      </c>
      <c r="AN38" s="1662"/>
      <c r="AO38" s="1585"/>
      <c r="AP38" s="1585"/>
      <c r="AQ38" s="1660"/>
      <c r="AR38" s="1678">
        <f>+$I38*'PAYMENT RATIO_RAW'!AI$8</f>
        <v>0</v>
      </c>
      <c r="AS38" s="1654"/>
      <c r="AT38" s="1654">
        <f t="shared" si="190"/>
        <v>0</v>
      </c>
      <c r="AU38" s="1662"/>
      <c r="AV38" s="1585"/>
      <c r="AW38" s="1585"/>
      <c r="AX38" s="1660"/>
      <c r="AY38" s="1678">
        <f>+$I38*'PAYMENT RATIO_RAW'!AP$8</f>
        <v>0</v>
      </c>
      <c r="AZ38" s="1654"/>
      <c r="BA38" s="1654">
        <f t="shared" si="191"/>
        <v>0</v>
      </c>
      <c r="BB38" s="1662"/>
      <c r="BC38" s="1585"/>
      <c r="BD38" s="1585"/>
      <c r="BE38" s="1660" t="str">
        <f t="shared" si="192"/>
        <v>-</v>
      </c>
      <c r="BF38" s="1678">
        <f>+$I38*'PAYMENT RATIO_RAW'!AW$8</f>
        <v>0</v>
      </c>
      <c r="BG38" s="1654"/>
      <c r="BH38" s="1678">
        <f t="shared" si="193"/>
        <v>0</v>
      </c>
      <c r="BI38" s="1662"/>
      <c r="BJ38" s="1585"/>
      <c r="BK38" s="1585"/>
      <c r="BL38" s="1660" t="str">
        <f t="shared" si="194"/>
        <v>-</v>
      </c>
      <c r="BM38" s="1654">
        <f>+$I38*'PAYMENT RATIO_RAW'!BD$8</f>
        <v>0</v>
      </c>
      <c r="BN38" s="1654"/>
      <c r="BO38" s="1654">
        <f t="shared" si="195"/>
        <v>0</v>
      </c>
      <c r="BP38" s="1662"/>
      <c r="BQ38" s="1588"/>
      <c r="BR38" s="1587" t="b">
        <f t="shared" ref="BR38:BR39" si="199">+P38+W38+AD38+AR38+AY38+BF38+BM38=I38</f>
        <v>1</v>
      </c>
      <c r="BS38" s="1587" t="b">
        <f t="shared" si="197"/>
        <v>1</v>
      </c>
      <c r="BT38" s="1587"/>
      <c r="BU38" s="401"/>
      <c r="BV38" s="401"/>
      <c r="BW38" s="401"/>
      <c r="BX38" s="401"/>
      <c r="BY38" s="401"/>
      <c r="BZ38" s="401"/>
      <c r="CA38" s="401"/>
      <c r="CB38" s="401"/>
      <c r="CC38" s="404"/>
      <c r="CD38" s="404"/>
    </row>
    <row r="39" spans="1:82" hidden="1">
      <c r="A39" s="1649"/>
      <c r="B39" s="2517"/>
      <c r="C39" s="2518"/>
      <c r="D39" s="2519"/>
      <c r="E39" s="2518"/>
      <c r="F39" s="1627" t="s">
        <v>129</v>
      </c>
      <c r="G39" s="1680">
        <f>+'PAYMENT RATIO_RAW'!F$9*'GM Batch1'!$D$35/1000</f>
        <v>0</v>
      </c>
      <c r="H39" s="1598">
        <f>+G39*0.1</f>
        <v>0</v>
      </c>
      <c r="I39" s="1598">
        <f>SUM(G39:H39)</f>
        <v>0</v>
      </c>
      <c r="J39" s="1627" t="str">
        <f t="shared" si="1"/>
        <v>-</v>
      </c>
      <c r="K39" s="1655">
        <f t="shared" si="2"/>
        <v>0</v>
      </c>
      <c r="L39" s="1655">
        <f t="shared" si="181"/>
        <v>0</v>
      </c>
      <c r="M39" s="1629"/>
      <c r="N39" s="1630"/>
      <c r="O39" s="1682"/>
      <c r="P39" s="1683">
        <f>+$I39*'PAYMENT RATIO_RAW'!G$9</f>
        <v>0</v>
      </c>
      <c r="Q39" s="1683"/>
      <c r="R39" s="1683">
        <f t="shared" si="183"/>
        <v>0</v>
      </c>
      <c r="S39" s="1630"/>
      <c r="T39" s="1629"/>
      <c r="U39" s="1630"/>
      <c r="V39" s="1682"/>
      <c r="W39" s="1678">
        <f>+$I39*'PAYMENT RATIO_RAW'!N$9</f>
        <v>0</v>
      </c>
      <c r="X39" s="1683"/>
      <c r="Y39" s="1683">
        <f t="shared" si="185"/>
        <v>0</v>
      </c>
      <c r="Z39" s="1630"/>
      <c r="AA39" s="1629"/>
      <c r="AB39" s="1630"/>
      <c r="AC39" s="1682"/>
      <c r="AD39" s="1678">
        <f>+$I39*'PAYMENT RATIO_RAW'!U$9</f>
        <v>0</v>
      </c>
      <c r="AE39" s="1683"/>
      <c r="AF39" s="1683">
        <f t="shared" si="187"/>
        <v>0</v>
      </c>
      <c r="AG39" s="1630"/>
      <c r="AH39" s="1629"/>
      <c r="AI39" s="1630"/>
      <c r="AJ39" s="1682"/>
      <c r="AK39" s="1678">
        <f>+'PAYMENT RATIO_RAW'!$AB69*I39</f>
        <v>0</v>
      </c>
      <c r="AL39" s="1683"/>
      <c r="AM39" s="1683"/>
      <c r="AN39" s="1630"/>
      <c r="AO39" s="1629"/>
      <c r="AP39" s="1630"/>
      <c r="AQ39" s="1682"/>
      <c r="AR39" s="1678">
        <f>+$I39*'PAYMENT RATIO_RAW'!AI$9</f>
        <v>0</v>
      </c>
      <c r="AS39" s="1683"/>
      <c r="AT39" s="1683"/>
      <c r="AU39" s="1630"/>
      <c r="AV39" s="1629"/>
      <c r="AW39" s="1630"/>
      <c r="AX39" s="1682"/>
      <c r="AY39" s="1678">
        <f>+$I39*'PAYMENT RATIO_RAW'!AP$9</f>
        <v>0</v>
      </c>
      <c r="AZ39" s="1683"/>
      <c r="BA39" s="1683"/>
      <c r="BB39" s="1630"/>
      <c r="BC39" s="1629"/>
      <c r="BD39" s="1630"/>
      <c r="BE39" s="1682" t="str">
        <f t="shared" si="192"/>
        <v>-</v>
      </c>
      <c r="BF39" s="1678">
        <f>+$I39*'PAYMENT RATIO_RAW'!AW$9</f>
        <v>0</v>
      </c>
      <c r="BG39" s="1683"/>
      <c r="BH39" s="1678">
        <f t="shared" si="193"/>
        <v>0</v>
      </c>
      <c r="BI39" s="1630"/>
      <c r="BJ39" s="1629"/>
      <c r="BK39" s="1630"/>
      <c r="BL39" s="1682" t="str">
        <f t="shared" si="194"/>
        <v>-</v>
      </c>
      <c r="BM39" s="1683">
        <f>+$I39*'PAYMENT RATIO_RAW'!BD$9</f>
        <v>0</v>
      </c>
      <c r="BN39" s="1683"/>
      <c r="BO39" s="1683">
        <f t="shared" si="195"/>
        <v>0</v>
      </c>
      <c r="BP39" s="1630"/>
      <c r="BQ39" s="1589"/>
      <c r="BR39" s="1591" t="b">
        <f t="shared" si="199"/>
        <v>1</v>
      </c>
      <c r="BS39" s="1592" t="b">
        <f t="shared" si="197"/>
        <v>1</v>
      </c>
      <c r="BT39" s="1592"/>
      <c r="BU39" s="401"/>
      <c r="BV39" s="401"/>
      <c r="BW39" s="401"/>
      <c r="BX39" s="401"/>
      <c r="BY39" s="401"/>
      <c r="BZ39" s="401"/>
      <c r="CA39" s="401"/>
      <c r="CB39" s="401"/>
      <c r="CC39" s="404"/>
      <c r="CD39" s="404"/>
    </row>
    <row r="40" spans="1:82">
      <c r="A40" s="1649"/>
      <c r="B40" s="2517"/>
      <c r="C40" s="2518"/>
      <c r="D40" s="2519"/>
      <c r="E40" s="2518"/>
      <c r="F40" s="419" t="s">
        <v>130</v>
      </c>
      <c r="G40" s="1628">
        <f>SUM(G35:G39)</f>
        <v>1626263100</v>
      </c>
      <c r="H40" s="1628">
        <f t="shared" ref="H40:I40" si="200">SUM(H35:H39)</f>
        <v>107668110</v>
      </c>
      <c r="I40" s="1628">
        <f t="shared" si="200"/>
        <v>1733931210</v>
      </c>
      <c r="J40" s="419">
        <f t="shared" si="1"/>
        <v>0.19687926373964973</v>
      </c>
      <c r="K40" s="1628">
        <f t="shared" ref="K40:L40" si="201">SUM(K35:K39)</f>
        <v>341375100</v>
      </c>
      <c r="L40" s="1628">
        <f t="shared" si="201"/>
        <v>1392556110</v>
      </c>
      <c r="M40" s="1631"/>
      <c r="N40" s="419"/>
      <c r="O40" s="1634">
        <f t="shared" ref="O40" si="202">+IFERROR(P40/$I40,"-")</f>
        <v>0.17432646592709986</v>
      </c>
      <c r="P40" s="1628">
        <f t="shared" ref="P40" si="203">SUM(P35:P39)</f>
        <v>302270100</v>
      </c>
      <c r="Q40" s="1628">
        <f t="shared" ref="Q40" si="204">SUM(Q35:Q39)</f>
        <v>302270100</v>
      </c>
      <c r="R40" s="1684">
        <f t="shared" ref="R40" si="205">+P40-Q40</f>
        <v>0</v>
      </c>
      <c r="S40" s="419"/>
      <c r="T40" s="1631"/>
      <c r="U40" s="419"/>
      <c r="V40" s="1634">
        <f t="shared" ref="V40" si="206">+IFERROR(W40/$I40,"-")</f>
        <v>2.2552797812549898E-2</v>
      </c>
      <c r="W40" s="1628">
        <f t="shared" ref="W40" si="207">SUM(W35:W39)</f>
        <v>39105000</v>
      </c>
      <c r="X40" s="1628">
        <f t="shared" ref="X40" si="208">SUM(X35:X39)</f>
        <v>39105000</v>
      </c>
      <c r="Y40" s="1684">
        <f t="shared" ref="Y40" si="209">+W40-X40</f>
        <v>0</v>
      </c>
      <c r="Z40" s="419"/>
      <c r="AA40" s="1631"/>
      <c r="AB40" s="419"/>
      <c r="AC40" s="1634">
        <f t="shared" ref="AC40" si="210">+IFERROR(AD40/$I40,"-")</f>
        <v>0.15811281233008084</v>
      </c>
      <c r="AD40" s="1628">
        <f t="shared" ref="AD40:AE40" si="211">SUM(AD35:AD39)</f>
        <v>274156740</v>
      </c>
      <c r="AE40" s="1628">
        <f t="shared" si="211"/>
        <v>0</v>
      </c>
      <c r="AF40" s="1684">
        <f t="shared" ref="AF40" si="212">+AD40-AE40</f>
        <v>274156740</v>
      </c>
      <c r="AG40" s="419"/>
      <c r="AH40" s="1631"/>
      <c r="AI40" s="419"/>
      <c r="AJ40" s="1634">
        <f t="shared" ref="AJ40" si="213">+IFERROR(AK40/$I40,"-")</f>
        <v>0</v>
      </c>
      <c r="AK40" s="1628">
        <f t="shared" ref="AK40:AL40" si="214">SUM(AK35:AK39)</f>
        <v>0</v>
      </c>
      <c r="AL40" s="1628">
        <f t="shared" si="214"/>
        <v>0</v>
      </c>
      <c r="AM40" s="1684">
        <f t="shared" ref="AM40" si="215">+AK40-AL40</f>
        <v>0</v>
      </c>
      <c r="AN40" s="419"/>
      <c r="AO40" s="1631"/>
      <c r="AP40" s="419"/>
      <c r="AQ40" s="1634">
        <f t="shared" ref="AQ40" si="216">+IFERROR(AR40/$I40,"-")</f>
        <v>0.35023771790808239</v>
      </c>
      <c r="AR40" s="1628">
        <f t="shared" ref="AR40" si="217">SUM(AR35:AR39)</f>
        <v>607288110</v>
      </c>
      <c r="AS40" s="1628">
        <f t="shared" ref="AS40" si="218">SUM(AS35:AS39)</f>
        <v>0</v>
      </c>
      <c r="AT40" s="1684">
        <f t="shared" ref="AT40" si="219">+AR40-AS40</f>
        <v>607288110</v>
      </c>
      <c r="AU40" s="419"/>
      <c r="AV40" s="1631"/>
      <c r="AW40" s="419"/>
      <c r="AX40" s="1634">
        <f t="shared" ref="AX40" si="220">+IFERROR(AY40/$I40,"-")</f>
        <v>0</v>
      </c>
      <c r="AY40" s="1628">
        <f t="shared" ref="AY40" si="221">SUM(AY35:AY39)</f>
        <v>0</v>
      </c>
      <c r="AZ40" s="1628">
        <f t="shared" ref="AZ40" si="222">SUM(AZ35:AZ39)</f>
        <v>0</v>
      </c>
      <c r="BA40" s="1684">
        <f t="shared" ref="BA40" si="223">+AY40-AZ40</f>
        <v>0</v>
      </c>
      <c r="BB40" s="419"/>
      <c r="BC40" s="1631"/>
      <c r="BD40" s="419"/>
      <c r="BE40" s="1634">
        <f t="shared" ref="BE40" si="224">+IFERROR(BF40/$I40,"-")</f>
        <v>0.1664025356576862</v>
      </c>
      <c r="BF40" s="1628">
        <f t="shared" ref="BF40" si="225">SUM(BF35:BF39)</f>
        <v>288530550</v>
      </c>
      <c r="BG40" s="1628">
        <f t="shared" ref="BG40" si="226">SUM(BG35:BG39)</f>
        <v>0</v>
      </c>
      <c r="BH40" s="1684">
        <f t="shared" ref="BH40" si="227">+BF40-BG40</f>
        <v>288530550</v>
      </c>
      <c r="BI40" s="419"/>
      <c r="BJ40" s="1631"/>
      <c r="BK40" s="419"/>
      <c r="BL40" s="1634">
        <f t="shared" si="16"/>
        <v>0.12836767036450078</v>
      </c>
      <c r="BM40" s="1628">
        <f t="shared" ref="BM40:BN40" si="228">SUM(BM35:BM39)</f>
        <v>222580710</v>
      </c>
      <c r="BN40" s="1628">
        <f t="shared" si="228"/>
        <v>0</v>
      </c>
      <c r="BO40" s="1684">
        <f t="shared" ref="BO40" si="229">+BM40-BN40</f>
        <v>222580710</v>
      </c>
      <c r="BP40" s="419"/>
      <c r="BQ40" s="1589"/>
      <c r="BR40" s="1632"/>
      <c r="BS40" s="1633"/>
      <c r="BT40" s="1633"/>
      <c r="BU40" s="401"/>
      <c r="BV40" s="401"/>
      <c r="BW40" s="401"/>
      <c r="BX40" s="401"/>
      <c r="BY40" s="401"/>
      <c r="BZ40" s="401"/>
      <c r="CA40" s="401"/>
      <c r="CB40" s="401"/>
      <c r="CC40" s="404"/>
      <c r="CD40" s="404"/>
    </row>
    <row r="41" spans="1:82">
      <c r="A41" s="1649"/>
      <c r="B41" s="2517">
        <v>6</v>
      </c>
      <c r="C41" s="2518" t="s">
        <v>215</v>
      </c>
      <c r="D41" s="2519">
        <v>999.24</v>
      </c>
      <c r="E41" s="2518" t="s">
        <v>124</v>
      </c>
      <c r="F41" s="1659" t="s">
        <v>125</v>
      </c>
      <c r="G41" s="1596">
        <f>+'PAYMENT RATIO_RAW'!F$5*$D$41/1000+27500000*D$41/1000</f>
        <v>1076681100</v>
      </c>
      <c r="H41" s="1596">
        <f>+G41*10%</f>
        <v>107668110</v>
      </c>
      <c r="I41" s="1596">
        <f t="shared" ref="I41:I44" si="230">SUM(G41:H41)</f>
        <v>1184349210</v>
      </c>
      <c r="J41" s="1676">
        <f t="shared" si="1"/>
        <v>0</v>
      </c>
      <c r="K41" s="1678">
        <f t="shared" si="2"/>
        <v>0</v>
      </c>
      <c r="L41" s="1678">
        <f>+I41-K41</f>
        <v>1184349210</v>
      </c>
      <c r="M41" s="1625"/>
      <c r="N41" s="1586"/>
      <c r="O41" s="1677"/>
      <c r="P41" s="1654">
        <f>+$I41*'PAYMENT RATIO_RAW'!G$5</f>
        <v>0</v>
      </c>
      <c r="Q41" s="1678"/>
      <c r="R41" s="1678">
        <f>+P41-Q41</f>
        <v>0</v>
      </c>
      <c r="S41" s="1679"/>
      <c r="T41" s="1625"/>
      <c r="U41" s="1586"/>
      <c r="V41" s="1677"/>
      <c r="W41" s="1678">
        <f>+$I41*'PAYMENT RATIO_RAW'!N$5</f>
        <v>0</v>
      </c>
      <c r="X41" s="1678"/>
      <c r="Y41" s="1678">
        <f>+W41-X41</f>
        <v>0</v>
      </c>
      <c r="Z41" s="1679"/>
      <c r="AA41" s="1625">
        <f>+EDATE(AH41,-2)</f>
        <v>46052</v>
      </c>
      <c r="AB41" s="1585"/>
      <c r="AC41" s="1677">
        <f>+IFERROR(AD41/$I41,"-")</f>
        <v>0.19489559164733181</v>
      </c>
      <c r="AD41" s="1678">
        <f>+'PAYMENT RATIO_RAW'!$U$60*$D41*1050000000/1000*1.1</f>
        <v>230824440.00000003</v>
      </c>
      <c r="AE41" s="1678"/>
      <c r="AF41" s="1678">
        <f>+AD41-AE41</f>
        <v>230824440.00000003</v>
      </c>
      <c r="AG41" s="1679"/>
      <c r="AH41" s="1625">
        <f>+EDATE(AO41,-1)</f>
        <v>46111</v>
      </c>
      <c r="AI41" s="1585"/>
      <c r="AJ41" s="1677">
        <f>+IFERROR(AK41/$I41,"-")</f>
        <v>0</v>
      </c>
      <c r="AK41" s="1678">
        <f>+'PAYMENT RATIO_RAW'!$AB65*I41</f>
        <v>0</v>
      </c>
      <c r="AL41" s="1678"/>
      <c r="AM41" s="1678">
        <f>+AK41-AL41</f>
        <v>0</v>
      </c>
      <c r="AN41" s="1679"/>
      <c r="AO41" s="1625">
        <f>+EDATE(AV41,-1)</f>
        <v>46142</v>
      </c>
      <c r="AP41" s="1586"/>
      <c r="AQ41" s="1677">
        <f>+IFERROR(AR41/$I41,"-")</f>
        <v>0.51276102088167053</v>
      </c>
      <c r="AR41" s="1678">
        <f>+'PAYMENT RATIO_RAW'!AI$60*$D41*1050000000/1000*1.1+27500000*$D41/1000*1.1</f>
        <v>607288110</v>
      </c>
      <c r="AS41" s="1678"/>
      <c r="AT41" s="1678">
        <f>+AR41-AS41</f>
        <v>607288110</v>
      </c>
      <c r="AU41" s="1679"/>
      <c r="AV41" s="1625">
        <f>+EDATE(BC41,-1)</f>
        <v>46172</v>
      </c>
      <c r="AW41" s="1625"/>
      <c r="AX41" s="1677">
        <f>+IFERROR(AY41/$I41,"-")</f>
        <v>0</v>
      </c>
      <c r="AY41" s="1678">
        <f>+'PAYMENT RATIO_RAW'!AP65*$I41</f>
        <v>0</v>
      </c>
      <c r="AZ41" s="1678"/>
      <c r="BA41" s="1678">
        <f>+AY41-AZ41</f>
        <v>0</v>
      </c>
      <c r="BB41" s="1679"/>
      <c r="BC41" s="1625">
        <f>+EDATE(BJ41,-1)</f>
        <v>46203</v>
      </c>
      <c r="BD41" s="1625"/>
      <c r="BE41" s="1677">
        <f>+IFERROR(BF41/$I41,"-")</f>
        <v>0.24361948955916474</v>
      </c>
      <c r="BF41" s="1678">
        <f>+'PAYMENT RATIO_RAW'!AW$60*$D41*1050000000/1000*1.1</f>
        <v>288530550</v>
      </c>
      <c r="BG41" s="1678"/>
      <c r="BH41" s="1678">
        <f>+BF41-BG41</f>
        <v>288530550</v>
      </c>
      <c r="BI41" s="1679"/>
      <c r="BJ41" s="1586">
        <v>46233</v>
      </c>
      <c r="BK41" s="1625"/>
      <c r="BL41" s="1677">
        <f>+IFERROR(BM41/$I41,"-")</f>
        <v>4.8723897911832952E-2</v>
      </c>
      <c r="BM41" s="1678">
        <f>+'PAYMENT RATIO_RAW'!BD$60*$D41*1050000000/1000*1.1</f>
        <v>57706110.000000007</v>
      </c>
      <c r="BN41" s="1678"/>
      <c r="BO41" s="1678">
        <f>+BM41-BN41</f>
        <v>57706110.000000007</v>
      </c>
      <c r="BP41" s="1679"/>
      <c r="BQ41" s="1588"/>
      <c r="BR41" s="1587" t="b">
        <f>+P41+W41+AD41+AK41+AR41+AY41+BF41+BM41=I41</f>
        <v>1</v>
      </c>
      <c r="BS41" s="1587" t="b">
        <f>+Q41+X41+AE41+AS41+AZ41+BG41+BN41=K41</f>
        <v>1</v>
      </c>
      <c r="BT41" s="1587"/>
      <c r="BU41" s="401"/>
      <c r="BV41" s="401"/>
      <c r="BW41" s="401"/>
      <c r="BX41" s="401"/>
      <c r="BY41" s="401"/>
      <c r="BZ41" s="401"/>
      <c r="CA41" s="401"/>
      <c r="CB41" s="401"/>
      <c r="CC41" s="404"/>
      <c r="CD41" s="404"/>
    </row>
    <row r="42" spans="1:82" ht="13.5">
      <c r="A42" s="1649"/>
      <c r="B42" s="2517"/>
      <c r="C42" s="2518"/>
      <c r="D42" s="2519"/>
      <c r="E42" s="2518"/>
      <c r="F42" s="1872" t="s">
        <v>126</v>
      </c>
      <c r="G42" s="1873">
        <f>+'PAYMENT RATIO_RAW'!F$6*'GM Batch1'!$D$41/1000</f>
        <v>549582000</v>
      </c>
      <c r="H42" s="1873"/>
      <c r="I42" s="1873">
        <f t="shared" si="230"/>
        <v>549582000</v>
      </c>
      <c r="J42" s="1872">
        <f t="shared" si="1"/>
        <v>0.62115407709859494</v>
      </c>
      <c r="K42" s="1874">
        <f t="shared" si="2"/>
        <v>341375100</v>
      </c>
      <c r="L42" s="1874">
        <f t="shared" ref="L42:L45" si="231">+I42-K42</f>
        <v>208206900</v>
      </c>
      <c r="M42" s="1875">
        <v>45450</v>
      </c>
      <c r="N42" s="1875">
        <v>45450</v>
      </c>
      <c r="O42" s="1876">
        <f t="shared" ref="O42:O44" si="232">+IFERROR(P42/$I42,"-")</f>
        <v>0.55000000000000004</v>
      </c>
      <c r="P42" s="1874">
        <f>+$I42*'PAYMENT RATIO_RAW'!G$6</f>
        <v>302270100</v>
      </c>
      <c r="Q42" s="1874">
        <v>302270100</v>
      </c>
      <c r="R42" s="1874">
        <f t="shared" ref="R42:R45" si="233">+P42-Q42</f>
        <v>0</v>
      </c>
      <c r="S42" s="1877"/>
      <c r="T42" s="1875">
        <v>45456</v>
      </c>
      <c r="U42" s="1875">
        <v>45456</v>
      </c>
      <c r="V42" s="1876">
        <f t="shared" ref="V42:V44" si="234">+IFERROR(W42/$I42,"-")</f>
        <v>7.1154077098594934E-2</v>
      </c>
      <c r="W42" s="1878">
        <f>+$I42*'PAYMENT RATIO_RAW'!N$6-43332300</f>
        <v>39105000</v>
      </c>
      <c r="X42" s="1874">
        <v>39105000</v>
      </c>
      <c r="Y42" s="1874">
        <f t="shared" ref="Y42:Y45" si="235">+W42-X42</f>
        <v>0</v>
      </c>
      <c r="Z42" s="1879"/>
      <c r="AA42" s="1875">
        <v>46022</v>
      </c>
      <c r="AB42" s="1875"/>
      <c r="AC42" s="1876">
        <f t="shared" ref="AC42:AC44" si="236">+IFERROR(AD42/$I42,"-")</f>
        <v>7.8845922901405074E-2</v>
      </c>
      <c r="AD42" s="1878">
        <f>+$I42*'PAYMENT RATIO_RAW'!U$6+43332300</f>
        <v>43332300</v>
      </c>
      <c r="AE42" s="1874"/>
      <c r="AF42" s="1874">
        <f t="shared" ref="AF42:AF45" si="237">+AD42-AE42</f>
        <v>43332300</v>
      </c>
      <c r="AG42" s="1877"/>
      <c r="AH42" s="1875"/>
      <c r="AI42" s="1875"/>
      <c r="AJ42" s="1876">
        <f t="shared" ref="AJ42:AJ44" si="238">+IFERROR(AK42/$I42,"-")</f>
        <v>0</v>
      </c>
      <c r="AK42" s="1878">
        <f>+'PAYMENT RATIO_RAW'!$AB66*I42</f>
        <v>0</v>
      </c>
      <c r="AL42" s="1874"/>
      <c r="AM42" s="1874">
        <f t="shared" ref="AM42:AM44" si="239">+AK42-AL42</f>
        <v>0</v>
      </c>
      <c r="AN42" s="1877"/>
      <c r="AO42" s="1875"/>
      <c r="AP42" s="1875"/>
      <c r="AQ42" s="1876"/>
      <c r="AR42" s="1878">
        <f>+$I42*'PAYMENT RATIO_RAW'!AI$6</f>
        <v>0</v>
      </c>
      <c r="AS42" s="1874"/>
      <c r="AT42" s="1874">
        <f t="shared" ref="AT42:AT44" si="240">+AR42-AS42</f>
        <v>0</v>
      </c>
      <c r="AU42" s="1877"/>
      <c r="AV42" s="1875"/>
      <c r="AW42" s="1875"/>
      <c r="AX42" s="1876"/>
      <c r="AY42" s="1878">
        <f>+$I42*'PAYMENT RATIO_RAW'!AP$6</f>
        <v>0</v>
      </c>
      <c r="AZ42" s="1874"/>
      <c r="BA42" s="1874">
        <f t="shared" ref="BA42:BA44" si="241">+AY42-AZ42</f>
        <v>0</v>
      </c>
      <c r="BB42" s="1877"/>
      <c r="BC42" s="1875"/>
      <c r="BD42" s="1875"/>
      <c r="BE42" s="1876">
        <f t="shared" ref="BE42:BE45" si="242">+IFERROR(BF42/$I42,"-")</f>
        <v>0</v>
      </c>
      <c r="BF42" s="1878">
        <f>+$I42*'PAYMENT RATIO_RAW'!AW$6</f>
        <v>0</v>
      </c>
      <c r="BG42" s="1874"/>
      <c r="BH42" s="1878">
        <f t="shared" ref="BH42:BH45" si="243">+BF42-BG42</f>
        <v>0</v>
      </c>
      <c r="BI42" s="1877"/>
      <c r="BJ42" s="1875">
        <f>+BJ41</f>
        <v>46233</v>
      </c>
      <c r="BK42" s="1875"/>
      <c r="BL42" s="1876">
        <f t="shared" ref="BL42:BL45" si="244">+IFERROR(BM42/$I42,"-")</f>
        <v>0.3</v>
      </c>
      <c r="BM42" s="1874">
        <f>+$I42*'PAYMENT RATIO_RAW'!BD$6</f>
        <v>164874600</v>
      </c>
      <c r="BN42" s="1874"/>
      <c r="BO42" s="1874">
        <f t="shared" ref="BO42:BO45" si="245">+BM42-BN42</f>
        <v>164874600</v>
      </c>
      <c r="BP42" s="1877"/>
      <c r="BQ42" s="1588"/>
      <c r="BR42" s="1587" t="b">
        <f t="shared" ref="BR42" si="246">+P42+W42+AD42+AR42+AY42+BF42+BM42=I42</f>
        <v>1</v>
      </c>
      <c r="BS42" s="1587" t="b">
        <f t="shared" ref="BS42:BS45" si="247">+Q42+X42+AE42+AS42+AZ42+BG42+BN42=K42</f>
        <v>1</v>
      </c>
      <c r="BT42" s="1587" t="b">
        <f>+BF42+BF44+AY42+AY44+AR42+AR44+AD42+AD44+W42+W44+P42+P44+BM42+BM44=('PAYMENT RATIO_RAW'!$F$6+'PAYMENT RATIO_RAW'!$F$8)*D41/1000</f>
        <v>1</v>
      </c>
      <c r="BU42" s="401"/>
      <c r="BV42" s="401"/>
      <c r="BW42" s="401"/>
      <c r="BX42" s="401"/>
      <c r="BY42" s="401"/>
      <c r="BZ42" s="401"/>
      <c r="CA42" s="401"/>
      <c r="CB42" s="401"/>
      <c r="CC42" s="404"/>
      <c r="CD42" s="404"/>
    </row>
    <row r="43" spans="1:82" hidden="1">
      <c r="A43" s="1649"/>
      <c r="B43" s="2517"/>
      <c r="C43" s="2518"/>
      <c r="D43" s="2519"/>
      <c r="E43" s="2518"/>
      <c r="F43" s="1661" t="s">
        <v>127</v>
      </c>
      <c r="G43" s="1597">
        <f>+'PAYMENT RATIO_RAW'!F$7*'GM Batch1'!$D$41/1000</f>
        <v>0</v>
      </c>
      <c r="H43" s="1597"/>
      <c r="I43" s="1597">
        <f t="shared" si="230"/>
        <v>0</v>
      </c>
      <c r="J43" s="1661" t="str">
        <f t="shared" si="1"/>
        <v>-</v>
      </c>
      <c r="K43" s="1654">
        <f t="shared" si="2"/>
        <v>0</v>
      </c>
      <c r="L43" s="1654">
        <f t="shared" si="231"/>
        <v>0</v>
      </c>
      <c r="M43" s="1626"/>
      <c r="N43" s="1626"/>
      <c r="O43" s="1660" t="str">
        <f t="shared" si="232"/>
        <v>-</v>
      </c>
      <c r="P43" s="1654">
        <f>+$I43*'PAYMENT RATIO_RAW'!G$7</f>
        <v>0</v>
      </c>
      <c r="Q43" s="1654"/>
      <c r="R43" s="1654">
        <f t="shared" si="233"/>
        <v>0</v>
      </c>
      <c r="S43" s="1662"/>
      <c r="T43" s="1626"/>
      <c r="U43" s="1626"/>
      <c r="V43" s="1660" t="str">
        <f t="shared" si="234"/>
        <v>-</v>
      </c>
      <c r="W43" s="1678">
        <f>+$I43*'PAYMENT RATIO_RAW'!N$7</f>
        <v>0</v>
      </c>
      <c r="X43" s="1654"/>
      <c r="Y43" s="1654">
        <f t="shared" si="235"/>
        <v>0</v>
      </c>
      <c r="Z43" s="1662"/>
      <c r="AA43" s="1626"/>
      <c r="AB43" s="1626"/>
      <c r="AC43" s="1660" t="str">
        <f t="shared" si="236"/>
        <v>-</v>
      </c>
      <c r="AD43" s="1678">
        <f>+$I43*'PAYMENT RATIO_RAW'!U$7</f>
        <v>0</v>
      </c>
      <c r="AE43" s="1654"/>
      <c r="AF43" s="1654">
        <f t="shared" si="237"/>
        <v>0</v>
      </c>
      <c r="AG43" s="1662"/>
      <c r="AH43" s="1626"/>
      <c r="AI43" s="1626"/>
      <c r="AJ43" s="1660" t="str">
        <f t="shared" si="238"/>
        <v>-</v>
      </c>
      <c r="AK43" s="1678">
        <f>+'PAYMENT RATIO_RAW'!$AB67*I43</f>
        <v>0</v>
      </c>
      <c r="AL43" s="1654"/>
      <c r="AM43" s="1654">
        <f t="shared" si="239"/>
        <v>0</v>
      </c>
      <c r="AN43" s="1662"/>
      <c r="AO43" s="1626"/>
      <c r="AP43" s="1626"/>
      <c r="AQ43" s="1660"/>
      <c r="AR43" s="1678">
        <f>+$I43*'PAYMENT RATIO_RAW'!AI$7</f>
        <v>0</v>
      </c>
      <c r="AS43" s="1654"/>
      <c r="AT43" s="1654">
        <f t="shared" si="240"/>
        <v>0</v>
      </c>
      <c r="AU43" s="1662"/>
      <c r="AV43" s="1626"/>
      <c r="AW43" s="1626"/>
      <c r="AX43" s="1660"/>
      <c r="AY43" s="1678">
        <f>+$I43*'PAYMENT RATIO_RAW'!AP$7</f>
        <v>0</v>
      </c>
      <c r="AZ43" s="1654"/>
      <c r="BA43" s="1654">
        <f t="shared" si="241"/>
        <v>0</v>
      </c>
      <c r="BB43" s="1662"/>
      <c r="BC43" s="1626"/>
      <c r="BD43" s="1626"/>
      <c r="BE43" s="1660" t="str">
        <f t="shared" si="242"/>
        <v>-</v>
      </c>
      <c r="BF43" s="1678">
        <f>+$I43*'PAYMENT RATIO_RAW'!AW$7</f>
        <v>0</v>
      </c>
      <c r="BG43" s="1654"/>
      <c r="BH43" s="1678">
        <f t="shared" si="243"/>
        <v>0</v>
      </c>
      <c r="BI43" s="1662"/>
      <c r="BJ43" s="1626"/>
      <c r="BK43" s="1626"/>
      <c r="BL43" s="1660" t="str">
        <f t="shared" si="244"/>
        <v>-</v>
      </c>
      <c r="BM43" s="1654">
        <f>+$I43*'PAYMENT RATIO_RAW'!BD$7</f>
        <v>0</v>
      </c>
      <c r="BN43" s="1654"/>
      <c r="BO43" s="1654">
        <f t="shared" si="245"/>
        <v>0</v>
      </c>
      <c r="BP43" s="1662"/>
      <c r="BQ43" s="1588"/>
      <c r="BR43" s="1587" t="b">
        <f>+P43+W43+AD43+AR43+AY43+BF43+BM43=I43</f>
        <v>1</v>
      </c>
      <c r="BS43" s="1587" t="b">
        <f t="shared" si="247"/>
        <v>1</v>
      </c>
      <c r="BT43" s="1587"/>
      <c r="BU43" s="401"/>
      <c r="BV43" s="401"/>
      <c r="BW43" s="401"/>
      <c r="BX43" s="401"/>
      <c r="BY43" s="401"/>
      <c r="BZ43" s="401"/>
      <c r="CA43" s="401"/>
      <c r="CB43" s="401"/>
      <c r="CC43" s="404"/>
      <c r="CD43" s="404"/>
    </row>
    <row r="44" spans="1:82" hidden="1">
      <c r="A44" s="1649"/>
      <c r="B44" s="2517"/>
      <c r="C44" s="2518"/>
      <c r="D44" s="2519"/>
      <c r="E44" s="2518"/>
      <c r="F44" s="1661" t="s">
        <v>128</v>
      </c>
      <c r="G44" s="1597">
        <f>+'PAYMENT RATIO_RAW'!F$8*'GM Batch1'!$D$41/1000</f>
        <v>0</v>
      </c>
      <c r="H44" s="1597">
        <f t="shared" ref="H44" si="248">+G44*10%</f>
        <v>0</v>
      </c>
      <c r="I44" s="1597">
        <f t="shared" si="230"/>
        <v>0</v>
      </c>
      <c r="J44" s="1661" t="str">
        <f t="shared" si="1"/>
        <v>-</v>
      </c>
      <c r="K44" s="1654">
        <f t="shared" si="2"/>
        <v>0</v>
      </c>
      <c r="L44" s="1654">
        <f t="shared" si="231"/>
        <v>0</v>
      </c>
      <c r="M44" s="1626"/>
      <c r="N44" s="1585"/>
      <c r="O44" s="1660" t="str">
        <f t="shared" si="232"/>
        <v>-</v>
      </c>
      <c r="P44" s="1654">
        <f>+$I44*'PAYMENT RATIO_RAW'!G$8</f>
        <v>0</v>
      </c>
      <c r="Q44" s="1654"/>
      <c r="R44" s="1654">
        <f t="shared" si="233"/>
        <v>0</v>
      </c>
      <c r="S44" s="1662"/>
      <c r="T44" s="1626"/>
      <c r="U44" s="1585"/>
      <c r="V44" s="1660" t="str">
        <f t="shared" si="234"/>
        <v>-</v>
      </c>
      <c r="W44" s="1678">
        <f>+$I44*'PAYMENT RATIO_RAW'!N$8</f>
        <v>0</v>
      </c>
      <c r="X44" s="1654"/>
      <c r="Y44" s="1654">
        <f t="shared" si="235"/>
        <v>0</v>
      </c>
      <c r="Z44" s="1662"/>
      <c r="AA44" s="1626"/>
      <c r="AB44" s="1585"/>
      <c r="AC44" s="1660" t="str">
        <f t="shared" si="236"/>
        <v>-</v>
      </c>
      <c r="AD44" s="1678">
        <f>+$I44*'PAYMENT RATIO_RAW'!U$8</f>
        <v>0</v>
      </c>
      <c r="AE44" s="1654"/>
      <c r="AF44" s="1654">
        <f t="shared" si="237"/>
        <v>0</v>
      </c>
      <c r="AG44" s="1662"/>
      <c r="AH44" s="1585"/>
      <c r="AI44" s="1585"/>
      <c r="AJ44" s="1660" t="str">
        <f t="shared" si="238"/>
        <v>-</v>
      </c>
      <c r="AK44" s="1678">
        <f>+'PAYMENT RATIO_RAW'!$AB68*I44</f>
        <v>0</v>
      </c>
      <c r="AL44" s="1654"/>
      <c r="AM44" s="1654">
        <f t="shared" si="239"/>
        <v>0</v>
      </c>
      <c r="AN44" s="1662"/>
      <c r="AO44" s="1585"/>
      <c r="AP44" s="1585"/>
      <c r="AQ44" s="1660"/>
      <c r="AR44" s="1678">
        <f>+$I44*'PAYMENT RATIO_RAW'!AI$8</f>
        <v>0</v>
      </c>
      <c r="AS44" s="1654"/>
      <c r="AT44" s="1654">
        <f t="shared" si="240"/>
        <v>0</v>
      </c>
      <c r="AU44" s="1662"/>
      <c r="AV44" s="1585"/>
      <c r="AW44" s="1585"/>
      <c r="AX44" s="1660"/>
      <c r="AY44" s="1678">
        <f>+$I44*'PAYMENT RATIO_RAW'!AP$8</f>
        <v>0</v>
      </c>
      <c r="AZ44" s="1654"/>
      <c r="BA44" s="1654">
        <f t="shared" si="241"/>
        <v>0</v>
      </c>
      <c r="BB44" s="1662"/>
      <c r="BC44" s="1585"/>
      <c r="BD44" s="1585"/>
      <c r="BE44" s="1660" t="str">
        <f t="shared" si="242"/>
        <v>-</v>
      </c>
      <c r="BF44" s="1678">
        <f>+$I44*'PAYMENT RATIO_RAW'!AW$8</f>
        <v>0</v>
      </c>
      <c r="BG44" s="1654"/>
      <c r="BH44" s="1678">
        <f t="shared" si="243"/>
        <v>0</v>
      </c>
      <c r="BI44" s="1662"/>
      <c r="BJ44" s="1585"/>
      <c r="BK44" s="1585"/>
      <c r="BL44" s="1660" t="str">
        <f t="shared" si="244"/>
        <v>-</v>
      </c>
      <c r="BM44" s="1654">
        <f>+$I44*'PAYMENT RATIO_RAW'!BD$8</f>
        <v>0</v>
      </c>
      <c r="BN44" s="1654"/>
      <c r="BO44" s="1654">
        <f t="shared" si="245"/>
        <v>0</v>
      </c>
      <c r="BP44" s="1662"/>
      <c r="BQ44" s="1588"/>
      <c r="BR44" s="1587" t="b">
        <f t="shared" ref="BR44:BR45" si="249">+P44+W44+AD44+AR44+AY44+BF44+BM44=I44</f>
        <v>1</v>
      </c>
      <c r="BS44" s="1587" t="b">
        <f t="shared" si="247"/>
        <v>1</v>
      </c>
      <c r="BT44" s="1587"/>
      <c r="BU44" s="401"/>
      <c r="BV44" s="401"/>
      <c r="BW44" s="401"/>
      <c r="BX44" s="401"/>
      <c r="BY44" s="401"/>
      <c r="BZ44" s="401"/>
      <c r="CA44" s="401"/>
      <c r="CB44" s="401"/>
      <c r="CC44" s="404"/>
      <c r="CD44" s="404"/>
    </row>
    <row r="45" spans="1:82" hidden="1">
      <c r="A45" s="1649"/>
      <c r="B45" s="2517"/>
      <c r="C45" s="2518"/>
      <c r="D45" s="2519"/>
      <c r="E45" s="2518"/>
      <c r="F45" s="1627" t="s">
        <v>129</v>
      </c>
      <c r="G45" s="1680">
        <f>+'PAYMENT RATIO_RAW'!F$9*'GM Batch1'!$D$41/1000</f>
        <v>0</v>
      </c>
      <c r="H45" s="1598">
        <f>+G45*0.1</f>
        <v>0</v>
      </c>
      <c r="I45" s="1598">
        <f>SUM(G45:H45)</f>
        <v>0</v>
      </c>
      <c r="J45" s="1627" t="str">
        <f t="shared" si="1"/>
        <v>-</v>
      </c>
      <c r="K45" s="1655">
        <f t="shared" si="2"/>
        <v>0</v>
      </c>
      <c r="L45" s="1655">
        <f t="shared" si="231"/>
        <v>0</v>
      </c>
      <c r="M45" s="1629"/>
      <c r="N45" s="1630"/>
      <c r="O45" s="1682"/>
      <c r="P45" s="1683">
        <f>+$I45*'PAYMENT RATIO_RAW'!G$9</f>
        <v>0</v>
      </c>
      <c r="Q45" s="1683"/>
      <c r="R45" s="1683">
        <f t="shared" si="233"/>
        <v>0</v>
      </c>
      <c r="S45" s="1630"/>
      <c r="T45" s="1629"/>
      <c r="U45" s="1630"/>
      <c r="V45" s="1682"/>
      <c r="W45" s="1678">
        <f>+$I45*'PAYMENT RATIO_RAW'!N$9</f>
        <v>0</v>
      </c>
      <c r="X45" s="1683"/>
      <c r="Y45" s="1683">
        <f t="shared" si="235"/>
        <v>0</v>
      </c>
      <c r="Z45" s="1630"/>
      <c r="AA45" s="1629"/>
      <c r="AB45" s="1630"/>
      <c r="AC45" s="1682"/>
      <c r="AD45" s="1678">
        <f>+$I45*'PAYMENT RATIO_RAW'!U$9</f>
        <v>0</v>
      </c>
      <c r="AE45" s="1683"/>
      <c r="AF45" s="1683">
        <f t="shared" si="237"/>
        <v>0</v>
      </c>
      <c r="AG45" s="1630"/>
      <c r="AH45" s="1629"/>
      <c r="AI45" s="1630"/>
      <c r="AJ45" s="1682"/>
      <c r="AK45" s="1678">
        <f>+'PAYMENT RATIO_RAW'!$AB69*I45</f>
        <v>0</v>
      </c>
      <c r="AL45" s="1683"/>
      <c r="AM45" s="1683"/>
      <c r="AN45" s="1630"/>
      <c r="AO45" s="1629"/>
      <c r="AP45" s="1630"/>
      <c r="AQ45" s="1682"/>
      <c r="AR45" s="1678">
        <f>+$I45*'PAYMENT RATIO_RAW'!AI$9</f>
        <v>0</v>
      </c>
      <c r="AS45" s="1683"/>
      <c r="AT45" s="1683"/>
      <c r="AU45" s="1630"/>
      <c r="AV45" s="1629"/>
      <c r="AW45" s="1630"/>
      <c r="AX45" s="1682"/>
      <c r="AY45" s="1678">
        <f>+$I45*'PAYMENT RATIO_RAW'!AP$9</f>
        <v>0</v>
      </c>
      <c r="AZ45" s="1683"/>
      <c r="BA45" s="1683"/>
      <c r="BB45" s="1630"/>
      <c r="BC45" s="1629"/>
      <c r="BD45" s="1630"/>
      <c r="BE45" s="1682" t="str">
        <f t="shared" si="242"/>
        <v>-</v>
      </c>
      <c r="BF45" s="1678">
        <f>+$I45*'PAYMENT RATIO_RAW'!AW$9</f>
        <v>0</v>
      </c>
      <c r="BG45" s="1683"/>
      <c r="BH45" s="1678">
        <f t="shared" si="243"/>
        <v>0</v>
      </c>
      <c r="BI45" s="1630"/>
      <c r="BJ45" s="1629"/>
      <c r="BK45" s="1630"/>
      <c r="BL45" s="1682" t="str">
        <f t="shared" si="244"/>
        <v>-</v>
      </c>
      <c r="BM45" s="1683">
        <f>+$I45*'PAYMENT RATIO_RAW'!BD$9</f>
        <v>0</v>
      </c>
      <c r="BN45" s="1683"/>
      <c r="BO45" s="1683">
        <f t="shared" si="245"/>
        <v>0</v>
      </c>
      <c r="BP45" s="1630"/>
      <c r="BQ45" s="1589"/>
      <c r="BR45" s="1591" t="b">
        <f t="shared" si="249"/>
        <v>1</v>
      </c>
      <c r="BS45" s="1592" t="b">
        <f t="shared" si="247"/>
        <v>1</v>
      </c>
      <c r="BT45" s="1592"/>
      <c r="BU45" s="401"/>
      <c r="BV45" s="401"/>
      <c r="BW45" s="401"/>
      <c r="BX45" s="401"/>
      <c r="BY45" s="401"/>
      <c r="BZ45" s="401"/>
      <c r="CA45" s="401"/>
      <c r="CB45" s="401"/>
      <c r="CC45" s="404"/>
      <c r="CD45" s="404"/>
    </row>
    <row r="46" spans="1:82">
      <c r="A46" s="1649"/>
      <c r="B46" s="2517"/>
      <c r="C46" s="2518"/>
      <c r="D46" s="2519"/>
      <c r="E46" s="2518"/>
      <c r="F46" s="419" t="s">
        <v>130</v>
      </c>
      <c r="G46" s="1628">
        <f>SUM(G41:G45)</f>
        <v>1626263100</v>
      </c>
      <c r="H46" s="1628">
        <f t="shared" ref="H46:I46" si="250">SUM(H41:H45)</f>
        <v>107668110</v>
      </c>
      <c r="I46" s="1628">
        <f t="shared" si="250"/>
        <v>1733931210</v>
      </c>
      <c r="J46" s="419">
        <f t="shared" si="1"/>
        <v>0.19687926373964973</v>
      </c>
      <c r="K46" s="1628">
        <f t="shared" ref="K46:L46" si="251">SUM(K41:K45)</f>
        <v>341375100</v>
      </c>
      <c r="L46" s="1628">
        <f t="shared" si="251"/>
        <v>1392556110</v>
      </c>
      <c r="M46" s="1631"/>
      <c r="N46" s="419"/>
      <c r="O46" s="1634">
        <f t="shared" ref="O46" si="252">+IFERROR(P46/$I46,"-")</f>
        <v>0.17432646592709986</v>
      </c>
      <c r="P46" s="1628">
        <f t="shared" ref="P46" si="253">SUM(P41:P45)</f>
        <v>302270100</v>
      </c>
      <c r="Q46" s="1628">
        <f t="shared" ref="Q46" si="254">SUM(Q41:Q45)</f>
        <v>302270100</v>
      </c>
      <c r="R46" s="1684">
        <f t="shared" ref="R46" si="255">+P46-Q46</f>
        <v>0</v>
      </c>
      <c r="S46" s="419"/>
      <c r="T46" s="1631"/>
      <c r="U46" s="419"/>
      <c r="V46" s="1634">
        <f t="shared" ref="V46" si="256">+IFERROR(W46/$I46,"-")</f>
        <v>2.2552797812549898E-2</v>
      </c>
      <c r="W46" s="1628">
        <f t="shared" ref="W46:X46" si="257">SUM(W41:W45)</f>
        <v>39105000</v>
      </c>
      <c r="X46" s="1628">
        <f t="shared" si="257"/>
        <v>39105000</v>
      </c>
      <c r="Y46" s="1684">
        <f t="shared" ref="Y46" si="258">+W46-X46</f>
        <v>0</v>
      </c>
      <c r="Z46" s="419"/>
      <c r="AA46" s="1631"/>
      <c r="AB46" s="419"/>
      <c r="AC46" s="1634">
        <f t="shared" ref="AC46" si="259">+IFERROR(AD46/$I46,"-")</f>
        <v>0.15811281233008084</v>
      </c>
      <c r="AD46" s="1628">
        <f t="shared" ref="AD46:AE46" si="260">SUM(AD41:AD45)</f>
        <v>274156740</v>
      </c>
      <c r="AE46" s="1628">
        <f t="shared" si="260"/>
        <v>0</v>
      </c>
      <c r="AF46" s="1684">
        <f t="shared" ref="AF46" si="261">+AD46-AE46</f>
        <v>274156740</v>
      </c>
      <c r="AG46" s="419"/>
      <c r="AH46" s="1631"/>
      <c r="AI46" s="419"/>
      <c r="AJ46" s="1634">
        <f t="shared" ref="AJ46" si="262">+IFERROR(AK46/$I46,"-")</f>
        <v>0</v>
      </c>
      <c r="AK46" s="1628">
        <f t="shared" ref="AK46:AL46" si="263">SUM(AK41:AK45)</f>
        <v>0</v>
      </c>
      <c r="AL46" s="1628">
        <f t="shared" si="263"/>
        <v>0</v>
      </c>
      <c r="AM46" s="1684">
        <f t="shared" ref="AM46" si="264">+AK46-AL46</f>
        <v>0</v>
      </c>
      <c r="AN46" s="419"/>
      <c r="AO46" s="1631"/>
      <c r="AP46" s="419"/>
      <c r="AQ46" s="1634">
        <f t="shared" ref="AQ46" si="265">+IFERROR(AR46/$I46,"-")</f>
        <v>0.35023771790808239</v>
      </c>
      <c r="AR46" s="1628">
        <f t="shared" ref="AR46" si="266">SUM(AR41:AR45)</f>
        <v>607288110</v>
      </c>
      <c r="AS46" s="1628">
        <f t="shared" ref="AS46" si="267">SUM(AS41:AS45)</f>
        <v>0</v>
      </c>
      <c r="AT46" s="1684">
        <f t="shared" ref="AT46" si="268">+AR46-AS46</f>
        <v>607288110</v>
      </c>
      <c r="AU46" s="419"/>
      <c r="AV46" s="1631"/>
      <c r="AW46" s="419"/>
      <c r="AX46" s="1634">
        <f t="shared" ref="AX46" si="269">+IFERROR(AY46/$I46,"-")</f>
        <v>0</v>
      </c>
      <c r="AY46" s="1628">
        <f t="shared" ref="AY46" si="270">SUM(AY41:AY45)</f>
        <v>0</v>
      </c>
      <c r="AZ46" s="1628">
        <f t="shared" ref="AZ46" si="271">SUM(AZ41:AZ45)</f>
        <v>0</v>
      </c>
      <c r="BA46" s="1684">
        <f t="shared" ref="BA46" si="272">+AY46-AZ46</f>
        <v>0</v>
      </c>
      <c r="BB46" s="419"/>
      <c r="BC46" s="1631"/>
      <c r="BD46" s="419"/>
      <c r="BE46" s="1634">
        <f t="shared" ref="BE46" si="273">+IFERROR(BF46/$I46,"-")</f>
        <v>0.1664025356576862</v>
      </c>
      <c r="BF46" s="1628">
        <f t="shared" ref="BF46" si="274">SUM(BF41:BF45)</f>
        <v>288530550</v>
      </c>
      <c r="BG46" s="1628">
        <f t="shared" ref="BG46" si="275">SUM(BG41:BG45)</f>
        <v>0</v>
      </c>
      <c r="BH46" s="1684">
        <f t="shared" ref="BH46" si="276">+BF46-BG46</f>
        <v>288530550</v>
      </c>
      <c r="BI46" s="419"/>
      <c r="BJ46" s="1631"/>
      <c r="BK46" s="419"/>
      <c r="BL46" s="1634">
        <f t="shared" si="16"/>
        <v>0.12836767036450078</v>
      </c>
      <c r="BM46" s="1628">
        <f t="shared" ref="BM46:BN46" si="277">SUM(BM41:BM45)</f>
        <v>222580710</v>
      </c>
      <c r="BN46" s="1628">
        <f t="shared" si="277"/>
        <v>0</v>
      </c>
      <c r="BO46" s="1684">
        <f t="shared" ref="BO46" si="278">+BM46-BN46</f>
        <v>222580710</v>
      </c>
      <c r="BP46" s="419"/>
      <c r="BQ46" s="1589"/>
      <c r="BR46" s="1632"/>
      <c r="BS46" s="1633"/>
      <c r="BT46" s="1633"/>
      <c r="BU46" s="401"/>
      <c r="BV46" s="401"/>
      <c r="BW46" s="401"/>
      <c r="BX46" s="401"/>
      <c r="BY46" s="401"/>
      <c r="BZ46" s="401"/>
      <c r="CA46" s="401"/>
      <c r="CB46" s="401"/>
      <c r="CC46" s="404"/>
      <c r="CD46" s="404"/>
    </row>
    <row r="47" spans="1:82">
      <c r="A47" s="1649"/>
      <c r="B47" s="2517">
        <v>7</v>
      </c>
      <c r="C47" s="2518" t="s">
        <v>216</v>
      </c>
      <c r="D47" s="2519">
        <v>999.44</v>
      </c>
      <c r="E47" s="2518" t="s">
        <v>124</v>
      </c>
      <c r="F47" s="1659" t="s">
        <v>125</v>
      </c>
      <c r="G47" s="1596">
        <f>+'PAYMENT RATIO_RAW'!F$5*$D$47/1000+27500000*D$47/1000</f>
        <v>1076896600</v>
      </c>
      <c r="H47" s="1596">
        <f>+G47*10%</f>
        <v>107689660</v>
      </c>
      <c r="I47" s="1596">
        <f t="shared" ref="I47:I50" si="279">SUM(G47:H47)</f>
        <v>1184586260</v>
      </c>
      <c r="J47" s="1676">
        <f t="shared" si="1"/>
        <v>0</v>
      </c>
      <c r="K47" s="1678">
        <f t="shared" si="2"/>
        <v>0</v>
      </c>
      <c r="L47" s="1678">
        <f>+I47-K47</f>
        <v>1184586260</v>
      </c>
      <c r="M47" s="1625"/>
      <c r="N47" s="1586"/>
      <c r="O47" s="1677"/>
      <c r="P47" s="1654">
        <f>+$I47*'PAYMENT RATIO_RAW'!G$5</f>
        <v>0</v>
      </c>
      <c r="Q47" s="1678"/>
      <c r="R47" s="1678">
        <f>+P47-Q47</f>
        <v>0</v>
      </c>
      <c r="S47" s="1679"/>
      <c r="T47" s="1625"/>
      <c r="U47" s="1586"/>
      <c r="V47" s="1677"/>
      <c r="W47" s="1678">
        <f>+$I47*'PAYMENT RATIO_RAW'!N$5</f>
        <v>0</v>
      </c>
      <c r="X47" s="1678"/>
      <c r="Y47" s="1678">
        <f>+W47-X47</f>
        <v>0</v>
      </c>
      <c r="Z47" s="1679"/>
      <c r="AA47" s="1625">
        <f>+EDATE(AH47,-2)</f>
        <v>46052</v>
      </c>
      <c r="AB47" s="1585"/>
      <c r="AC47" s="1677">
        <f>+IFERROR(AD47/$I47,"-")</f>
        <v>0.19489559164733183</v>
      </c>
      <c r="AD47" s="1678">
        <f>+'PAYMENT RATIO_RAW'!$U$60*$D47*1050000000/1000*1.1</f>
        <v>230870640.00000006</v>
      </c>
      <c r="AE47" s="1678"/>
      <c r="AF47" s="1678">
        <f>+AD47-AE47</f>
        <v>230870640.00000006</v>
      </c>
      <c r="AG47" s="1679"/>
      <c r="AH47" s="1625">
        <f>+EDATE(AO47,-1)</f>
        <v>46111</v>
      </c>
      <c r="AI47" s="1585"/>
      <c r="AJ47" s="1677">
        <f>+IFERROR(AK47/$I47,"-")</f>
        <v>0</v>
      </c>
      <c r="AK47" s="1678">
        <f>+'PAYMENT RATIO_RAW'!$AB70*I47</f>
        <v>0</v>
      </c>
      <c r="AL47" s="1678"/>
      <c r="AM47" s="1678">
        <f>+AK47-AL47</f>
        <v>0</v>
      </c>
      <c r="AN47" s="1679"/>
      <c r="AO47" s="1625">
        <f>+EDATE(AV47,-1)</f>
        <v>46142</v>
      </c>
      <c r="AP47" s="1586"/>
      <c r="AQ47" s="1677">
        <f>+IFERROR(AR47/$I47,"-")</f>
        <v>0.51276102088167053</v>
      </c>
      <c r="AR47" s="1678">
        <f>+'PAYMENT RATIO_RAW'!AI$60*$D47*1050000000/1000*1.1+27500000*$D47/1000*1.1</f>
        <v>607409660</v>
      </c>
      <c r="AS47" s="1678"/>
      <c r="AT47" s="1678">
        <f>+AR47-AS47</f>
        <v>607409660</v>
      </c>
      <c r="AU47" s="1679"/>
      <c r="AV47" s="1625">
        <f>+EDATE(BC47,-1)</f>
        <v>46172</v>
      </c>
      <c r="AW47" s="1625"/>
      <c r="AX47" s="1677">
        <f>+IFERROR(AY47/$I47,"-")</f>
        <v>0</v>
      </c>
      <c r="AY47" s="1678">
        <f>+'PAYMENT RATIO_RAW'!AP70*$I47</f>
        <v>0</v>
      </c>
      <c r="AZ47" s="1678"/>
      <c r="BA47" s="1678">
        <f>+AY47-AZ47</f>
        <v>0</v>
      </c>
      <c r="BB47" s="1679"/>
      <c r="BC47" s="1625">
        <f>+EDATE(BJ47,-1)</f>
        <v>46203</v>
      </c>
      <c r="BD47" s="1625"/>
      <c r="BE47" s="1677">
        <f>+IFERROR(BF47/$I47,"-")</f>
        <v>0.24361948955916474</v>
      </c>
      <c r="BF47" s="1678">
        <f>+'PAYMENT RATIO_RAW'!AW$60*$D47*1050000000/1000*1.1</f>
        <v>288588300</v>
      </c>
      <c r="BG47" s="1678"/>
      <c r="BH47" s="1678">
        <f>+BF47-BG47</f>
        <v>288588300</v>
      </c>
      <c r="BI47" s="1679"/>
      <c r="BJ47" s="1586">
        <v>46233</v>
      </c>
      <c r="BK47" s="1625"/>
      <c r="BL47" s="1677">
        <f>+IFERROR(BM47/$I47,"-")</f>
        <v>4.8723897911832958E-2</v>
      </c>
      <c r="BM47" s="1678">
        <f>+'PAYMENT RATIO_RAW'!BD$60*$D47*1050000000/1000*1.1</f>
        <v>57717660.000000015</v>
      </c>
      <c r="BN47" s="1678"/>
      <c r="BO47" s="1678">
        <f>+BM47-BN47</f>
        <v>57717660.000000015</v>
      </c>
      <c r="BP47" s="1679"/>
      <c r="BQ47" s="1588"/>
      <c r="BR47" s="1587" t="b">
        <f>+P47+W47+AD47+AK47+AR47+AY47+BF47+BM47=I47</f>
        <v>1</v>
      </c>
      <c r="BS47" s="1587" t="b">
        <f>+Q47+X47+AE47+AS47+AZ47+BG47+BN47=K47</f>
        <v>1</v>
      </c>
      <c r="BT47" s="1587"/>
      <c r="BU47" s="401"/>
      <c r="BV47" s="401"/>
      <c r="BW47" s="401"/>
      <c r="BX47" s="401"/>
      <c r="BY47" s="401"/>
      <c r="BZ47" s="401"/>
      <c r="CA47" s="401"/>
      <c r="CB47" s="401"/>
      <c r="CC47" s="404"/>
      <c r="CD47" s="404"/>
    </row>
    <row r="48" spans="1:82" ht="13.5">
      <c r="A48" s="1649"/>
      <c r="B48" s="2517"/>
      <c r="C48" s="2518"/>
      <c r="D48" s="2519"/>
      <c r="E48" s="2518"/>
      <c r="F48" s="1872" t="s">
        <v>126</v>
      </c>
      <c r="G48" s="1873">
        <f>+'PAYMENT RATIO_RAW'!F$6*'GM Batch1'!$D$47/1000</f>
        <v>549692000</v>
      </c>
      <c r="H48" s="1873"/>
      <c r="I48" s="1873">
        <f t="shared" si="279"/>
        <v>549692000</v>
      </c>
      <c r="J48" s="1872">
        <f t="shared" si="1"/>
        <v>0.6211398383094533</v>
      </c>
      <c r="K48" s="1874">
        <f t="shared" si="2"/>
        <v>341435600</v>
      </c>
      <c r="L48" s="1874">
        <f t="shared" ref="L48:L51" si="280">+I48-K48</f>
        <v>208256400</v>
      </c>
      <c r="M48" s="1875">
        <v>45450</v>
      </c>
      <c r="N48" s="1875">
        <v>45450</v>
      </c>
      <c r="O48" s="1876">
        <f t="shared" ref="O48:O50" si="281">+IFERROR(P48/$I48,"-")</f>
        <v>0.55000000000000004</v>
      </c>
      <c r="P48" s="1874">
        <f>+$I48*'PAYMENT RATIO_RAW'!G$6</f>
        <v>302330600</v>
      </c>
      <c r="Q48" s="1874">
        <v>302330600</v>
      </c>
      <c r="R48" s="1874">
        <f t="shared" ref="R48:R51" si="282">+P48-Q48</f>
        <v>0</v>
      </c>
      <c r="S48" s="1877"/>
      <c r="T48" s="1875">
        <v>45456</v>
      </c>
      <c r="U48" s="1875">
        <v>45456</v>
      </c>
      <c r="V48" s="1876">
        <f t="shared" ref="V48:V50" si="283">+IFERROR(W48/$I48,"-")</f>
        <v>7.1139838309453293E-2</v>
      </c>
      <c r="W48" s="1878">
        <f>+$I48*'PAYMENT RATIO_RAW'!N$6-43348800</f>
        <v>39105000</v>
      </c>
      <c r="X48" s="1874">
        <v>39105000</v>
      </c>
      <c r="Y48" s="1874">
        <f t="shared" ref="Y48:Y51" si="284">+W48-X48</f>
        <v>0</v>
      </c>
      <c r="Z48" s="1879"/>
      <c r="AA48" s="1875">
        <v>46022</v>
      </c>
      <c r="AB48" s="1875"/>
      <c r="AC48" s="1876">
        <f t="shared" ref="AC48:AC50" si="285">+IFERROR(AD48/$I48,"-")</f>
        <v>7.8860161690546701E-2</v>
      </c>
      <c r="AD48" s="1878">
        <f>+$I48*'PAYMENT RATIO_RAW'!U$6+43348800</f>
        <v>43348800</v>
      </c>
      <c r="AE48" s="1874"/>
      <c r="AF48" s="1874">
        <f t="shared" ref="AF48:AF51" si="286">+AD48-AE48</f>
        <v>43348800</v>
      </c>
      <c r="AG48" s="1877"/>
      <c r="AH48" s="1875"/>
      <c r="AI48" s="1875"/>
      <c r="AJ48" s="1876">
        <f t="shared" ref="AJ48:AJ50" si="287">+IFERROR(AK48/$I48,"-")</f>
        <v>0</v>
      </c>
      <c r="AK48" s="1878">
        <f>+'PAYMENT RATIO_RAW'!$AB71*I48</f>
        <v>0</v>
      </c>
      <c r="AL48" s="1874"/>
      <c r="AM48" s="1874">
        <f t="shared" ref="AM48:AM50" si="288">+AK48-AL48</f>
        <v>0</v>
      </c>
      <c r="AN48" s="1877"/>
      <c r="AO48" s="1875"/>
      <c r="AP48" s="1875"/>
      <c r="AQ48" s="1876"/>
      <c r="AR48" s="1878">
        <f>+$I48*'PAYMENT RATIO_RAW'!AI$6</f>
        <v>0</v>
      </c>
      <c r="AS48" s="1874"/>
      <c r="AT48" s="1874">
        <f t="shared" ref="AT48:AT50" si="289">+AR48-AS48</f>
        <v>0</v>
      </c>
      <c r="AU48" s="1877"/>
      <c r="AV48" s="1875"/>
      <c r="AW48" s="1875"/>
      <c r="AX48" s="1876"/>
      <c r="AY48" s="1878">
        <f>+$I48*'PAYMENT RATIO_RAW'!AP$6</f>
        <v>0</v>
      </c>
      <c r="AZ48" s="1874"/>
      <c r="BA48" s="1874">
        <f t="shared" ref="BA48:BA50" si="290">+AY48-AZ48</f>
        <v>0</v>
      </c>
      <c r="BB48" s="1877"/>
      <c r="BC48" s="1875"/>
      <c r="BD48" s="1875"/>
      <c r="BE48" s="1876">
        <f t="shared" ref="BE48:BE51" si="291">+IFERROR(BF48/$I48,"-")</f>
        <v>0</v>
      </c>
      <c r="BF48" s="1878">
        <f>+$I48*'PAYMENT RATIO_RAW'!AW$6</f>
        <v>0</v>
      </c>
      <c r="BG48" s="1874"/>
      <c r="BH48" s="1878">
        <f t="shared" ref="BH48:BH51" si="292">+BF48-BG48</f>
        <v>0</v>
      </c>
      <c r="BI48" s="1877"/>
      <c r="BJ48" s="1875">
        <f>+BJ47</f>
        <v>46233</v>
      </c>
      <c r="BK48" s="1875"/>
      <c r="BL48" s="1876">
        <f t="shared" ref="BL48:BL51" si="293">+IFERROR(BM48/$I48,"-")</f>
        <v>0.3</v>
      </c>
      <c r="BM48" s="1874">
        <f>+$I48*'PAYMENT RATIO_RAW'!BD$6</f>
        <v>164907600</v>
      </c>
      <c r="BN48" s="1874"/>
      <c r="BO48" s="1874">
        <f t="shared" ref="BO48:BO51" si="294">+BM48-BN48</f>
        <v>164907600</v>
      </c>
      <c r="BP48" s="1877"/>
      <c r="BQ48" s="1588"/>
      <c r="BR48" s="1587" t="b">
        <f t="shared" ref="BR48" si="295">+P48+W48+AD48+AR48+AY48+BF48+BM48=I48</f>
        <v>1</v>
      </c>
      <c r="BS48" s="1587" t="b">
        <f t="shared" ref="BS48:BS51" si="296">+Q48+X48+AE48+AS48+AZ48+BG48+BN48=K48</f>
        <v>1</v>
      </c>
      <c r="BT48" s="1587" t="b">
        <f>+BF48+BF50+AY48+AY50+AR48+AR50+AD48+AD50+W48+W50+P48+P50+BM48+BM50=('PAYMENT RATIO_RAW'!$F$6+'PAYMENT RATIO_RAW'!$F$8)*D47/1000</f>
        <v>1</v>
      </c>
      <c r="BU48" s="401"/>
      <c r="BV48" s="401"/>
      <c r="BW48" s="401"/>
      <c r="BX48" s="401"/>
      <c r="BY48" s="401"/>
      <c r="BZ48" s="401"/>
      <c r="CA48" s="401"/>
      <c r="CB48" s="401"/>
      <c r="CC48" s="404"/>
      <c r="CD48" s="404"/>
    </row>
    <row r="49" spans="1:82" hidden="1">
      <c r="A49" s="1649"/>
      <c r="B49" s="2517"/>
      <c r="C49" s="2518"/>
      <c r="D49" s="2519"/>
      <c r="E49" s="2518"/>
      <c r="F49" s="1661" t="s">
        <v>127</v>
      </c>
      <c r="G49" s="1597">
        <f>+'PAYMENT RATIO_RAW'!F$7*'GM Batch1'!$D$47/1000</f>
        <v>0</v>
      </c>
      <c r="H49" s="1597"/>
      <c r="I49" s="1597">
        <f t="shared" si="279"/>
        <v>0</v>
      </c>
      <c r="J49" s="1661" t="str">
        <f t="shared" si="1"/>
        <v>-</v>
      </c>
      <c r="K49" s="1654">
        <f t="shared" si="2"/>
        <v>0</v>
      </c>
      <c r="L49" s="1654">
        <f t="shared" si="280"/>
        <v>0</v>
      </c>
      <c r="M49" s="1626"/>
      <c r="N49" s="1626"/>
      <c r="O49" s="1660" t="str">
        <f t="shared" si="281"/>
        <v>-</v>
      </c>
      <c r="P49" s="1654">
        <f>+$I49*'PAYMENT RATIO_RAW'!G$7</f>
        <v>0</v>
      </c>
      <c r="Q49" s="1654"/>
      <c r="R49" s="1654">
        <f t="shared" si="282"/>
        <v>0</v>
      </c>
      <c r="S49" s="1662"/>
      <c r="T49" s="1626"/>
      <c r="U49" s="1626"/>
      <c r="V49" s="1660" t="str">
        <f t="shared" si="283"/>
        <v>-</v>
      </c>
      <c r="W49" s="1678">
        <f>+$I49*'PAYMENT RATIO_RAW'!N$7</f>
        <v>0</v>
      </c>
      <c r="X49" s="1654"/>
      <c r="Y49" s="1654">
        <f t="shared" si="284"/>
        <v>0</v>
      </c>
      <c r="Z49" s="1662"/>
      <c r="AA49" s="1626"/>
      <c r="AB49" s="1626"/>
      <c r="AC49" s="1660" t="str">
        <f t="shared" si="285"/>
        <v>-</v>
      </c>
      <c r="AD49" s="1678">
        <f>+$I49*'PAYMENT RATIO_RAW'!U$7</f>
        <v>0</v>
      </c>
      <c r="AE49" s="1654"/>
      <c r="AF49" s="1654">
        <f t="shared" si="286"/>
        <v>0</v>
      </c>
      <c r="AG49" s="1662"/>
      <c r="AH49" s="1626"/>
      <c r="AI49" s="1626"/>
      <c r="AJ49" s="1660" t="str">
        <f t="shared" si="287"/>
        <v>-</v>
      </c>
      <c r="AK49" s="1678">
        <f>+'PAYMENT RATIO_RAW'!$AB72*I49</f>
        <v>0</v>
      </c>
      <c r="AL49" s="1654"/>
      <c r="AM49" s="1654">
        <f t="shared" si="288"/>
        <v>0</v>
      </c>
      <c r="AN49" s="1662"/>
      <c r="AO49" s="1626"/>
      <c r="AP49" s="1626"/>
      <c r="AQ49" s="1660"/>
      <c r="AR49" s="1678">
        <f>+$I49*'PAYMENT RATIO_RAW'!AI$7</f>
        <v>0</v>
      </c>
      <c r="AS49" s="1654"/>
      <c r="AT49" s="1654">
        <f t="shared" si="289"/>
        <v>0</v>
      </c>
      <c r="AU49" s="1662"/>
      <c r="AV49" s="1626"/>
      <c r="AW49" s="1626"/>
      <c r="AX49" s="1660"/>
      <c r="AY49" s="1678">
        <f>+$I49*'PAYMENT RATIO_RAW'!AP$7</f>
        <v>0</v>
      </c>
      <c r="AZ49" s="1654"/>
      <c r="BA49" s="1654">
        <f t="shared" si="290"/>
        <v>0</v>
      </c>
      <c r="BB49" s="1662"/>
      <c r="BC49" s="1626"/>
      <c r="BD49" s="1626"/>
      <c r="BE49" s="1660" t="str">
        <f t="shared" si="291"/>
        <v>-</v>
      </c>
      <c r="BF49" s="1678">
        <f>+$I49*'PAYMENT RATIO_RAW'!AW$7</f>
        <v>0</v>
      </c>
      <c r="BG49" s="1654"/>
      <c r="BH49" s="1678">
        <f t="shared" si="292"/>
        <v>0</v>
      </c>
      <c r="BI49" s="1662"/>
      <c r="BJ49" s="1626"/>
      <c r="BK49" s="1626"/>
      <c r="BL49" s="1660" t="str">
        <f t="shared" si="293"/>
        <v>-</v>
      </c>
      <c r="BM49" s="1654">
        <f>+$I49*'PAYMENT RATIO_RAW'!BD$7</f>
        <v>0</v>
      </c>
      <c r="BN49" s="1654"/>
      <c r="BO49" s="1654">
        <f t="shared" si="294"/>
        <v>0</v>
      </c>
      <c r="BP49" s="1662"/>
      <c r="BQ49" s="1588"/>
      <c r="BR49" s="1587" t="b">
        <f>+P49+W49+AD49+AR49+AY49+BF49+BM49=I49</f>
        <v>1</v>
      </c>
      <c r="BS49" s="1587" t="b">
        <f t="shared" si="296"/>
        <v>1</v>
      </c>
      <c r="BT49" s="1587"/>
      <c r="BU49" s="401"/>
      <c r="BV49" s="401"/>
      <c r="BW49" s="401"/>
      <c r="BX49" s="401"/>
      <c r="BY49" s="401"/>
      <c r="BZ49" s="401"/>
      <c r="CA49" s="401"/>
      <c r="CB49" s="401"/>
      <c r="CC49" s="404"/>
      <c r="CD49" s="404"/>
    </row>
    <row r="50" spans="1:82" hidden="1">
      <c r="A50" s="1649"/>
      <c r="B50" s="2517"/>
      <c r="C50" s="2518"/>
      <c r="D50" s="2519"/>
      <c r="E50" s="2518"/>
      <c r="F50" s="1661" t="s">
        <v>128</v>
      </c>
      <c r="G50" s="1597">
        <f>+'PAYMENT RATIO_RAW'!F$8*'GM Batch1'!$D$47/1000</f>
        <v>0</v>
      </c>
      <c r="H50" s="1597">
        <f t="shared" ref="H50" si="297">+G50*10%</f>
        <v>0</v>
      </c>
      <c r="I50" s="1597">
        <f t="shared" si="279"/>
        <v>0</v>
      </c>
      <c r="J50" s="1661" t="str">
        <f t="shared" si="1"/>
        <v>-</v>
      </c>
      <c r="K50" s="1654">
        <f t="shared" si="2"/>
        <v>0</v>
      </c>
      <c r="L50" s="1654">
        <f t="shared" si="280"/>
        <v>0</v>
      </c>
      <c r="M50" s="1626"/>
      <c r="N50" s="1585"/>
      <c r="O50" s="1660" t="str">
        <f t="shared" si="281"/>
        <v>-</v>
      </c>
      <c r="P50" s="1654">
        <f>+$I50*'PAYMENT RATIO_RAW'!G$8</f>
        <v>0</v>
      </c>
      <c r="Q50" s="1654"/>
      <c r="R50" s="1654">
        <f t="shared" si="282"/>
        <v>0</v>
      </c>
      <c r="S50" s="1662"/>
      <c r="T50" s="1626"/>
      <c r="U50" s="1585"/>
      <c r="V50" s="1660" t="str">
        <f t="shared" si="283"/>
        <v>-</v>
      </c>
      <c r="W50" s="1678">
        <f>+$I50*'PAYMENT RATIO_RAW'!N$8</f>
        <v>0</v>
      </c>
      <c r="X50" s="1654"/>
      <c r="Y50" s="1654">
        <f t="shared" si="284"/>
        <v>0</v>
      </c>
      <c r="Z50" s="1662"/>
      <c r="AA50" s="1626"/>
      <c r="AB50" s="1585"/>
      <c r="AC50" s="1660" t="str">
        <f t="shared" si="285"/>
        <v>-</v>
      </c>
      <c r="AD50" s="1678">
        <f>+$I50*'PAYMENT RATIO_RAW'!U$8</f>
        <v>0</v>
      </c>
      <c r="AE50" s="1654"/>
      <c r="AF50" s="1654">
        <f t="shared" si="286"/>
        <v>0</v>
      </c>
      <c r="AG50" s="1662"/>
      <c r="AH50" s="1585"/>
      <c r="AI50" s="1585"/>
      <c r="AJ50" s="1660" t="str">
        <f t="shared" si="287"/>
        <v>-</v>
      </c>
      <c r="AK50" s="1678">
        <f>+'PAYMENT RATIO_RAW'!$AB73*I50</f>
        <v>0</v>
      </c>
      <c r="AL50" s="1654"/>
      <c r="AM50" s="1654">
        <f t="shared" si="288"/>
        <v>0</v>
      </c>
      <c r="AN50" s="1662"/>
      <c r="AO50" s="1585"/>
      <c r="AP50" s="1585"/>
      <c r="AQ50" s="1660"/>
      <c r="AR50" s="1678">
        <f>+$I50*'PAYMENT RATIO_RAW'!AI$8</f>
        <v>0</v>
      </c>
      <c r="AS50" s="1654"/>
      <c r="AT50" s="1654">
        <f t="shared" si="289"/>
        <v>0</v>
      </c>
      <c r="AU50" s="1662"/>
      <c r="AV50" s="1585"/>
      <c r="AW50" s="1585"/>
      <c r="AX50" s="1660"/>
      <c r="AY50" s="1678">
        <f>+$I50*'PAYMENT RATIO_RAW'!AP$8</f>
        <v>0</v>
      </c>
      <c r="AZ50" s="1654"/>
      <c r="BA50" s="1654">
        <f t="shared" si="290"/>
        <v>0</v>
      </c>
      <c r="BB50" s="1662"/>
      <c r="BC50" s="1585"/>
      <c r="BD50" s="1585"/>
      <c r="BE50" s="1660" t="str">
        <f t="shared" si="291"/>
        <v>-</v>
      </c>
      <c r="BF50" s="1678">
        <f>+$I50*'PAYMENT RATIO_RAW'!AW$8</f>
        <v>0</v>
      </c>
      <c r="BG50" s="1654"/>
      <c r="BH50" s="1678">
        <f t="shared" si="292"/>
        <v>0</v>
      </c>
      <c r="BI50" s="1662"/>
      <c r="BJ50" s="1585"/>
      <c r="BK50" s="1585"/>
      <c r="BL50" s="1660" t="str">
        <f t="shared" si="293"/>
        <v>-</v>
      </c>
      <c r="BM50" s="1654">
        <f>+$I50*'PAYMENT RATIO_RAW'!BD$8</f>
        <v>0</v>
      </c>
      <c r="BN50" s="1654"/>
      <c r="BO50" s="1654">
        <f t="shared" si="294"/>
        <v>0</v>
      </c>
      <c r="BP50" s="1662"/>
      <c r="BQ50" s="1588"/>
      <c r="BR50" s="1587" t="b">
        <f t="shared" ref="BR50:BR51" si="298">+P50+W50+AD50+AR50+AY50+BF50+BM50=I50</f>
        <v>1</v>
      </c>
      <c r="BS50" s="1587" t="b">
        <f t="shared" si="296"/>
        <v>1</v>
      </c>
      <c r="BT50" s="1587"/>
      <c r="BU50" s="401"/>
      <c r="BV50" s="401"/>
      <c r="BW50" s="401"/>
      <c r="BX50" s="401"/>
      <c r="BY50" s="401"/>
      <c r="BZ50" s="401"/>
      <c r="CA50" s="401"/>
      <c r="CB50" s="401"/>
      <c r="CC50" s="404"/>
      <c r="CD50" s="404"/>
    </row>
    <row r="51" spans="1:82" hidden="1">
      <c r="A51" s="1649"/>
      <c r="B51" s="2517"/>
      <c r="C51" s="2518"/>
      <c r="D51" s="2519"/>
      <c r="E51" s="2518"/>
      <c r="F51" s="1627" t="s">
        <v>129</v>
      </c>
      <c r="G51" s="1680">
        <f>+'PAYMENT RATIO_RAW'!F$9*'GM Batch1'!$D$47/1000</f>
        <v>0</v>
      </c>
      <c r="H51" s="1598">
        <f>+G51*0.1</f>
        <v>0</v>
      </c>
      <c r="I51" s="1598">
        <f>SUM(G51:H51)</f>
        <v>0</v>
      </c>
      <c r="J51" s="1627" t="str">
        <f t="shared" si="1"/>
        <v>-</v>
      </c>
      <c r="K51" s="1655">
        <f t="shared" si="2"/>
        <v>0</v>
      </c>
      <c r="L51" s="1655">
        <f t="shared" si="280"/>
        <v>0</v>
      </c>
      <c r="M51" s="1629"/>
      <c r="N51" s="1630"/>
      <c r="O51" s="1682"/>
      <c r="P51" s="1683">
        <f>+$I51*'PAYMENT RATIO_RAW'!G$9</f>
        <v>0</v>
      </c>
      <c r="Q51" s="1683"/>
      <c r="R51" s="1683">
        <f t="shared" si="282"/>
        <v>0</v>
      </c>
      <c r="S51" s="1630"/>
      <c r="T51" s="1629"/>
      <c r="U51" s="1630"/>
      <c r="V51" s="1682"/>
      <c r="W51" s="1678">
        <f>+$I51*'PAYMENT RATIO_RAW'!N$9</f>
        <v>0</v>
      </c>
      <c r="X51" s="1683"/>
      <c r="Y51" s="1683">
        <f t="shared" si="284"/>
        <v>0</v>
      </c>
      <c r="Z51" s="1630"/>
      <c r="AA51" s="1629"/>
      <c r="AB51" s="1630"/>
      <c r="AC51" s="1682"/>
      <c r="AD51" s="1678">
        <f>+$I51*'PAYMENT RATIO_RAW'!U$9</f>
        <v>0</v>
      </c>
      <c r="AE51" s="1683"/>
      <c r="AF51" s="1683">
        <f t="shared" si="286"/>
        <v>0</v>
      </c>
      <c r="AG51" s="1630"/>
      <c r="AH51" s="1629"/>
      <c r="AI51" s="1630"/>
      <c r="AJ51" s="1682"/>
      <c r="AK51" s="1678">
        <f>+'PAYMENT RATIO_RAW'!$AB74*I51</f>
        <v>0</v>
      </c>
      <c r="AL51" s="1683"/>
      <c r="AM51" s="1683"/>
      <c r="AN51" s="1630"/>
      <c r="AO51" s="1629"/>
      <c r="AP51" s="1630"/>
      <c r="AQ51" s="1682"/>
      <c r="AR51" s="1678">
        <f>+$I51*'PAYMENT RATIO_RAW'!AI$9</f>
        <v>0</v>
      </c>
      <c r="AS51" s="1683"/>
      <c r="AT51" s="1683"/>
      <c r="AU51" s="1630"/>
      <c r="AV51" s="1629"/>
      <c r="AW51" s="1630"/>
      <c r="AX51" s="1682"/>
      <c r="AY51" s="1678">
        <f>+$I51*'PAYMENT RATIO_RAW'!AP$9</f>
        <v>0</v>
      </c>
      <c r="AZ51" s="1683"/>
      <c r="BA51" s="1683"/>
      <c r="BB51" s="1630"/>
      <c r="BC51" s="1629"/>
      <c r="BD51" s="1630"/>
      <c r="BE51" s="1682" t="str">
        <f t="shared" si="291"/>
        <v>-</v>
      </c>
      <c r="BF51" s="1678">
        <f>+$I51*'PAYMENT RATIO_RAW'!AW$9</f>
        <v>0</v>
      </c>
      <c r="BG51" s="1683"/>
      <c r="BH51" s="1678">
        <f t="shared" si="292"/>
        <v>0</v>
      </c>
      <c r="BI51" s="1630"/>
      <c r="BJ51" s="1629"/>
      <c r="BK51" s="1630"/>
      <c r="BL51" s="1682" t="str">
        <f t="shared" si="293"/>
        <v>-</v>
      </c>
      <c r="BM51" s="1683">
        <f>+$I51*'PAYMENT RATIO_RAW'!BD$9</f>
        <v>0</v>
      </c>
      <c r="BN51" s="1683"/>
      <c r="BO51" s="1683">
        <f t="shared" si="294"/>
        <v>0</v>
      </c>
      <c r="BP51" s="1630"/>
      <c r="BQ51" s="1589"/>
      <c r="BR51" s="1591" t="b">
        <f t="shared" si="298"/>
        <v>1</v>
      </c>
      <c r="BS51" s="1592" t="b">
        <f t="shared" si="296"/>
        <v>1</v>
      </c>
      <c r="BT51" s="1592"/>
      <c r="BU51" s="401"/>
      <c r="BV51" s="401"/>
      <c r="BW51" s="401"/>
      <c r="BX51" s="401"/>
      <c r="BY51" s="401"/>
      <c r="BZ51" s="401"/>
      <c r="CA51" s="401"/>
      <c r="CB51" s="401"/>
      <c r="CC51" s="404"/>
      <c r="CD51" s="404"/>
    </row>
    <row r="52" spans="1:82">
      <c r="A52" s="1649"/>
      <c r="B52" s="2517"/>
      <c r="C52" s="2518"/>
      <c r="D52" s="2519"/>
      <c r="E52" s="2518"/>
      <c r="F52" s="419" t="s">
        <v>130</v>
      </c>
      <c r="G52" s="1628">
        <f>SUM(G47:G51)</f>
        <v>1626588600</v>
      </c>
      <c r="H52" s="1628">
        <f t="shared" ref="H52:I52" si="299">SUM(H47:H51)</f>
        <v>107689660</v>
      </c>
      <c r="I52" s="1628">
        <f t="shared" si="299"/>
        <v>1734278260</v>
      </c>
      <c r="J52" s="419">
        <f t="shared" si="1"/>
        <v>0.19687475065275858</v>
      </c>
      <c r="K52" s="1628">
        <f t="shared" ref="K52:L52" si="300">SUM(K47:K51)</f>
        <v>341435600</v>
      </c>
      <c r="L52" s="1628">
        <f t="shared" si="300"/>
        <v>1392842660</v>
      </c>
      <c r="M52" s="1631"/>
      <c r="N52" s="419"/>
      <c r="O52" s="1634">
        <f t="shared" ref="O52" si="301">+IFERROR(P52/$I52,"-")</f>
        <v>0.17432646592709986</v>
      </c>
      <c r="P52" s="1628">
        <f t="shared" ref="P52" si="302">SUM(P47:P51)</f>
        <v>302330600</v>
      </c>
      <c r="Q52" s="1628">
        <f t="shared" ref="Q52" si="303">SUM(Q47:Q51)</f>
        <v>302330600</v>
      </c>
      <c r="R52" s="1684">
        <f t="shared" ref="R52" si="304">+P52-Q52</f>
        <v>0</v>
      </c>
      <c r="S52" s="419"/>
      <c r="T52" s="1631"/>
      <c r="U52" s="419"/>
      <c r="V52" s="1634">
        <f t="shared" ref="V52" si="305">+IFERROR(W52/$I52,"-")</f>
        <v>2.2548284725658729E-2</v>
      </c>
      <c r="W52" s="1628">
        <f t="shared" ref="W52" si="306">SUM(W47:W51)</f>
        <v>39105000</v>
      </c>
      <c r="X52" s="1628">
        <f t="shared" ref="X52" si="307">SUM(X47:X51)</f>
        <v>39105000</v>
      </c>
      <c r="Y52" s="1684">
        <f t="shared" ref="Y52" si="308">+W52-X52</f>
        <v>0</v>
      </c>
      <c r="Z52" s="419"/>
      <c r="AA52" s="1631"/>
      <c r="AB52" s="419"/>
      <c r="AC52" s="1634">
        <f t="shared" ref="AC52" si="309">+IFERROR(AD52/$I52,"-")</f>
        <v>0.15811732541697204</v>
      </c>
      <c r="AD52" s="1628">
        <f t="shared" ref="AD52:AE52" si="310">SUM(AD47:AD51)</f>
        <v>274219440.00000006</v>
      </c>
      <c r="AE52" s="1628">
        <f t="shared" si="310"/>
        <v>0</v>
      </c>
      <c r="AF52" s="1684">
        <f t="shared" ref="AF52" si="311">+AD52-AE52</f>
        <v>274219440.00000006</v>
      </c>
      <c r="AG52" s="419"/>
      <c r="AH52" s="1631"/>
      <c r="AI52" s="419"/>
      <c r="AJ52" s="1634">
        <f t="shared" ref="AJ52" si="312">+IFERROR(AK52/$I52,"-")</f>
        <v>0</v>
      </c>
      <c r="AK52" s="1628">
        <f t="shared" ref="AK52:AL52" si="313">SUM(AK47:AK51)</f>
        <v>0</v>
      </c>
      <c r="AL52" s="1628">
        <f t="shared" si="313"/>
        <v>0</v>
      </c>
      <c r="AM52" s="1684">
        <f t="shared" ref="AM52" si="314">+AK52-AL52</f>
        <v>0</v>
      </c>
      <c r="AN52" s="419"/>
      <c r="AO52" s="1631"/>
      <c r="AP52" s="419"/>
      <c r="AQ52" s="1634">
        <f t="shared" ref="AQ52" si="315">+IFERROR(AR52/$I52,"-")</f>
        <v>0.35023771790808239</v>
      </c>
      <c r="AR52" s="1628">
        <f t="shared" ref="AR52" si="316">SUM(AR47:AR51)</f>
        <v>607409660</v>
      </c>
      <c r="AS52" s="1628">
        <f t="shared" ref="AS52" si="317">SUM(AS47:AS51)</f>
        <v>0</v>
      </c>
      <c r="AT52" s="1684">
        <f t="shared" ref="AT52" si="318">+AR52-AS52</f>
        <v>607409660</v>
      </c>
      <c r="AU52" s="419"/>
      <c r="AV52" s="1631"/>
      <c r="AW52" s="419"/>
      <c r="AX52" s="1634">
        <f t="shared" ref="AX52" si="319">+IFERROR(AY52/$I52,"-")</f>
        <v>0</v>
      </c>
      <c r="AY52" s="1628">
        <f t="shared" ref="AY52" si="320">SUM(AY47:AY51)</f>
        <v>0</v>
      </c>
      <c r="AZ52" s="1628">
        <f t="shared" ref="AZ52" si="321">SUM(AZ47:AZ51)</f>
        <v>0</v>
      </c>
      <c r="BA52" s="1684">
        <f t="shared" ref="BA52" si="322">+AY52-AZ52</f>
        <v>0</v>
      </c>
      <c r="BB52" s="419"/>
      <c r="BC52" s="1631"/>
      <c r="BD52" s="419"/>
      <c r="BE52" s="1634">
        <f t="shared" ref="BE52" si="323">+IFERROR(BF52/$I52,"-")</f>
        <v>0.1664025356576862</v>
      </c>
      <c r="BF52" s="1628">
        <f t="shared" ref="BF52" si="324">SUM(BF47:BF51)</f>
        <v>288588300</v>
      </c>
      <c r="BG52" s="1628">
        <f t="shared" ref="BG52" si="325">SUM(BG47:BG51)</f>
        <v>0</v>
      </c>
      <c r="BH52" s="1684">
        <f t="shared" ref="BH52" si="326">+BF52-BG52</f>
        <v>288588300</v>
      </c>
      <c r="BI52" s="419"/>
      <c r="BJ52" s="1631"/>
      <c r="BK52" s="419"/>
      <c r="BL52" s="1634">
        <f t="shared" si="16"/>
        <v>0.12836767036450078</v>
      </c>
      <c r="BM52" s="1628">
        <f t="shared" ref="BM52:BN52" si="327">SUM(BM47:BM51)</f>
        <v>222625260</v>
      </c>
      <c r="BN52" s="1628">
        <f t="shared" si="327"/>
        <v>0</v>
      </c>
      <c r="BO52" s="1684">
        <f t="shared" ref="BO52" si="328">+BM52-BN52</f>
        <v>222625260</v>
      </c>
      <c r="BP52" s="419"/>
      <c r="BQ52" s="1589"/>
      <c r="BR52" s="1632"/>
      <c r="BS52" s="1633"/>
      <c r="BT52" s="1633"/>
      <c r="BU52" s="401"/>
      <c r="BV52" s="401"/>
      <c r="BW52" s="401"/>
      <c r="BX52" s="401"/>
      <c r="BY52" s="401"/>
      <c r="BZ52" s="401"/>
      <c r="CA52" s="401"/>
      <c r="CB52" s="401"/>
      <c r="CC52" s="404"/>
      <c r="CD52" s="404"/>
    </row>
    <row r="53" spans="1:82">
      <c r="A53" s="1649"/>
      <c r="B53" s="2517">
        <v>8</v>
      </c>
      <c r="C53" s="2518" t="s">
        <v>217</v>
      </c>
      <c r="D53" s="2519">
        <v>999.44</v>
      </c>
      <c r="E53" s="2518" t="s">
        <v>124</v>
      </c>
      <c r="F53" s="1659" t="s">
        <v>125</v>
      </c>
      <c r="G53" s="1596">
        <f>+'PAYMENT RATIO_RAW'!F$5*$D$53/1000+27500000*D$53/1000</f>
        <v>1076896600</v>
      </c>
      <c r="H53" s="1596">
        <f>+G53*10%</f>
        <v>107689660</v>
      </c>
      <c r="I53" s="1596">
        <f t="shared" ref="I53:I56" si="329">SUM(G53:H53)</f>
        <v>1184586260</v>
      </c>
      <c r="J53" s="1676">
        <f t="shared" si="1"/>
        <v>0</v>
      </c>
      <c r="K53" s="1678">
        <f t="shared" si="2"/>
        <v>0</v>
      </c>
      <c r="L53" s="1678">
        <f>+I53-K53</f>
        <v>1184586260</v>
      </c>
      <c r="M53" s="1625"/>
      <c r="N53" s="1586"/>
      <c r="O53" s="1677"/>
      <c r="P53" s="1654">
        <f>+$I53*'PAYMENT RATIO_RAW'!G$5</f>
        <v>0</v>
      </c>
      <c r="Q53" s="1678"/>
      <c r="R53" s="1678">
        <f>+P53-Q53</f>
        <v>0</v>
      </c>
      <c r="S53" s="1679"/>
      <c r="T53" s="1625"/>
      <c r="U53" s="1586"/>
      <c r="V53" s="1677"/>
      <c r="W53" s="1678">
        <f>+$I53*'PAYMENT RATIO_RAW'!N$5</f>
        <v>0</v>
      </c>
      <c r="X53" s="1678"/>
      <c r="Y53" s="1678">
        <f>+W53-X53</f>
        <v>0</v>
      </c>
      <c r="Z53" s="1679"/>
      <c r="AA53" s="1625">
        <f>+EDATE(AH53,-2)</f>
        <v>46052</v>
      </c>
      <c r="AB53" s="1585"/>
      <c r="AC53" s="1677">
        <f>+IFERROR(AD53/$I53,"-")</f>
        <v>0.19489559164733183</v>
      </c>
      <c r="AD53" s="1678">
        <f>+'PAYMENT RATIO_RAW'!$U$60*$D53*1050000000/1000*1.1</f>
        <v>230870640.00000006</v>
      </c>
      <c r="AE53" s="1678"/>
      <c r="AF53" s="1678">
        <f>+AD53-AE53</f>
        <v>230870640.00000006</v>
      </c>
      <c r="AG53" s="1679"/>
      <c r="AH53" s="1625">
        <f>+EDATE(AO53,-1)</f>
        <v>46111</v>
      </c>
      <c r="AI53" s="1585"/>
      <c r="AJ53" s="1677">
        <f>+IFERROR(AK53/$I53,"-")</f>
        <v>0</v>
      </c>
      <c r="AK53" s="1678">
        <f>+'PAYMENT RATIO_RAW'!$AB70*I53</f>
        <v>0</v>
      </c>
      <c r="AL53" s="1678"/>
      <c r="AM53" s="1678">
        <f>+AK53-AL53</f>
        <v>0</v>
      </c>
      <c r="AN53" s="1679"/>
      <c r="AO53" s="1625">
        <f>+EDATE(AV53,-1)</f>
        <v>46142</v>
      </c>
      <c r="AP53" s="1586"/>
      <c r="AQ53" s="1677">
        <f>+IFERROR(AR53/$I53,"-")</f>
        <v>0.51276102088167053</v>
      </c>
      <c r="AR53" s="1678">
        <f>+'PAYMENT RATIO_RAW'!AI$60*$D53*1050000000/1000*1.1+27500000*$D53/1000*1.1</f>
        <v>607409660</v>
      </c>
      <c r="AS53" s="1678"/>
      <c r="AT53" s="1678">
        <f>+AR53-AS53</f>
        <v>607409660</v>
      </c>
      <c r="AU53" s="1679"/>
      <c r="AV53" s="1625">
        <f>+EDATE(BC53,-1)</f>
        <v>46172</v>
      </c>
      <c r="AW53" s="1625"/>
      <c r="AX53" s="1677">
        <f>+IFERROR(AY53/$I53,"-")</f>
        <v>0</v>
      </c>
      <c r="AY53" s="1678">
        <f>+'PAYMENT RATIO_RAW'!AP70*$I53</f>
        <v>0</v>
      </c>
      <c r="AZ53" s="1678"/>
      <c r="BA53" s="1678">
        <f>+AY53-AZ53</f>
        <v>0</v>
      </c>
      <c r="BB53" s="1679"/>
      <c r="BC53" s="1625">
        <f>+EDATE(BJ53,-1)</f>
        <v>46203</v>
      </c>
      <c r="BD53" s="1625"/>
      <c r="BE53" s="1677">
        <f>+IFERROR(BF53/$I53,"-")</f>
        <v>0.24361948955916474</v>
      </c>
      <c r="BF53" s="1678">
        <f>+'PAYMENT RATIO_RAW'!AW$60*$D53*1050000000/1000*1.1</f>
        <v>288588300</v>
      </c>
      <c r="BG53" s="1678"/>
      <c r="BH53" s="1678">
        <f>+BF53-BG53</f>
        <v>288588300</v>
      </c>
      <c r="BI53" s="1679"/>
      <c r="BJ53" s="1586">
        <v>46233</v>
      </c>
      <c r="BK53" s="1625"/>
      <c r="BL53" s="1677">
        <f>+IFERROR(BM53/$I53,"-")</f>
        <v>4.8723897911832958E-2</v>
      </c>
      <c r="BM53" s="1678">
        <f>+'PAYMENT RATIO_RAW'!BD$60*$D53*1050000000/1000*1.1</f>
        <v>57717660.000000015</v>
      </c>
      <c r="BN53" s="1678"/>
      <c r="BO53" s="1678">
        <f>+BM53-BN53</f>
        <v>57717660.000000015</v>
      </c>
      <c r="BP53" s="1679"/>
      <c r="BQ53" s="1588"/>
      <c r="BR53" s="1587" t="b">
        <f>+P53+W53+AD53+AK53+AR53+AY53+BF53+BM53=I53</f>
        <v>1</v>
      </c>
      <c r="BS53" s="1587" t="b">
        <f>+Q53+X53+AE53+AS53+AZ53+BG53+BN53=K53</f>
        <v>1</v>
      </c>
      <c r="BT53" s="1587"/>
      <c r="BU53" s="401"/>
      <c r="BV53" s="401"/>
      <c r="BW53" s="401"/>
      <c r="BX53" s="401"/>
      <c r="BY53" s="401"/>
      <c r="BZ53" s="401"/>
      <c r="CA53" s="401"/>
      <c r="CB53" s="401"/>
      <c r="CC53" s="404"/>
      <c r="CD53" s="404"/>
    </row>
    <row r="54" spans="1:82" ht="13.5">
      <c r="A54" s="1649"/>
      <c r="B54" s="2517"/>
      <c r="C54" s="2518"/>
      <c r="D54" s="2519"/>
      <c r="E54" s="2518"/>
      <c r="F54" s="1872" t="s">
        <v>126</v>
      </c>
      <c r="G54" s="1873">
        <f>+'PAYMENT RATIO_RAW'!F$6*'GM Batch1'!$D$53/1000</f>
        <v>549692000</v>
      </c>
      <c r="H54" s="1873"/>
      <c r="I54" s="1873">
        <f t="shared" si="329"/>
        <v>549692000</v>
      </c>
      <c r="J54" s="1872">
        <f t="shared" si="1"/>
        <v>0.6211398383094533</v>
      </c>
      <c r="K54" s="1874">
        <f t="shared" si="2"/>
        <v>341435600</v>
      </c>
      <c r="L54" s="1874">
        <f t="shared" ref="L54:L57" si="330">+I54-K54</f>
        <v>208256400</v>
      </c>
      <c r="M54" s="1875">
        <v>45450</v>
      </c>
      <c r="N54" s="1875">
        <v>45450</v>
      </c>
      <c r="O54" s="1876">
        <f t="shared" ref="O54:O56" si="331">+IFERROR(P54/$I54,"-")</f>
        <v>0.55000000000000004</v>
      </c>
      <c r="P54" s="1874">
        <f>+$I54*'PAYMENT RATIO_RAW'!G$6</f>
        <v>302330600</v>
      </c>
      <c r="Q54" s="1874">
        <v>302330600</v>
      </c>
      <c r="R54" s="1874">
        <f t="shared" ref="R54:R57" si="332">+P54-Q54</f>
        <v>0</v>
      </c>
      <c r="S54" s="1877"/>
      <c r="T54" s="1875">
        <v>45456</v>
      </c>
      <c r="U54" s="1875">
        <v>45456</v>
      </c>
      <c r="V54" s="1876">
        <f t="shared" ref="V54:V56" si="333">+IFERROR(W54/$I54,"-")</f>
        <v>7.1139838309453293E-2</v>
      </c>
      <c r="W54" s="1878">
        <f>+$I54*'PAYMENT RATIO_RAW'!N$6-43348800</f>
        <v>39105000</v>
      </c>
      <c r="X54" s="1874">
        <v>39105000</v>
      </c>
      <c r="Y54" s="1874">
        <f t="shared" ref="Y54:Y57" si="334">+W54-X54</f>
        <v>0</v>
      </c>
      <c r="Z54" s="1879"/>
      <c r="AA54" s="1875">
        <v>46022</v>
      </c>
      <c r="AB54" s="1875"/>
      <c r="AC54" s="1876">
        <f t="shared" ref="AC54:AC56" si="335">+IFERROR(AD54/$I54,"-")</f>
        <v>7.8860161690546701E-2</v>
      </c>
      <c r="AD54" s="1878">
        <f>+$I54*'PAYMENT RATIO_RAW'!U$6+43348800</f>
        <v>43348800</v>
      </c>
      <c r="AE54" s="1874"/>
      <c r="AF54" s="1874">
        <f t="shared" ref="AF54:AF57" si="336">+AD54-AE54</f>
        <v>43348800</v>
      </c>
      <c r="AG54" s="1877"/>
      <c r="AH54" s="1875"/>
      <c r="AI54" s="1875"/>
      <c r="AJ54" s="1876">
        <f t="shared" ref="AJ54:AJ56" si="337">+IFERROR(AK54/$I54,"-")</f>
        <v>0</v>
      </c>
      <c r="AK54" s="1878">
        <f>+'PAYMENT RATIO_RAW'!$AB71*I54</f>
        <v>0</v>
      </c>
      <c r="AL54" s="1874"/>
      <c r="AM54" s="1874">
        <f t="shared" ref="AM54:AM56" si="338">+AK54-AL54</f>
        <v>0</v>
      </c>
      <c r="AN54" s="1877"/>
      <c r="AO54" s="1875"/>
      <c r="AP54" s="1875"/>
      <c r="AQ54" s="1876"/>
      <c r="AR54" s="1878">
        <f>+$I54*'PAYMENT RATIO_RAW'!AI$6</f>
        <v>0</v>
      </c>
      <c r="AS54" s="1874"/>
      <c r="AT54" s="1874">
        <f t="shared" ref="AT54:AT56" si="339">+AR54-AS54</f>
        <v>0</v>
      </c>
      <c r="AU54" s="1877"/>
      <c r="AV54" s="1875"/>
      <c r="AW54" s="1875"/>
      <c r="AX54" s="1876"/>
      <c r="AY54" s="1878">
        <f>+$I54*'PAYMENT RATIO_RAW'!AP$6</f>
        <v>0</v>
      </c>
      <c r="AZ54" s="1874"/>
      <c r="BA54" s="1874">
        <f t="shared" ref="BA54:BA56" si="340">+AY54-AZ54</f>
        <v>0</v>
      </c>
      <c r="BB54" s="1877"/>
      <c r="BC54" s="1875"/>
      <c r="BD54" s="1875"/>
      <c r="BE54" s="1876">
        <f t="shared" ref="BE54:BE57" si="341">+IFERROR(BF54/$I54,"-")</f>
        <v>0</v>
      </c>
      <c r="BF54" s="1878">
        <f>+$I54*'PAYMENT RATIO_RAW'!AW$6</f>
        <v>0</v>
      </c>
      <c r="BG54" s="1874"/>
      <c r="BH54" s="1878">
        <f t="shared" ref="BH54:BH57" si="342">+BF54-BG54</f>
        <v>0</v>
      </c>
      <c r="BI54" s="1877"/>
      <c r="BJ54" s="1875">
        <f>+BJ53</f>
        <v>46233</v>
      </c>
      <c r="BK54" s="1875"/>
      <c r="BL54" s="1876">
        <f t="shared" ref="BL54:BL57" si="343">+IFERROR(BM54/$I54,"-")</f>
        <v>0.3</v>
      </c>
      <c r="BM54" s="1874">
        <f>+$I54*'PAYMENT RATIO_RAW'!BD$6</f>
        <v>164907600</v>
      </c>
      <c r="BN54" s="1874"/>
      <c r="BO54" s="1874">
        <f t="shared" ref="BO54:BO57" si="344">+BM54-BN54</f>
        <v>164907600</v>
      </c>
      <c r="BP54" s="1877"/>
      <c r="BQ54" s="1588"/>
      <c r="BR54" s="1587" t="b">
        <f t="shared" ref="BR54" si="345">+P54+W54+AD54+AR54+AY54+BF54+BM54=I54</f>
        <v>1</v>
      </c>
      <c r="BS54" s="1587" t="b">
        <f t="shared" ref="BS54:BS57" si="346">+Q54+X54+AE54+AS54+AZ54+BG54+BN54=K54</f>
        <v>1</v>
      </c>
      <c r="BT54" s="1587" t="b">
        <f>+BF54+BF56+AY54+AY56+AR54+AR56+AD54+AD56+W54+W56+P54+P56+BM54+BM56=('PAYMENT RATIO_RAW'!$F$6+'PAYMENT RATIO_RAW'!$F$8)*D53/1000</f>
        <v>1</v>
      </c>
      <c r="BU54" s="401"/>
      <c r="BV54" s="401"/>
      <c r="BW54" s="401"/>
      <c r="BX54" s="401"/>
      <c r="BY54" s="401"/>
      <c r="BZ54" s="401"/>
      <c r="CA54" s="401"/>
      <c r="CB54" s="401"/>
      <c r="CC54" s="404"/>
      <c r="CD54" s="404"/>
    </row>
    <row r="55" spans="1:82" hidden="1">
      <c r="A55" s="1649"/>
      <c r="B55" s="2517"/>
      <c r="C55" s="2518"/>
      <c r="D55" s="2519"/>
      <c r="E55" s="2518"/>
      <c r="F55" s="1661" t="s">
        <v>127</v>
      </c>
      <c r="G55" s="1597">
        <f>+'PAYMENT RATIO_RAW'!F$7*'GM Batch1'!$D$53/1000</f>
        <v>0</v>
      </c>
      <c r="H55" s="1597"/>
      <c r="I55" s="1597">
        <f t="shared" si="329"/>
        <v>0</v>
      </c>
      <c r="J55" s="1661" t="str">
        <f t="shared" si="1"/>
        <v>-</v>
      </c>
      <c r="K55" s="1654">
        <f t="shared" si="2"/>
        <v>0</v>
      </c>
      <c r="L55" s="1654">
        <f t="shared" si="330"/>
        <v>0</v>
      </c>
      <c r="M55" s="1626"/>
      <c r="N55" s="1626"/>
      <c r="O55" s="1660" t="str">
        <f t="shared" si="331"/>
        <v>-</v>
      </c>
      <c r="P55" s="1654">
        <f>+$I55*'PAYMENT RATIO_RAW'!G$7</f>
        <v>0</v>
      </c>
      <c r="Q55" s="1654"/>
      <c r="R55" s="1654">
        <f t="shared" si="332"/>
        <v>0</v>
      </c>
      <c r="S55" s="1662"/>
      <c r="T55" s="1626"/>
      <c r="U55" s="1626"/>
      <c r="V55" s="1660" t="str">
        <f t="shared" si="333"/>
        <v>-</v>
      </c>
      <c r="W55" s="1678">
        <f>+$I55*'PAYMENT RATIO_RAW'!N$7</f>
        <v>0</v>
      </c>
      <c r="X55" s="1654"/>
      <c r="Y55" s="1654">
        <f t="shared" si="334"/>
        <v>0</v>
      </c>
      <c r="Z55" s="1662"/>
      <c r="AA55" s="1626"/>
      <c r="AB55" s="1626"/>
      <c r="AC55" s="1660" t="str">
        <f t="shared" si="335"/>
        <v>-</v>
      </c>
      <c r="AD55" s="1678">
        <f>+$I55*'PAYMENT RATIO_RAW'!U$7</f>
        <v>0</v>
      </c>
      <c r="AE55" s="1654"/>
      <c r="AF55" s="1654">
        <f t="shared" si="336"/>
        <v>0</v>
      </c>
      <c r="AG55" s="1662"/>
      <c r="AH55" s="1626"/>
      <c r="AI55" s="1626"/>
      <c r="AJ55" s="1660" t="str">
        <f t="shared" si="337"/>
        <v>-</v>
      </c>
      <c r="AK55" s="1678">
        <f>+'PAYMENT RATIO_RAW'!$AB72*I55</f>
        <v>0</v>
      </c>
      <c r="AL55" s="1654"/>
      <c r="AM55" s="1654">
        <f t="shared" si="338"/>
        <v>0</v>
      </c>
      <c r="AN55" s="1662"/>
      <c r="AO55" s="1626"/>
      <c r="AP55" s="1626"/>
      <c r="AQ55" s="1660"/>
      <c r="AR55" s="1678">
        <f>+$I55*'PAYMENT RATIO_RAW'!AI$7</f>
        <v>0</v>
      </c>
      <c r="AS55" s="1654"/>
      <c r="AT55" s="1654">
        <f t="shared" si="339"/>
        <v>0</v>
      </c>
      <c r="AU55" s="1662"/>
      <c r="AV55" s="1626"/>
      <c r="AW55" s="1626"/>
      <c r="AX55" s="1660"/>
      <c r="AY55" s="1678">
        <f>+$I55*'PAYMENT RATIO_RAW'!AP$7</f>
        <v>0</v>
      </c>
      <c r="AZ55" s="1654"/>
      <c r="BA55" s="1654">
        <f t="shared" si="340"/>
        <v>0</v>
      </c>
      <c r="BB55" s="1662"/>
      <c r="BC55" s="1626"/>
      <c r="BD55" s="1626"/>
      <c r="BE55" s="1660" t="str">
        <f t="shared" si="341"/>
        <v>-</v>
      </c>
      <c r="BF55" s="1678">
        <f>+$I55*'PAYMENT RATIO_RAW'!AW$7</f>
        <v>0</v>
      </c>
      <c r="BG55" s="1654"/>
      <c r="BH55" s="1678">
        <f t="shared" si="342"/>
        <v>0</v>
      </c>
      <c r="BI55" s="1662"/>
      <c r="BJ55" s="1626"/>
      <c r="BK55" s="1626"/>
      <c r="BL55" s="1660" t="str">
        <f t="shared" si="343"/>
        <v>-</v>
      </c>
      <c r="BM55" s="1654">
        <f>+$I55*'PAYMENT RATIO_RAW'!BD$7</f>
        <v>0</v>
      </c>
      <c r="BN55" s="1654"/>
      <c r="BO55" s="1654">
        <f t="shared" si="344"/>
        <v>0</v>
      </c>
      <c r="BP55" s="1662"/>
      <c r="BQ55" s="1588"/>
      <c r="BR55" s="1587" t="b">
        <f>+P55+W55+AD55+AR55+AY55+BF55+BM55=I55</f>
        <v>1</v>
      </c>
      <c r="BS55" s="1587" t="b">
        <f t="shared" si="346"/>
        <v>1</v>
      </c>
      <c r="BT55" s="1587"/>
      <c r="BU55" s="401"/>
      <c r="BV55" s="401"/>
      <c r="BW55" s="401"/>
      <c r="BX55" s="401"/>
      <c r="BY55" s="401"/>
      <c r="BZ55" s="401"/>
      <c r="CA55" s="401"/>
      <c r="CB55" s="401"/>
      <c r="CC55" s="404"/>
      <c r="CD55" s="404"/>
    </row>
    <row r="56" spans="1:82" hidden="1">
      <c r="A56" s="1649"/>
      <c r="B56" s="2517"/>
      <c r="C56" s="2518"/>
      <c r="D56" s="2519"/>
      <c r="E56" s="2518"/>
      <c r="F56" s="1661" t="s">
        <v>128</v>
      </c>
      <c r="G56" s="1597">
        <f>+'PAYMENT RATIO_RAW'!F$8*'GM Batch1'!$D$53/1000</f>
        <v>0</v>
      </c>
      <c r="H56" s="1597">
        <f t="shared" ref="H56" si="347">+G56*10%</f>
        <v>0</v>
      </c>
      <c r="I56" s="1597">
        <f t="shared" si="329"/>
        <v>0</v>
      </c>
      <c r="J56" s="1661" t="str">
        <f t="shared" si="1"/>
        <v>-</v>
      </c>
      <c r="K56" s="1654">
        <f t="shared" si="2"/>
        <v>0</v>
      </c>
      <c r="L56" s="1654">
        <f t="shared" si="330"/>
        <v>0</v>
      </c>
      <c r="M56" s="1626"/>
      <c r="N56" s="1585"/>
      <c r="O56" s="1660" t="str">
        <f t="shared" si="331"/>
        <v>-</v>
      </c>
      <c r="P56" s="1654">
        <f>+$I56*'PAYMENT RATIO_RAW'!G$8</f>
        <v>0</v>
      </c>
      <c r="Q56" s="1654"/>
      <c r="R56" s="1654">
        <f t="shared" si="332"/>
        <v>0</v>
      </c>
      <c r="S56" s="1662"/>
      <c r="T56" s="1626"/>
      <c r="U56" s="1585"/>
      <c r="V56" s="1660" t="str">
        <f t="shared" si="333"/>
        <v>-</v>
      </c>
      <c r="W56" s="1678">
        <f>+$I56*'PAYMENT RATIO_RAW'!N$8</f>
        <v>0</v>
      </c>
      <c r="X56" s="1654"/>
      <c r="Y56" s="1654">
        <f t="shared" si="334"/>
        <v>0</v>
      </c>
      <c r="Z56" s="1662"/>
      <c r="AA56" s="1626"/>
      <c r="AB56" s="1585"/>
      <c r="AC56" s="1660" t="str">
        <f t="shared" si="335"/>
        <v>-</v>
      </c>
      <c r="AD56" s="1678">
        <f>+$I56*'PAYMENT RATIO_RAW'!U$8</f>
        <v>0</v>
      </c>
      <c r="AE56" s="1654"/>
      <c r="AF56" s="1654">
        <f t="shared" si="336"/>
        <v>0</v>
      </c>
      <c r="AG56" s="1662"/>
      <c r="AH56" s="1585"/>
      <c r="AI56" s="1585"/>
      <c r="AJ56" s="1660" t="str">
        <f t="shared" si="337"/>
        <v>-</v>
      </c>
      <c r="AK56" s="1678">
        <f>+'PAYMENT RATIO_RAW'!$AB73*I56</f>
        <v>0</v>
      </c>
      <c r="AL56" s="1654"/>
      <c r="AM56" s="1654">
        <f t="shared" si="338"/>
        <v>0</v>
      </c>
      <c r="AN56" s="1662"/>
      <c r="AO56" s="1585"/>
      <c r="AP56" s="1585"/>
      <c r="AQ56" s="1660"/>
      <c r="AR56" s="1678">
        <f>+$I56*'PAYMENT RATIO_RAW'!AI$8</f>
        <v>0</v>
      </c>
      <c r="AS56" s="1654"/>
      <c r="AT56" s="1654">
        <f t="shared" si="339"/>
        <v>0</v>
      </c>
      <c r="AU56" s="1662"/>
      <c r="AV56" s="1585"/>
      <c r="AW56" s="1585"/>
      <c r="AX56" s="1660"/>
      <c r="AY56" s="1678">
        <f>+$I56*'PAYMENT RATIO_RAW'!AP$8</f>
        <v>0</v>
      </c>
      <c r="AZ56" s="1654"/>
      <c r="BA56" s="1654">
        <f t="shared" si="340"/>
        <v>0</v>
      </c>
      <c r="BB56" s="1662"/>
      <c r="BC56" s="1585"/>
      <c r="BD56" s="1585"/>
      <c r="BE56" s="1660" t="str">
        <f t="shared" si="341"/>
        <v>-</v>
      </c>
      <c r="BF56" s="1678">
        <f>+$I56*'PAYMENT RATIO_RAW'!AW$8</f>
        <v>0</v>
      </c>
      <c r="BG56" s="1654"/>
      <c r="BH56" s="1678">
        <f t="shared" si="342"/>
        <v>0</v>
      </c>
      <c r="BI56" s="1662"/>
      <c r="BJ56" s="1585"/>
      <c r="BK56" s="1585"/>
      <c r="BL56" s="1660" t="str">
        <f t="shared" si="343"/>
        <v>-</v>
      </c>
      <c r="BM56" s="1654">
        <f>+$I56*'PAYMENT RATIO_RAW'!BD$8</f>
        <v>0</v>
      </c>
      <c r="BN56" s="1654"/>
      <c r="BO56" s="1654">
        <f t="shared" si="344"/>
        <v>0</v>
      </c>
      <c r="BP56" s="1662"/>
      <c r="BQ56" s="1588"/>
      <c r="BR56" s="1587" t="b">
        <f t="shared" ref="BR56:BR57" si="348">+P56+W56+AD56+AR56+AY56+BF56+BM56=I56</f>
        <v>1</v>
      </c>
      <c r="BS56" s="1587" t="b">
        <f t="shared" si="346"/>
        <v>1</v>
      </c>
      <c r="BT56" s="1587"/>
      <c r="BU56" s="401"/>
      <c r="BV56" s="401"/>
      <c r="BW56" s="401"/>
      <c r="BX56" s="401"/>
      <c r="BY56" s="401"/>
      <c r="BZ56" s="401"/>
      <c r="CA56" s="401"/>
      <c r="CB56" s="401"/>
      <c r="CC56" s="404"/>
      <c r="CD56" s="404"/>
    </row>
    <row r="57" spans="1:82" hidden="1">
      <c r="A57" s="1649"/>
      <c r="B57" s="2517"/>
      <c r="C57" s="2518"/>
      <c r="D57" s="2519"/>
      <c r="E57" s="2518"/>
      <c r="F57" s="1627" t="s">
        <v>129</v>
      </c>
      <c r="G57" s="1680">
        <f>+'PAYMENT RATIO_RAW'!F$9*'GM Batch1'!$D$53/1000</f>
        <v>0</v>
      </c>
      <c r="H57" s="1598">
        <f>+G57*0.1</f>
        <v>0</v>
      </c>
      <c r="I57" s="1598">
        <f>SUM(G57:H57)</f>
        <v>0</v>
      </c>
      <c r="J57" s="1627" t="str">
        <f t="shared" si="1"/>
        <v>-</v>
      </c>
      <c r="K57" s="1655">
        <f t="shared" si="2"/>
        <v>0</v>
      </c>
      <c r="L57" s="1655">
        <f t="shared" si="330"/>
        <v>0</v>
      </c>
      <c r="M57" s="1629"/>
      <c r="N57" s="1630"/>
      <c r="O57" s="1682"/>
      <c r="P57" s="1683">
        <f>+$I57*'PAYMENT RATIO_RAW'!G$9</f>
        <v>0</v>
      </c>
      <c r="Q57" s="1683"/>
      <c r="R57" s="1683">
        <f t="shared" si="332"/>
        <v>0</v>
      </c>
      <c r="S57" s="1630"/>
      <c r="T57" s="1629"/>
      <c r="U57" s="1630"/>
      <c r="V57" s="1682"/>
      <c r="W57" s="1678">
        <f>+$I57*'PAYMENT RATIO_RAW'!N$9</f>
        <v>0</v>
      </c>
      <c r="X57" s="1683"/>
      <c r="Y57" s="1683">
        <f t="shared" si="334"/>
        <v>0</v>
      </c>
      <c r="Z57" s="1630"/>
      <c r="AA57" s="1629"/>
      <c r="AB57" s="1630"/>
      <c r="AC57" s="1682"/>
      <c r="AD57" s="1678">
        <f>+$I57*'PAYMENT RATIO_RAW'!U$9</f>
        <v>0</v>
      </c>
      <c r="AE57" s="1683"/>
      <c r="AF57" s="1683">
        <f t="shared" si="336"/>
        <v>0</v>
      </c>
      <c r="AG57" s="1630"/>
      <c r="AH57" s="1629"/>
      <c r="AI57" s="1630"/>
      <c r="AJ57" s="1682"/>
      <c r="AK57" s="1678">
        <f>+'PAYMENT RATIO_RAW'!$AB74*I57</f>
        <v>0</v>
      </c>
      <c r="AL57" s="1683"/>
      <c r="AM57" s="1683"/>
      <c r="AN57" s="1630"/>
      <c r="AO57" s="1629"/>
      <c r="AP57" s="1630"/>
      <c r="AQ57" s="1682"/>
      <c r="AR57" s="1678">
        <f>+$I57*'PAYMENT RATIO_RAW'!AI$9</f>
        <v>0</v>
      </c>
      <c r="AS57" s="1683"/>
      <c r="AT57" s="1683"/>
      <c r="AU57" s="1630"/>
      <c r="AV57" s="1629"/>
      <c r="AW57" s="1630"/>
      <c r="AX57" s="1682"/>
      <c r="AY57" s="1678">
        <f>+$I57*'PAYMENT RATIO_RAW'!AP$9</f>
        <v>0</v>
      </c>
      <c r="AZ57" s="1683"/>
      <c r="BA57" s="1683"/>
      <c r="BB57" s="1630"/>
      <c r="BC57" s="1629"/>
      <c r="BD57" s="1630"/>
      <c r="BE57" s="1682" t="str">
        <f t="shared" si="341"/>
        <v>-</v>
      </c>
      <c r="BF57" s="1678">
        <f>+$I57*'PAYMENT RATIO_RAW'!AW$9</f>
        <v>0</v>
      </c>
      <c r="BG57" s="1683"/>
      <c r="BH57" s="1678">
        <f t="shared" si="342"/>
        <v>0</v>
      </c>
      <c r="BI57" s="1630"/>
      <c r="BJ57" s="1629"/>
      <c r="BK57" s="1630"/>
      <c r="BL57" s="1682" t="str">
        <f t="shared" si="343"/>
        <v>-</v>
      </c>
      <c r="BM57" s="1683">
        <f>+$I57*'PAYMENT RATIO_RAW'!BD$9</f>
        <v>0</v>
      </c>
      <c r="BN57" s="1683"/>
      <c r="BO57" s="1683">
        <f t="shared" si="344"/>
        <v>0</v>
      </c>
      <c r="BP57" s="1630"/>
      <c r="BQ57" s="1589"/>
      <c r="BR57" s="1591" t="b">
        <f t="shared" si="348"/>
        <v>1</v>
      </c>
      <c r="BS57" s="1592" t="b">
        <f t="shared" si="346"/>
        <v>1</v>
      </c>
      <c r="BT57" s="1592"/>
      <c r="BU57" s="401"/>
      <c r="BV57" s="401"/>
      <c r="BW57" s="401"/>
      <c r="BX57" s="401"/>
      <c r="BY57" s="401"/>
      <c r="BZ57" s="401"/>
      <c r="CA57" s="401"/>
      <c r="CB57" s="401"/>
      <c r="CC57" s="404"/>
      <c r="CD57" s="404"/>
    </row>
    <row r="58" spans="1:82">
      <c r="A58" s="1649"/>
      <c r="B58" s="2517"/>
      <c r="C58" s="2518"/>
      <c r="D58" s="2519"/>
      <c r="E58" s="2518"/>
      <c r="F58" s="419" t="s">
        <v>130</v>
      </c>
      <c r="G58" s="1628">
        <f>SUM(G53:G57)</f>
        <v>1626588600</v>
      </c>
      <c r="H58" s="1628">
        <f t="shared" ref="H58:I58" si="349">SUM(H53:H57)</f>
        <v>107689660</v>
      </c>
      <c r="I58" s="1628">
        <f t="shared" si="349"/>
        <v>1734278260</v>
      </c>
      <c r="J58" s="419">
        <f t="shared" si="1"/>
        <v>0.19687475065275858</v>
      </c>
      <c r="K58" s="1628">
        <f t="shared" ref="K58:L58" si="350">SUM(K53:K57)</f>
        <v>341435600</v>
      </c>
      <c r="L58" s="1628">
        <f t="shared" si="350"/>
        <v>1392842660</v>
      </c>
      <c r="M58" s="1631"/>
      <c r="N58" s="419"/>
      <c r="O58" s="1634">
        <f t="shared" ref="O58" si="351">+IFERROR(P58/$I58,"-")</f>
        <v>0.17432646592709986</v>
      </c>
      <c r="P58" s="1628">
        <f t="shared" ref="P58" si="352">SUM(P53:P57)</f>
        <v>302330600</v>
      </c>
      <c r="Q58" s="1628">
        <f t="shared" ref="Q58" si="353">SUM(Q53:Q57)</f>
        <v>302330600</v>
      </c>
      <c r="R58" s="1684">
        <f t="shared" ref="R58" si="354">+P58-Q58</f>
        <v>0</v>
      </c>
      <c r="S58" s="419"/>
      <c r="T58" s="1631"/>
      <c r="U58" s="419"/>
      <c r="V58" s="1634">
        <f t="shared" ref="V58" si="355">+IFERROR(W58/$I58,"-")</f>
        <v>2.2548284725658729E-2</v>
      </c>
      <c r="W58" s="1628">
        <f t="shared" ref="W58:X58" si="356">SUM(W53:W57)</f>
        <v>39105000</v>
      </c>
      <c r="X58" s="1628">
        <f t="shared" si="356"/>
        <v>39105000</v>
      </c>
      <c r="Y58" s="1684">
        <f t="shared" ref="Y58" si="357">+W58-X58</f>
        <v>0</v>
      </c>
      <c r="Z58" s="419"/>
      <c r="AA58" s="1631"/>
      <c r="AB58" s="419"/>
      <c r="AC58" s="1634">
        <f t="shared" ref="AC58" si="358">+IFERROR(AD58/$I58,"-")</f>
        <v>0.15811732541697204</v>
      </c>
      <c r="AD58" s="1628">
        <f t="shared" ref="AD58:AE58" si="359">SUM(AD53:AD57)</f>
        <v>274219440.00000006</v>
      </c>
      <c r="AE58" s="1628">
        <f t="shared" si="359"/>
        <v>0</v>
      </c>
      <c r="AF58" s="1684">
        <f t="shared" ref="AF58" si="360">+AD58-AE58</f>
        <v>274219440.00000006</v>
      </c>
      <c r="AG58" s="419"/>
      <c r="AH58" s="1631"/>
      <c r="AI58" s="419"/>
      <c r="AJ58" s="1634">
        <f t="shared" ref="AJ58" si="361">+IFERROR(AK58/$I58,"-")</f>
        <v>0</v>
      </c>
      <c r="AK58" s="1628">
        <f t="shared" ref="AK58:AL58" si="362">SUM(AK53:AK57)</f>
        <v>0</v>
      </c>
      <c r="AL58" s="1628">
        <f t="shared" si="362"/>
        <v>0</v>
      </c>
      <c r="AM58" s="1684">
        <f t="shared" ref="AM58" si="363">+AK58-AL58</f>
        <v>0</v>
      </c>
      <c r="AN58" s="419"/>
      <c r="AO58" s="1631"/>
      <c r="AP58" s="419"/>
      <c r="AQ58" s="1634">
        <f t="shared" ref="AQ58" si="364">+IFERROR(AR58/$I58,"-")</f>
        <v>0.35023771790808239</v>
      </c>
      <c r="AR58" s="1628">
        <f t="shared" ref="AR58" si="365">SUM(AR53:AR57)</f>
        <v>607409660</v>
      </c>
      <c r="AS58" s="1628">
        <f t="shared" ref="AS58" si="366">SUM(AS53:AS57)</f>
        <v>0</v>
      </c>
      <c r="AT58" s="1684">
        <f t="shared" ref="AT58" si="367">+AR58-AS58</f>
        <v>607409660</v>
      </c>
      <c r="AU58" s="419"/>
      <c r="AV58" s="1631"/>
      <c r="AW58" s="419"/>
      <c r="AX58" s="1634">
        <f t="shared" ref="AX58" si="368">+IFERROR(AY58/$I58,"-")</f>
        <v>0</v>
      </c>
      <c r="AY58" s="1628">
        <f t="shared" ref="AY58" si="369">SUM(AY53:AY57)</f>
        <v>0</v>
      </c>
      <c r="AZ58" s="1628">
        <f t="shared" ref="AZ58" si="370">SUM(AZ53:AZ57)</f>
        <v>0</v>
      </c>
      <c r="BA58" s="1684">
        <f t="shared" ref="BA58" si="371">+AY58-AZ58</f>
        <v>0</v>
      </c>
      <c r="BB58" s="419"/>
      <c r="BC58" s="1631"/>
      <c r="BD58" s="419"/>
      <c r="BE58" s="1634">
        <f t="shared" ref="BE58" si="372">+IFERROR(BF58/$I58,"-")</f>
        <v>0.1664025356576862</v>
      </c>
      <c r="BF58" s="1628">
        <f t="shared" ref="BF58" si="373">SUM(BF53:BF57)</f>
        <v>288588300</v>
      </c>
      <c r="BG58" s="1628">
        <f t="shared" ref="BG58" si="374">SUM(BG53:BG57)</f>
        <v>0</v>
      </c>
      <c r="BH58" s="1684">
        <f t="shared" ref="BH58" si="375">+BF58-BG58</f>
        <v>288588300</v>
      </c>
      <c r="BI58" s="419"/>
      <c r="BJ58" s="1631"/>
      <c r="BK58" s="419"/>
      <c r="BL58" s="1634">
        <f t="shared" si="16"/>
        <v>0.12836767036450078</v>
      </c>
      <c r="BM58" s="1628">
        <f t="shared" ref="BM58:BN58" si="376">SUM(BM53:BM57)</f>
        <v>222625260</v>
      </c>
      <c r="BN58" s="1628">
        <f t="shared" si="376"/>
        <v>0</v>
      </c>
      <c r="BO58" s="1684">
        <f t="shared" ref="BO58" si="377">+BM58-BN58</f>
        <v>222625260</v>
      </c>
      <c r="BP58" s="419"/>
      <c r="BQ58" s="1589"/>
      <c r="BR58" s="1632"/>
      <c r="BS58" s="1633"/>
      <c r="BT58" s="1633"/>
      <c r="BU58" s="401"/>
      <c r="BV58" s="401"/>
      <c r="BW58" s="401"/>
      <c r="BX58" s="401"/>
      <c r="BY58" s="401"/>
      <c r="BZ58" s="401"/>
      <c r="CA58" s="401"/>
      <c r="CB58" s="401"/>
      <c r="CC58" s="404"/>
      <c r="CD58" s="404"/>
    </row>
    <row r="59" spans="1:82" ht="16.5" customHeight="1">
      <c r="A59" s="1649"/>
      <c r="B59" s="2514" t="s">
        <v>130</v>
      </c>
      <c r="C59" s="2514"/>
      <c r="D59" s="2516">
        <f>+SUM(D11:D58)</f>
        <v>7995.7200000000012</v>
      </c>
      <c r="E59" s="2514"/>
      <c r="F59" s="1673" t="s">
        <v>125</v>
      </c>
      <c r="G59" s="1656">
        <f>+G11+G17+G23+G29+G35+G41+G47+G53</f>
        <v>8615388300</v>
      </c>
      <c r="H59" s="1656">
        <f>+H11+H17+H23+H29+H35+H41+H47+H53</f>
        <v>861538830</v>
      </c>
      <c r="I59" s="1656">
        <f>+I11+I17+I23+I29+I35+I41+I47+I53</f>
        <v>9476927130</v>
      </c>
      <c r="J59" s="1673">
        <f t="shared" si="1"/>
        <v>9.7499958301357117E-2</v>
      </c>
      <c r="K59" s="1656">
        <f t="shared" ref="K59:L59" si="378">+K11+K17+K23+K29+K35+K41+K47+K53</f>
        <v>924000000</v>
      </c>
      <c r="L59" s="1656">
        <f t="shared" si="378"/>
        <v>8552927130</v>
      </c>
      <c r="M59" s="1635"/>
      <c r="N59" s="1635"/>
      <c r="O59" s="1674">
        <f>+IFERROR(P59/$I59,"-")</f>
        <v>0</v>
      </c>
      <c r="P59" s="1656">
        <f t="shared" ref="P59:Q59" si="379">+P11+P17+P23+P29+P35+P41+P47+P53</f>
        <v>0</v>
      </c>
      <c r="Q59" s="1656">
        <f t="shared" si="379"/>
        <v>0</v>
      </c>
      <c r="R59" s="1656">
        <f>+P59-Q59</f>
        <v>0</v>
      </c>
      <c r="S59" s="1675"/>
      <c r="T59" s="1635"/>
      <c r="U59" s="1635"/>
      <c r="V59" s="1674">
        <f>+IFERROR(W59/$I59,"-")</f>
        <v>0</v>
      </c>
      <c r="W59" s="1656">
        <f>+W11+W17+W23+W29+W35+W41+W47+W53</f>
        <v>0</v>
      </c>
      <c r="X59" s="1656">
        <f>+X11+X17+X23+X29+X35+X41+X47+X53</f>
        <v>0</v>
      </c>
      <c r="Y59" s="1656">
        <f>+W59-X59</f>
        <v>0</v>
      </c>
      <c r="Z59" s="1675"/>
      <c r="AA59" s="1635"/>
      <c r="AB59" s="1635"/>
      <c r="AC59" s="1674">
        <f>+IFERROR(AD59/$I59,"-")</f>
        <v>0.19489559164733181</v>
      </c>
      <c r="AD59" s="1656">
        <f>+AD11+AD17+AD23+AD29+AD35+AD41+AD47+AD53</f>
        <v>1847011320.0000002</v>
      </c>
      <c r="AE59" s="1656">
        <f>+AE11+AE17+AE23+AE29+AE35+AE41+AE47+AE53</f>
        <v>924000000</v>
      </c>
      <c r="AF59" s="1656">
        <f>+AD59-AE59</f>
        <v>923011320.00000024</v>
      </c>
      <c r="AG59" s="1675"/>
      <c r="AH59" s="1635"/>
      <c r="AI59" s="1635"/>
      <c r="AJ59" s="1674">
        <f>+IFERROR(AK59/$I59,"-")</f>
        <v>0</v>
      </c>
      <c r="AK59" s="1656">
        <f>+AK11+AK17+AK23+AK29+AK35+AK41+AK47+AK53</f>
        <v>0</v>
      </c>
      <c r="AL59" s="1656">
        <f>+AL11+AL17+AL23+AL29+AL35+AL41+AL47+AL53</f>
        <v>924000000</v>
      </c>
      <c r="AM59" s="1656">
        <f>+AK59-AL59</f>
        <v>-924000000</v>
      </c>
      <c r="AN59" s="1675"/>
      <c r="AO59" s="1635"/>
      <c r="AP59" s="1635"/>
      <c r="AQ59" s="1674">
        <f>+IFERROR(AR59/$I59,"-")</f>
        <v>0.51276102088167053</v>
      </c>
      <c r="AR59" s="1656">
        <f>+AR11+AR17+AR23+AR29+AR35+AR41+AR47+AR53</f>
        <v>4859398830</v>
      </c>
      <c r="AS59" s="1656">
        <f>+AS11+AS17+AS23+AS29+AS35+AS41+AS47+AS53</f>
        <v>0</v>
      </c>
      <c r="AT59" s="1656">
        <f>+AR59-AS59</f>
        <v>4859398830</v>
      </c>
      <c r="AU59" s="1675"/>
      <c r="AV59" s="1635"/>
      <c r="AW59" s="1635"/>
      <c r="AX59" s="1674">
        <f>+IFERROR(AY59/$I59,"-")</f>
        <v>0</v>
      </c>
      <c r="AY59" s="1656">
        <f>+AY11+AY17+AY23+AY29+AY35+AY41+AY47+AY53</f>
        <v>0</v>
      </c>
      <c r="AZ59" s="1656">
        <f>+AZ11+AZ17+AZ23+AZ29+AZ35+AZ41+AZ47+AZ53</f>
        <v>0</v>
      </c>
      <c r="BA59" s="1656">
        <f>+AY59-AZ59</f>
        <v>0</v>
      </c>
      <c r="BB59" s="1675"/>
      <c r="BC59" s="1635"/>
      <c r="BD59" s="1635"/>
      <c r="BE59" s="1674">
        <f>+IFERROR(BF59/$I59,"-")</f>
        <v>0.24361948955916474</v>
      </c>
      <c r="BF59" s="1656">
        <f>+BF11+BF17+BF23+BF29+BF35+BF41+BF47+BF53</f>
        <v>2308764150</v>
      </c>
      <c r="BG59" s="1656">
        <f>+BG11+BG17+BG23+BG29+BG35+BG41+BG47+BG53</f>
        <v>0</v>
      </c>
      <c r="BH59" s="1656">
        <f>+BF59-BG59</f>
        <v>2308764150</v>
      </c>
      <c r="BI59" s="1675"/>
      <c r="BJ59" s="1635"/>
      <c r="BK59" s="1635"/>
      <c r="BL59" s="1674">
        <f>+IFERROR(BM59/$I59,"-")</f>
        <v>4.8723897911832952E-2</v>
      </c>
      <c r="BM59" s="1656">
        <f>+BM11+BM17+BM23+BM29+BM35+BM41+BM47+BM53</f>
        <v>461752830.00000006</v>
      </c>
      <c r="BN59" s="1656">
        <f>+BN11+BN17+BN23+BN29+BN35+BN41+BN47+BN53</f>
        <v>0</v>
      </c>
      <c r="BO59" s="1656">
        <f>+BM59-BN59</f>
        <v>461752830.00000006</v>
      </c>
      <c r="BP59" s="1675"/>
      <c r="BQ59" s="1588"/>
      <c r="BR59" s="1641" t="b">
        <f>+P59+W59+AD59+AK59+AR59+AY59+BF59+BM59=I59</f>
        <v>1</v>
      </c>
      <c r="BS59" s="1641" t="b">
        <f>+Q59+X59+AE59+AS59+AZ59+BG59+BN59=K59</f>
        <v>1</v>
      </c>
      <c r="BT59" s="1641"/>
      <c r="BU59" s="401"/>
      <c r="BV59" s="401"/>
      <c r="BW59" s="401"/>
      <c r="BX59" s="401"/>
      <c r="BY59" s="401"/>
      <c r="BZ59" s="401"/>
      <c r="CA59" s="401"/>
      <c r="CB59" s="401"/>
      <c r="CC59" s="404"/>
      <c r="CD59" s="404"/>
    </row>
    <row r="60" spans="1:82">
      <c r="A60" s="1649"/>
      <c r="B60" s="2514"/>
      <c r="C60" s="2514"/>
      <c r="D60" s="2516"/>
      <c r="E60" s="2514"/>
      <c r="F60" s="1872" t="s">
        <v>126</v>
      </c>
      <c r="G60" s="1873">
        <f t="shared" ref="G60:G63" si="380">+G12+G18+G24+G30+G36+G42+G48+G54</f>
        <v>4397646000</v>
      </c>
      <c r="H60" s="1873">
        <f t="shared" ref="H60:I60" si="381">+H12+H18+H24+H30+H36+H42+H48+H54</f>
        <v>0</v>
      </c>
      <c r="I60" s="1873">
        <f t="shared" si="381"/>
        <v>4397646000</v>
      </c>
      <c r="J60" s="1872">
        <f t="shared" si="1"/>
        <v>0.6453134927186045</v>
      </c>
      <c r="K60" s="1873">
        <f t="shared" ref="K60:L60" si="382">+K12+K18+K24+K30+K36+K42+K48+K54</f>
        <v>2837860300</v>
      </c>
      <c r="L60" s="1873">
        <f t="shared" si="382"/>
        <v>1559785700</v>
      </c>
      <c r="M60" s="1880"/>
      <c r="N60" s="1880"/>
      <c r="O60" s="1876">
        <f t="shared" ref="O60:O64" si="383">+IFERROR(P60/$I60,"-")</f>
        <v>0.55000000000000004</v>
      </c>
      <c r="P60" s="1873">
        <f t="shared" ref="P60:Q60" si="384">+P12+P18+P24+P30+P36+P42+P48+P54</f>
        <v>2418705300</v>
      </c>
      <c r="Q60" s="1873">
        <f t="shared" si="384"/>
        <v>2418705300</v>
      </c>
      <c r="R60" s="1873">
        <f t="shared" si="5"/>
        <v>0</v>
      </c>
      <c r="S60" s="1877"/>
      <c r="T60" s="1880"/>
      <c r="U60" s="1880"/>
      <c r="V60" s="1876">
        <f t="shared" ref="V60:V64" si="385">+IFERROR(W60/$I60,"-")</f>
        <v>9.5313492718604453E-2</v>
      </c>
      <c r="W60" s="1873">
        <f t="shared" ref="W60:Y60" si="386">+W12+W18+W24+W30+W36+W42+W48+W54</f>
        <v>419155000</v>
      </c>
      <c r="X60" s="1873">
        <f t="shared" si="386"/>
        <v>419155000</v>
      </c>
      <c r="Y60" s="1873">
        <f t="shared" si="386"/>
        <v>0</v>
      </c>
      <c r="Z60" s="1877"/>
      <c r="AA60" s="1880"/>
      <c r="AB60" s="1880"/>
      <c r="AC60" s="1876">
        <f t="shared" ref="AC60:AC64" si="387">+IFERROR(AD60/$I60,"-")</f>
        <v>5.4686507281395548E-2</v>
      </c>
      <c r="AD60" s="1873">
        <f t="shared" ref="AD60:AE60" si="388">+AD12+AD18+AD24+AD30+AD36+AD42+AD48+AD54</f>
        <v>240491900</v>
      </c>
      <c r="AE60" s="1873">
        <f t="shared" si="388"/>
        <v>0</v>
      </c>
      <c r="AF60" s="1873">
        <f t="shared" ref="AF60:AF63" si="389">+AD60-AE60</f>
        <v>240491900</v>
      </c>
      <c r="AG60" s="1877"/>
      <c r="AH60" s="1880"/>
      <c r="AI60" s="1880"/>
      <c r="AJ60" s="1876">
        <f t="shared" ref="AJ60:AJ64" si="390">+IFERROR(AK60/$I60,"-")</f>
        <v>0</v>
      </c>
      <c r="AK60" s="1873">
        <f t="shared" ref="AK60:AL63" si="391">+AK12+AK18+AK24+AK30+AK36+AK42+AK48+AK54</f>
        <v>0</v>
      </c>
      <c r="AL60" s="1873">
        <f t="shared" si="391"/>
        <v>0</v>
      </c>
      <c r="AM60" s="1873">
        <f t="shared" ref="AM60:AM64" si="392">+AK60-AL60</f>
        <v>0</v>
      </c>
      <c r="AN60" s="1877"/>
      <c r="AO60" s="1880"/>
      <c r="AP60" s="1880"/>
      <c r="AQ60" s="1876">
        <f t="shared" ref="AQ60:AQ64" si="393">+IFERROR(AR60/$I60,"-")</f>
        <v>0</v>
      </c>
      <c r="AR60" s="1873">
        <f t="shared" ref="AR60:AS60" si="394">+AR12+AR18+AR24+AR30+AR36+AR42+AR48+AR54</f>
        <v>0</v>
      </c>
      <c r="AS60" s="1873">
        <f t="shared" si="394"/>
        <v>0</v>
      </c>
      <c r="AT60" s="1873">
        <f t="shared" ref="AT60:AT63" si="395">+AR60-AS60</f>
        <v>0</v>
      </c>
      <c r="AU60" s="1877"/>
      <c r="AV60" s="1880"/>
      <c r="AW60" s="1880"/>
      <c r="AX60" s="1876">
        <f t="shared" ref="AX60:AX64" si="396">+IFERROR(AY60/$I60,"-")</f>
        <v>0</v>
      </c>
      <c r="AY60" s="1873">
        <f t="shared" ref="AY60:AZ60" si="397">+AY12+AY18+AY24+AY30+AY36+AY42+AY48+AY54</f>
        <v>0</v>
      </c>
      <c r="AZ60" s="1873">
        <f t="shared" si="397"/>
        <v>0</v>
      </c>
      <c r="BA60" s="1873">
        <f t="shared" ref="BA60:BA63" si="398">+AY60-AZ60</f>
        <v>0</v>
      </c>
      <c r="BB60" s="1877"/>
      <c r="BC60" s="1880"/>
      <c r="BD60" s="1880"/>
      <c r="BE60" s="1876">
        <f t="shared" ref="BE60:BE64" si="399">+IFERROR(BF60/$I60,"-")</f>
        <v>0</v>
      </c>
      <c r="BF60" s="1873">
        <f t="shared" ref="BF60:BG60" si="400">+BF12+BF18+BF24+BF30+BF36+BF42+BF48+BF54</f>
        <v>0</v>
      </c>
      <c r="BG60" s="1873">
        <f t="shared" si="400"/>
        <v>0</v>
      </c>
      <c r="BH60" s="1873">
        <f t="shared" ref="BH60:BH63" si="401">+BF60-BG60</f>
        <v>0</v>
      </c>
      <c r="BI60" s="1877"/>
      <c r="BJ60" s="1880"/>
      <c r="BK60" s="1880"/>
      <c r="BL60" s="1876">
        <f t="shared" ref="BL60:BL64" si="402">+IFERROR(BM60/$I60,"-")</f>
        <v>0.3</v>
      </c>
      <c r="BM60" s="1873">
        <f t="shared" ref="BM60:BN60" si="403">+BM12+BM18+BM24+BM30+BM36+BM42+BM48+BM54</f>
        <v>1319293800</v>
      </c>
      <c r="BN60" s="1873">
        <f t="shared" si="403"/>
        <v>0</v>
      </c>
      <c r="BO60" s="1873">
        <f t="shared" ref="BO60:BO63" si="404">+BM60-BN60</f>
        <v>1319293800</v>
      </c>
      <c r="BP60" s="1877"/>
      <c r="BQ60" s="1588"/>
      <c r="BR60" s="1641" t="b">
        <f t="shared" ref="BR60" si="405">+P60+W60+AD60+AR60+AY60+BF60+BM60=I60</f>
        <v>1</v>
      </c>
      <c r="BS60" s="1641" t="b">
        <f t="shared" ref="BS60:BS63" si="406">+Q60+X60+AE60+AS60+AZ60+BG60+BN60=K60</f>
        <v>1</v>
      </c>
      <c r="BT60" s="1641"/>
      <c r="BU60" s="401"/>
      <c r="BV60" s="401"/>
      <c r="BW60" s="401"/>
      <c r="BX60" s="401"/>
      <c r="BY60" s="401"/>
      <c r="BZ60" s="401"/>
      <c r="CA60" s="401"/>
      <c r="CB60" s="401"/>
      <c r="CC60" s="404"/>
      <c r="CD60" s="404"/>
    </row>
    <row r="61" spans="1:82" hidden="1">
      <c r="A61" s="1649"/>
      <c r="B61" s="2514"/>
      <c r="C61" s="2514"/>
      <c r="D61" s="2516"/>
      <c r="E61" s="2514"/>
      <c r="F61" s="1665" t="s">
        <v>127</v>
      </c>
      <c r="G61" s="1657">
        <f t="shared" si="380"/>
        <v>0</v>
      </c>
      <c r="H61" s="1657">
        <f t="shared" ref="H61:I61" si="407">+H13+H19+H25+H31+H37+H43+H49+H55</f>
        <v>0</v>
      </c>
      <c r="I61" s="1657">
        <f t="shared" si="407"/>
        <v>0</v>
      </c>
      <c r="J61" s="1665" t="str">
        <f t="shared" si="1"/>
        <v>-</v>
      </c>
      <c r="K61" s="1657">
        <f t="shared" ref="K61:L61" si="408">+K13+K19+K25+K31+K37+K43+K49+K55</f>
        <v>0</v>
      </c>
      <c r="L61" s="1657">
        <f t="shared" si="408"/>
        <v>0</v>
      </c>
      <c r="M61" s="1636"/>
      <c r="N61" s="1636"/>
      <c r="O61" s="1664" t="str">
        <f t="shared" si="383"/>
        <v>-</v>
      </c>
      <c r="P61" s="1657">
        <f t="shared" ref="P61:Q61" si="409">+P13+P19+P25+P31+P37+P43+P49+P55</f>
        <v>0</v>
      </c>
      <c r="Q61" s="1657">
        <f t="shared" si="409"/>
        <v>0</v>
      </c>
      <c r="R61" s="1657">
        <f t="shared" si="5"/>
        <v>0</v>
      </c>
      <c r="S61" s="1666"/>
      <c r="T61" s="1636"/>
      <c r="U61" s="1636"/>
      <c r="V61" s="1664" t="str">
        <f t="shared" si="385"/>
        <v>-</v>
      </c>
      <c r="W61" s="1657">
        <f t="shared" ref="W61:X61" si="410">+W13+W19+W25+W31+W37+W43+W49+W55</f>
        <v>0</v>
      </c>
      <c r="X61" s="1657">
        <f t="shared" si="410"/>
        <v>0</v>
      </c>
      <c r="Y61" s="1657">
        <f t="shared" ref="Y61:Y64" si="411">+W61-X61</f>
        <v>0</v>
      </c>
      <c r="Z61" s="1666"/>
      <c r="AA61" s="1636"/>
      <c r="AB61" s="1636"/>
      <c r="AC61" s="1664" t="str">
        <f t="shared" si="387"/>
        <v>-</v>
      </c>
      <c r="AD61" s="1657">
        <f t="shared" ref="AD61:AE61" si="412">+AD13+AD19+AD25+AD31+AD37+AD43+AD49+AD55</f>
        <v>0</v>
      </c>
      <c r="AE61" s="1657">
        <f t="shared" si="412"/>
        <v>0</v>
      </c>
      <c r="AF61" s="1657">
        <f t="shared" si="389"/>
        <v>0</v>
      </c>
      <c r="AG61" s="1666"/>
      <c r="AH61" s="1636"/>
      <c r="AI61" s="1636"/>
      <c r="AJ61" s="1664" t="str">
        <f t="shared" si="390"/>
        <v>-</v>
      </c>
      <c r="AK61" s="1657">
        <f t="shared" si="391"/>
        <v>0</v>
      </c>
      <c r="AL61" s="1657">
        <f t="shared" si="391"/>
        <v>0</v>
      </c>
      <c r="AM61" s="1657">
        <f t="shared" si="392"/>
        <v>0</v>
      </c>
      <c r="AN61" s="1666"/>
      <c r="AO61" s="1636"/>
      <c r="AP61" s="1636"/>
      <c r="AQ61" s="1664" t="str">
        <f t="shared" si="393"/>
        <v>-</v>
      </c>
      <c r="AR61" s="1657">
        <f t="shared" ref="AR61:AS61" si="413">+AR13+AR19+AR25+AR31+AR37+AR43+AR49+AR55</f>
        <v>0</v>
      </c>
      <c r="AS61" s="1657">
        <f t="shared" si="413"/>
        <v>0</v>
      </c>
      <c r="AT61" s="1657">
        <f t="shared" si="395"/>
        <v>0</v>
      </c>
      <c r="AU61" s="1666"/>
      <c r="AV61" s="1636"/>
      <c r="AW61" s="1636"/>
      <c r="AX61" s="1664" t="str">
        <f t="shared" si="396"/>
        <v>-</v>
      </c>
      <c r="AY61" s="1657">
        <f t="shared" ref="AY61:AZ61" si="414">+AY13+AY19+AY25+AY31+AY37+AY43+AY49+AY55</f>
        <v>0</v>
      </c>
      <c r="AZ61" s="1657">
        <f t="shared" si="414"/>
        <v>0</v>
      </c>
      <c r="BA61" s="1657">
        <f t="shared" si="398"/>
        <v>0</v>
      </c>
      <c r="BB61" s="1666"/>
      <c r="BC61" s="1636"/>
      <c r="BD61" s="1636"/>
      <c r="BE61" s="1664" t="str">
        <f t="shared" si="399"/>
        <v>-</v>
      </c>
      <c r="BF61" s="1657">
        <f t="shared" ref="BF61:BG61" si="415">+BF13+BF19+BF25+BF31+BF37+BF43+BF49+BF55</f>
        <v>0</v>
      </c>
      <c r="BG61" s="1657">
        <f t="shared" si="415"/>
        <v>0</v>
      </c>
      <c r="BH61" s="1657">
        <f t="shared" si="401"/>
        <v>0</v>
      </c>
      <c r="BI61" s="1666"/>
      <c r="BJ61" s="1636"/>
      <c r="BK61" s="1636"/>
      <c r="BL61" s="1664" t="str">
        <f t="shared" si="402"/>
        <v>-</v>
      </c>
      <c r="BM61" s="1657">
        <f t="shared" ref="BM61:BN61" si="416">+BM13+BM19+BM25+BM31+BM37+BM43+BM49+BM55</f>
        <v>0</v>
      </c>
      <c r="BN61" s="1657">
        <f t="shared" si="416"/>
        <v>0</v>
      </c>
      <c r="BO61" s="1657">
        <f t="shared" si="404"/>
        <v>0</v>
      </c>
      <c r="BP61" s="1666"/>
      <c r="BQ61" s="1588"/>
      <c r="BR61" s="1641" t="b">
        <f>+P61+W61+AD61+AR61+AY61+BF61+BM61=I61</f>
        <v>1</v>
      </c>
      <c r="BS61" s="1641" t="b">
        <f t="shared" si="406"/>
        <v>1</v>
      </c>
      <c r="BT61" s="1641"/>
      <c r="BU61" s="401"/>
      <c r="BV61" s="401"/>
      <c r="BW61" s="401"/>
      <c r="BX61" s="401"/>
      <c r="BY61" s="401"/>
      <c r="BZ61" s="401"/>
      <c r="CA61" s="401"/>
      <c r="CB61" s="401"/>
      <c r="CC61" s="404"/>
      <c r="CD61" s="404"/>
    </row>
    <row r="62" spans="1:82" ht="16.5" hidden="1" customHeight="1">
      <c r="A62" s="1649"/>
      <c r="B62" s="2514"/>
      <c r="C62" s="2514"/>
      <c r="D62" s="2516"/>
      <c r="E62" s="2514"/>
      <c r="F62" s="1665" t="s">
        <v>128</v>
      </c>
      <c r="G62" s="1657">
        <f t="shared" si="380"/>
        <v>0</v>
      </c>
      <c r="H62" s="1657">
        <f t="shared" ref="H62:I62" si="417">+H14+H20+H26+H32+H38+H44+H50+H56</f>
        <v>0</v>
      </c>
      <c r="I62" s="1657">
        <f t="shared" si="417"/>
        <v>0</v>
      </c>
      <c r="J62" s="1665" t="str">
        <f t="shared" si="1"/>
        <v>-</v>
      </c>
      <c r="K62" s="1657">
        <f t="shared" ref="K62:L62" si="418">+K14+K20+K26+K32+K38+K44+K50+K56</f>
        <v>0</v>
      </c>
      <c r="L62" s="1657">
        <f t="shared" si="418"/>
        <v>0</v>
      </c>
      <c r="M62" s="1636"/>
      <c r="N62" s="1636"/>
      <c r="O62" s="1664" t="str">
        <f t="shared" si="383"/>
        <v>-</v>
      </c>
      <c r="P62" s="1657">
        <f t="shared" ref="P62:Q62" si="419">+P14+P20+P26+P32+P38+P44+P50+P56</f>
        <v>0</v>
      </c>
      <c r="Q62" s="1657">
        <f t="shared" si="419"/>
        <v>0</v>
      </c>
      <c r="R62" s="1657">
        <f t="shared" si="5"/>
        <v>0</v>
      </c>
      <c r="S62" s="1666"/>
      <c r="T62" s="1636"/>
      <c r="U62" s="1636"/>
      <c r="V62" s="1664" t="str">
        <f t="shared" si="385"/>
        <v>-</v>
      </c>
      <c r="W62" s="1657">
        <f t="shared" ref="W62:X62" si="420">+W14+W20+W26+W32+W38+W44+W50+W56</f>
        <v>0</v>
      </c>
      <c r="X62" s="1657">
        <f t="shared" si="420"/>
        <v>0</v>
      </c>
      <c r="Y62" s="1657">
        <f t="shared" si="411"/>
        <v>0</v>
      </c>
      <c r="Z62" s="1666"/>
      <c r="AA62" s="1636"/>
      <c r="AB62" s="1636"/>
      <c r="AC62" s="1664" t="str">
        <f t="shared" si="387"/>
        <v>-</v>
      </c>
      <c r="AD62" s="1657">
        <f t="shared" ref="AD62:AE62" si="421">+AD14+AD20+AD26+AD32+AD38+AD44+AD50+AD56</f>
        <v>0</v>
      </c>
      <c r="AE62" s="1657">
        <f t="shared" si="421"/>
        <v>0</v>
      </c>
      <c r="AF62" s="1657">
        <f t="shared" si="389"/>
        <v>0</v>
      </c>
      <c r="AG62" s="1666"/>
      <c r="AH62" s="1636"/>
      <c r="AI62" s="1636"/>
      <c r="AJ62" s="1664" t="str">
        <f t="shared" si="390"/>
        <v>-</v>
      </c>
      <c r="AK62" s="1657">
        <f t="shared" si="391"/>
        <v>0</v>
      </c>
      <c r="AL62" s="1657">
        <f t="shared" si="391"/>
        <v>0</v>
      </c>
      <c r="AM62" s="1657">
        <f t="shared" si="392"/>
        <v>0</v>
      </c>
      <c r="AN62" s="1666"/>
      <c r="AO62" s="1636"/>
      <c r="AP62" s="1636"/>
      <c r="AQ62" s="1664" t="str">
        <f t="shared" si="393"/>
        <v>-</v>
      </c>
      <c r="AR62" s="1657">
        <f t="shared" ref="AR62:AS62" si="422">+AR14+AR20+AR26+AR32+AR38+AR44+AR50+AR56</f>
        <v>0</v>
      </c>
      <c r="AS62" s="1657">
        <f t="shared" si="422"/>
        <v>0</v>
      </c>
      <c r="AT62" s="1657">
        <f t="shared" si="395"/>
        <v>0</v>
      </c>
      <c r="AU62" s="1666"/>
      <c r="AV62" s="1636"/>
      <c r="AW62" s="1636"/>
      <c r="AX62" s="1664" t="str">
        <f t="shared" si="396"/>
        <v>-</v>
      </c>
      <c r="AY62" s="1657">
        <f t="shared" ref="AY62:AZ62" si="423">+AY14+AY20+AY26+AY32+AY38+AY44+AY50+AY56</f>
        <v>0</v>
      </c>
      <c r="AZ62" s="1657">
        <f t="shared" si="423"/>
        <v>0</v>
      </c>
      <c r="BA62" s="1657">
        <f t="shared" si="398"/>
        <v>0</v>
      </c>
      <c r="BB62" s="1666"/>
      <c r="BC62" s="1636"/>
      <c r="BD62" s="1636"/>
      <c r="BE62" s="1664" t="str">
        <f t="shared" si="399"/>
        <v>-</v>
      </c>
      <c r="BF62" s="1657">
        <f t="shared" ref="BF62:BG62" si="424">+BF14+BF20+BF26+BF32+BF38+BF44+BF50+BF56</f>
        <v>0</v>
      </c>
      <c r="BG62" s="1657">
        <f t="shared" si="424"/>
        <v>0</v>
      </c>
      <c r="BH62" s="1657">
        <f t="shared" si="401"/>
        <v>0</v>
      </c>
      <c r="BI62" s="1666"/>
      <c r="BJ62" s="1636"/>
      <c r="BK62" s="1636"/>
      <c r="BL62" s="1664" t="str">
        <f t="shared" si="402"/>
        <v>-</v>
      </c>
      <c r="BM62" s="1657">
        <f t="shared" ref="BM62:BN62" si="425">+BM14+BM20+BM26+BM32+BM38+BM44+BM50+BM56</f>
        <v>0</v>
      </c>
      <c r="BN62" s="1657">
        <f t="shared" si="425"/>
        <v>0</v>
      </c>
      <c r="BO62" s="1657">
        <f t="shared" si="404"/>
        <v>0</v>
      </c>
      <c r="BP62" s="1666"/>
      <c r="BQ62" s="1588"/>
      <c r="BR62" s="1641" t="b">
        <f t="shared" ref="BR62:BR63" si="426">+P62+W62+AD62+AR62+AY62+BF62+BM62=I62</f>
        <v>1</v>
      </c>
      <c r="BS62" s="1641" t="b">
        <f t="shared" si="406"/>
        <v>1</v>
      </c>
      <c r="BT62" s="1641"/>
      <c r="BU62" s="401"/>
      <c r="BV62" s="401"/>
      <c r="BW62" s="401"/>
      <c r="BX62" s="401"/>
      <c r="BY62" s="401"/>
      <c r="BZ62" s="401"/>
      <c r="CA62" s="401"/>
      <c r="CB62" s="401"/>
      <c r="CC62" s="404"/>
      <c r="CD62" s="404"/>
    </row>
    <row r="63" spans="1:82" ht="16.5" hidden="1" customHeight="1">
      <c r="A63" s="1649"/>
      <c r="B63" s="2514"/>
      <c r="C63" s="2514"/>
      <c r="D63" s="2516"/>
      <c r="E63" s="2514"/>
      <c r="F63" s="1667" t="s">
        <v>129</v>
      </c>
      <c r="G63" s="1658">
        <f t="shared" si="380"/>
        <v>0</v>
      </c>
      <c r="H63" s="1658">
        <f t="shared" ref="H63:I63" si="427">+H15+H21+H27+H33+H39+H45+H51+H57</f>
        <v>0</v>
      </c>
      <c r="I63" s="1658">
        <f t="shared" si="427"/>
        <v>0</v>
      </c>
      <c r="J63" s="1667" t="str">
        <f t="shared" si="1"/>
        <v>-</v>
      </c>
      <c r="K63" s="1658">
        <f t="shared" ref="K63:L63" si="428">+K15+K21+K27+K33+K39+K45+K51+K57</f>
        <v>0</v>
      </c>
      <c r="L63" s="1658">
        <f t="shared" si="428"/>
        <v>0</v>
      </c>
      <c r="M63" s="1667"/>
      <c r="N63" s="1667"/>
      <c r="O63" s="1668" t="str">
        <f t="shared" si="383"/>
        <v>-</v>
      </c>
      <c r="P63" s="1658">
        <f t="shared" ref="P63:Q63" si="429">+P15+P21+P27+P33+P39+P45+P51+P57</f>
        <v>0</v>
      </c>
      <c r="Q63" s="1658">
        <f t="shared" si="429"/>
        <v>0</v>
      </c>
      <c r="R63" s="1658">
        <f t="shared" si="5"/>
        <v>0</v>
      </c>
      <c r="S63" s="1667"/>
      <c r="T63" s="1667"/>
      <c r="U63" s="1667"/>
      <c r="V63" s="1668" t="str">
        <f t="shared" si="385"/>
        <v>-</v>
      </c>
      <c r="W63" s="1658">
        <f t="shared" ref="W63:X63" si="430">+W15+W21+W27+W33+W39+W45+W51+W57</f>
        <v>0</v>
      </c>
      <c r="X63" s="1658">
        <f t="shared" si="430"/>
        <v>0</v>
      </c>
      <c r="Y63" s="1658">
        <f t="shared" si="411"/>
        <v>0</v>
      </c>
      <c r="Z63" s="1667"/>
      <c r="AA63" s="1667"/>
      <c r="AB63" s="1667"/>
      <c r="AC63" s="1668" t="str">
        <f t="shared" si="387"/>
        <v>-</v>
      </c>
      <c r="AD63" s="1658">
        <f t="shared" ref="AD63:AE63" si="431">+AD15+AD21+AD27+AD33+AD39+AD45+AD51+AD57</f>
        <v>0</v>
      </c>
      <c r="AE63" s="1658">
        <f t="shared" si="431"/>
        <v>0</v>
      </c>
      <c r="AF63" s="1658">
        <f t="shared" si="389"/>
        <v>0</v>
      </c>
      <c r="AG63" s="1667"/>
      <c r="AH63" s="1667"/>
      <c r="AI63" s="1667"/>
      <c r="AJ63" s="1668" t="str">
        <f t="shared" si="390"/>
        <v>-</v>
      </c>
      <c r="AK63" s="1658">
        <f t="shared" si="391"/>
        <v>0</v>
      </c>
      <c r="AL63" s="1658">
        <f t="shared" si="391"/>
        <v>0</v>
      </c>
      <c r="AM63" s="1658">
        <f t="shared" si="392"/>
        <v>0</v>
      </c>
      <c r="AN63" s="1667"/>
      <c r="AO63" s="1667"/>
      <c r="AP63" s="1667"/>
      <c r="AQ63" s="1668" t="str">
        <f t="shared" si="393"/>
        <v>-</v>
      </c>
      <c r="AR63" s="1658">
        <f t="shared" ref="AR63:AS63" si="432">+AR15+AR21+AR27+AR33+AR39+AR45+AR51+AR57</f>
        <v>0</v>
      </c>
      <c r="AS63" s="1658">
        <f t="shared" si="432"/>
        <v>0</v>
      </c>
      <c r="AT63" s="1658">
        <f t="shared" si="395"/>
        <v>0</v>
      </c>
      <c r="AU63" s="1667"/>
      <c r="AV63" s="1667"/>
      <c r="AW63" s="1667"/>
      <c r="AX63" s="1668" t="str">
        <f t="shared" si="396"/>
        <v>-</v>
      </c>
      <c r="AY63" s="1658">
        <f t="shared" ref="AY63:AZ63" si="433">+AY15+AY21+AY27+AY33+AY39+AY45+AY51+AY57</f>
        <v>0</v>
      </c>
      <c r="AZ63" s="1658">
        <f t="shared" si="433"/>
        <v>0</v>
      </c>
      <c r="BA63" s="1658">
        <f t="shared" si="398"/>
        <v>0</v>
      </c>
      <c r="BB63" s="1667"/>
      <c r="BC63" s="1667"/>
      <c r="BD63" s="1667"/>
      <c r="BE63" s="1668" t="str">
        <f t="shared" si="399"/>
        <v>-</v>
      </c>
      <c r="BF63" s="1658">
        <f t="shared" ref="BF63:BG63" si="434">+BF15+BF21+BF27+BF33+BF39+BF45+BF51+BF57</f>
        <v>0</v>
      </c>
      <c r="BG63" s="1658">
        <f t="shared" si="434"/>
        <v>0</v>
      </c>
      <c r="BH63" s="1658">
        <f t="shared" si="401"/>
        <v>0</v>
      </c>
      <c r="BI63" s="1667"/>
      <c r="BJ63" s="1667"/>
      <c r="BK63" s="1667"/>
      <c r="BL63" s="1668" t="str">
        <f t="shared" si="402"/>
        <v>-</v>
      </c>
      <c r="BM63" s="1658">
        <f t="shared" ref="BM63:BN63" si="435">+BM15+BM21+BM27+BM33+BM39+BM45+BM51+BM57</f>
        <v>0</v>
      </c>
      <c r="BN63" s="1658">
        <f t="shared" si="435"/>
        <v>0</v>
      </c>
      <c r="BO63" s="1658">
        <f t="shared" si="404"/>
        <v>0</v>
      </c>
      <c r="BP63" s="1667"/>
      <c r="BQ63" s="1589"/>
      <c r="BR63" s="1642" t="b">
        <f t="shared" si="426"/>
        <v>1</v>
      </c>
      <c r="BS63" s="1643" t="b">
        <f t="shared" si="406"/>
        <v>1</v>
      </c>
      <c r="BT63" s="1643"/>
      <c r="BU63" s="401"/>
      <c r="BV63" s="401"/>
      <c r="BW63" s="401"/>
      <c r="BX63" s="401"/>
      <c r="BY63" s="401"/>
      <c r="BZ63" s="401"/>
      <c r="CA63" s="401"/>
      <c r="CB63" s="401"/>
      <c r="CC63" s="404"/>
      <c r="CD63" s="404"/>
    </row>
    <row r="64" spans="1:82">
      <c r="A64" s="1649"/>
      <c r="B64" s="2515"/>
      <c r="C64" s="2515"/>
      <c r="D64" s="2515"/>
      <c r="E64" s="2515"/>
      <c r="F64" s="1640" t="s">
        <v>130</v>
      </c>
      <c r="G64" s="1637">
        <f>SUM(G59:G63)</f>
        <v>13013034300</v>
      </c>
      <c r="H64" s="1637">
        <f t="shared" ref="H64:I64" si="436">SUM(H59:H63)</f>
        <v>861538830</v>
      </c>
      <c r="I64" s="1637">
        <f t="shared" si="436"/>
        <v>13874573130</v>
      </c>
      <c r="J64" s="1640">
        <f t="shared" ref="J64" si="437">+IFERROR(K64/I64,"-")</f>
        <v>0.27113340819588877</v>
      </c>
      <c r="K64" s="1637">
        <f t="shared" ref="K64" si="438">SUM(K59:K63)</f>
        <v>3761860300</v>
      </c>
      <c r="L64" s="1637">
        <f t="shared" ref="L64" si="439">SUM(L59:L63)</f>
        <v>10112712830</v>
      </c>
      <c r="M64" s="1638"/>
      <c r="N64" s="1640"/>
      <c r="O64" s="1639">
        <f t="shared" si="383"/>
        <v>0.17432646592709986</v>
      </c>
      <c r="P64" s="1637">
        <f t="shared" ref="P64:Q64" si="440">SUM(P59:P63)</f>
        <v>2418705300</v>
      </c>
      <c r="Q64" s="1637">
        <f t="shared" si="440"/>
        <v>2418705300</v>
      </c>
      <c r="R64" s="1669">
        <f t="shared" ref="R64" si="441">+P64-Q64</f>
        <v>0</v>
      </c>
      <c r="S64" s="1640"/>
      <c r="T64" s="1638"/>
      <c r="U64" s="1640"/>
      <c r="V64" s="1639">
        <f t="shared" si="385"/>
        <v>3.0210298801459416E-2</v>
      </c>
      <c r="W64" s="1637">
        <f t="shared" ref="W64:X64" si="442">SUM(W59:W63)</f>
        <v>419155000</v>
      </c>
      <c r="X64" s="1637">
        <f t="shared" si="442"/>
        <v>419155000</v>
      </c>
      <c r="Y64" s="1669">
        <f t="shared" si="411"/>
        <v>0</v>
      </c>
      <c r="Z64" s="1640"/>
      <c r="AA64" s="1638"/>
      <c r="AB64" s="1640"/>
      <c r="AC64" s="1639">
        <f t="shared" si="387"/>
        <v>0.15045531134117135</v>
      </c>
      <c r="AD64" s="1637">
        <f t="shared" ref="AD64:AE64" si="443">SUM(AD59:AD63)</f>
        <v>2087503220.0000002</v>
      </c>
      <c r="AE64" s="1637">
        <f t="shared" si="443"/>
        <v>924000000</v>
      </c>
      <c r="AF64" s="1669">
        <f t="shared" ref="AF64" si="444">+AD64-AE64</f>
        <v>1163503220.0000002</v>
      </c>
      <c r="AG64" s="1640"/>
      <c r="AH64" s="1638"/>
      <c r="AI64" s="1640"/>
      <c r="AJ64" s="1639">
        <f t="shared" si="390"/>
        <v>0</v>
      </c>
      <c r="AK64" s="1637">
        <f t="shared" ref="AK64:AL64" si="445">SUM(AK59:AK63)</f>
        <v>0</v>
      </c>
      <c r="AL64" s="1637">
        <f t="shared" si="445"/>
        <v>924000000</v>
      </c>
      <c r="AM64" s="1669">
        <f t="shared" si="392"/>
        <v>-924000000</v>
      </c>
      <c r="AN64" s="1640"/>
      <c r="AO64" s="1638"/>
      <c r="AP64" s="1640"/>
      <c r="AQ64" s="1639">
        <f t="shared" si="393"/>
        <v>0.35023771790808239</v>
      </c>
      <c r="AR64" s="1637">
        <f t="shared" ref="AR64:AS64" si="446">SUM(AR59:AR63)</f>
        <v>4859398830</v>
      </c>
      <c r="AS64" s="1637">
        <f t="shared" si="446"/>
        <v>0</v>
      </c>
      <c r="AT64" s="1669">
        <f t="shared" ref="AT64" si="447">+AR64-AS64</f>
        <v>4859398830</v>
      </c>
      <c r="AU64" s="1640"/>
      <c r="AV64" s="1638"/>
      <c r="AW64" s="1640"/>
      <c r="AX64" s="1639">
        <f t="shared" si="396"/>
        <v>0</v>
      </c>
      <c r="AY64" s="1637">
        <f t="shared" ref="AY64:AZ64" si="448">SUM(AY59:AY63)</f>
        <v>0</v>
      </c>
      <c r="AZ64" s="1637">
        <f t="shared" si="448"/>
        <v>0</v>
      </c>
      <c r="BA64" s="1669">
        <f t="shared" ref="BA64" si="449">+AY64-AZ64</f>
        <v>0</v>
      </c>
      <c r="BB64" s="1640"/>
      <c r="BC64" s="1638"/>
      <c r="BD64" s="1640"/>
      <c r="BE64" s="1639">
        <f t="shared" si="399"/>
        <v>0.1664025356576862</v>
      </c>
      <c r="BF64" s="1637">
        <f t="shared" ref="BF64:BG64" si="450">SUM(BF59:BF63)</f>
        <v>2308764150</v>
      </c>
      <c r="BG64" s="1637">
        <f t="shared" si="450"/>
        <v>0</v>
      </c>
      <c r="BH64" s="1669">
        <f t="shared" ref="BH64" si="451">+BF64-BG64</f>
        <v>2308764150</v>
      </c>
      <c r="BI64" s="1640"/>
      <c r="BJ64" s="1638"/>
      <c r="BK64" s="1640"/>
      <c r="BL64" s="1639">
        <f t="shared" si="402"/>
        <v>0.12836767036450078</v>
      </c>
      <c r="BM64" s="1637">
        <f t="shared" ref="BM64:BN64" si="452">SUM(BM59:BM63)</f>
        <v>1781046630</v>
      </c>
      <c r="BN64" s="1637">
        <f t="shared" si="452"/>
        <v>0</v>
      </c>
      <c r="BO64" s="1669">
        <f t="shared" ref="BO64" si="453">+BM64-BN64</f>
        <v>1781046630</v>
      </c>
      <c r="BP64" s="1640"/>
      <c r="BQ64" s="1589"/>
      <c r="BR64" s="1644"/>
      <c r="BS64" s="1645"/>
      <c r="BT64" s="1645"/>
      <c r="BU64" s="401"/>
      <c r="BV64" s="401"/>
      <c r="BW64" s="401"/>
      <c r="BX64" s="401"/>
      <c r="BY64" s="401"/>
      <c r="BZ64" s="401"/>
      <c r="CA64" s="401"/>
      <c r="CB64" s="401"/>
      <c r="CC64" s="404"/>
      <c r="CD64" s="404"/>
    </row>
    <row r="65" spans="4:77">
      <c r="G65" s="1651"/>
    </row>
    <row r="66" spans="4:77">
      <c r="AD66" s="2161">
        <f>+D11+D17+D23+D29</f>
        <v>3998.36</v>
      </c>
      <c r="AR66" s="1807">
        <f>+AR11+AR17+AR23+AR29</f>
        <v>2430003290</v>
      </c>
    </row>
    <row r="67" spans="4:77">
      <c r="D67" s="1768"/>
      <c r="E67" s="1616"/>
      <c r="AD67" s="1616">
        <v>1050000000</v>
      </c>
      <c r="AE67" s="1616">
        <f>+AD67*AD66/1000*1.1</f>
        <v>4618105800</v>
      </c>
      <c r="AL67" s="1651">
        <f>+AL59+AE59</f>
        <v>1848000000</v>
      </c>
      <c r="AR67" s="1600">
        <f>+AR66/1470</f>
        <v>1653063.4625850341</v>
      </c>
    </row>
    <row r="68" spans="4:77">
      <c r="D68" s="1769"/>
      <c r="E68" s="1616"/>
      <c r="AD68" s="1616">
        <f>+D59*1050000000/1000*20%*1.1</f>
        <v>1847011320.0000005</v>
      </c>
      <c r="AE68" s="1616">
        <f>+AE67*50%</f>
        <v>2309052900</v>
      </c>
      <c r="AL68" s="1600">
        <f>+AL67/1470</f>
        <v>1257142.857142857</v>
      </c>
    </row>
    <row r="69" spans="4:77">
      <c r="E69" s="1616"/>
      <c r="AD69" s="2160">
        <f>+AD68/1470</f>
        <v>1256470.2857142861</v>
      </c>
      <c r="AE69" s="1600">
        <v>942464.87</v>
      </c>
      <c r="AL69" s="1600">
        <f>+AL68-942464.87</f>
        <v>314677.98714285705</v>
      </c>
    </row>
    <row r="70" spans="4:77">
      <c r="E70" s="1616"/>
      <c r="AD70" s="1600">
        <f>+AD69/2</f>
        <v>628235.14285714307</v>
      </c>
      <c r="AE70" s="1600">
        <v>1470</v>
      </c>
    </row>
    <row r="71" spans="4:77">
      <c r="E71" s="1616"/>
      <c r="W71" s="1616"/>
      <c r="Y71" s="1616"/>
      <c r="AD71" s="1616"/>
      <c r="AE71" s="1616">
        <f>+AE69*AE70</f>
        <v>1385423358.9000001</v>
      </c>
      <c r="AF71" s="1616"/>
      <c r="AK71" s="1616"/>
      <c r="AM71" s="1616"/>
      <c r="AR71" s="1616"/>
      <c r="AT71" s="1616"/>
      <c r="AY71" s="1616"/>
      <c r="BA71" s="1616"/>
      <c r="BF71" s="1616"/>
      <c r="BH71" s="1616"/>
      <c r="BM71" s="1616"/>
      <c r="BO71" s="1616"/>
      <c r="BU71" s="1616"/>
      <c r="BV71" s="1652"/>
      <c r="BY71" s="1652"/>
    </row>
    <row r="72" spans="4:77">
      <c r="E72" s="1616"/>
    </row>
  </sheetData>
  <mergeCells count="54">
    <mergeCell ref="B8:C8"/>
    <mergeCell ref="B9:B10"/>
    <mergeCell ref="C9:C10"/>
    <mergeCell ref="D9:D10"/>
    <mergeCell ref="E9:E10"/>
    <mergeCell ref="B17:B22"/>
    <mergeCell ref="C17:C22"/>
    <mergeCell ref="D17:D22"/>
    <mergeCell ref="E17:E22"/>
    <mergeCell ref="AA9:AG9"/>
    <mergeCell ref="G9:G10"/>
    <mergeCell ref="H9:H10"/>
    <mergeCell ref="I9:I10"/>
    <mergeCell ref="J9:L9"/>
    <mergeCell ref="M9:S9"/>
    <mergeCell ref="T9:Z9"/>
    <mergeCell ref="F9:F10"/>
    <mergeCell ref="BR9:BT10"/>
    <mergeCell ref="B11:B16"/>
    <mergeCell ref="C11:C16"/>
    <mergeCell ref="D11:D16"/>
    <mergeCell ref="E11:E16"/>
    <mergeCell ref="AH9:AN9"/>
    <mergeCell ref="AO9:AU9"/>
    <mergeCell ref="AV9:BB9"/>
    <mergeCell ref="BC9:BI9"/>
    <mergeCell ref="BJ9:BP9"/>
    <mergeCell ref="B23:B28"/>
    <mergeCell ref="C23:C28"/>
    <mergeCell ref="D23:D28"/>
    <mergeCell ref="E23:E28"/>
    <mergeCell ref="B29:B34"/>
    <mergeCell ref="C29:C34"/>
    <mergeCell ref="D29:D34"/>
    <mergeCell ref="E29:E34"/>
    <mergeCell ref="B35:B40"/>
    <mergeCell ref="C35:C40"/>
    <mergeCell ref="D35:D40"/>
    <mergeCell ref="E35:E40"/>
    <mergeCell ref="B41:B46"/>
    <mergeCell ref="C41:C46"/>
    <mergeCell ref="D41:D46"/>
    <mergeCell ref="E41:E46"/>
    <mergeCell ref="B59:C64"/>
    <mergeCell ref="D59:D64"/>
    <mergeCell ref="E59:E64"/>
    <mergeCell ref="B47:B52"/>
    <mergeCell ref="C47:C52"/>
    <mergeCell ref="D47:D52"/>
    <mergeCell ref="E47:E52"/>
    <mergeCell ref="B53:B58"/>
    <mergeCell ref="C53:C58"/>
    <mergeCell ref="D53:D58"/>
    <mergeCell ref="E53:E58"/>
  </mergeCells>
  <phoneticPr fontId="19" type="noConversion"/>
  <printOptions horizontalCentered="1"/>
  <pageMargins left="0" right="0" top="0.39370078740157483" bottom="0" header="0" footer="0"/>
  <pageSetup paperSize="8" scale="23"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C70B-194F-4264-8055-20761DCEFB1D}">
  <sheetPr>
    <tabColor rgb="FF92D050"/>
    <pageSetUpPr fitToPage="1"/>
  </sheetPr>
  <dimension ref="A1:CD59"/>
  <sheetViews>
    <sheetView showGridLines="0" zoomScale="85" zoomScaleNormal="85" zoomScaleSheetLayoutView="55" workbookViewId="0">
      <pane xSplit="9" ySplit="10" topLeftCell="BB11" activePane="bottomRight" state="frozen"/>
      <selection activeCell="B4" sqref="B4:E19"/>
      <selection pane="topRight" activeCell="B4" sqref="B4:E19"/>
      <selection pane="bottomLeft" activeCell="B4" sqref="B4:E19"/>
      <selection pane="bottomRight" activeCell="B4" sqref="B4:E19"/>
    </sheetView>
  </sheetViews>
  <sheetFormatPr defaultColWidth="9" defaultRowHeight="12.75" outlineLevelCol="1"/>
  <cols>
    <col min="1" max="1" width="1.625" style="1600" customWidth="1"/>
    <col min="2" max="2" width="4.875" style="1600" customWidth="1"/>
    <col min="3" max="3" width="17.625" style="1600" customWidth="1"/>
    <col min="4" max="4" width="12.625" style="1600" customWidth="1"/>
    <col min="5" max="5" width="12.375" style="1600" customWidth="1"/>
    <col min="6" max="6" width="17" style="1600" customWidth="1"/>
    <col min="7" max="9" width="11.625" style="1600" customWidth="1"/>
    <col min="10" max="10" width="6.625" style="1600" customWidth="1"/>
    <col min="11" max="12" width="11.625" style="1600" customWidth="1"/>
    <col min="13" max="14" width="10.125" style="1600" customWidth="1"/>
    <col min="15" max="15" width="6.625" style="1600" customWidth="1"/>
    <col min="16" max="18" width="11.625" style="1600" customWidth="1"/>
    <col min="19" max="19" width="9.75" style="1600" bestFit="1" customWidth="1"/>
    <col min="20" max="21" width="10.125" style="1600" customWidth="1"/>
    <col min="22" max="22" width="6.625" style="1600" customWidth="1"/>
    <col min="23" max="25" width="11.625" style="1600" customWidth="1"/>
    <col min="26" max="26" width="12.125" style="1600" customWidth="1"/>
    <col min="27" max="28" width="10.125" style="1600" customWidth="1"/>
    <col min="29" max="29" width="6.625" style="1600" customWidth="1"/>
    <col min="30" max="32" width="11.625" style="1600" customWidth="1"/>
    <col min="33" max="33" width="12.125" style="1600" customWidth="1"/>
    <col min="34" max="35" width="10.125" style="1600" customWidth="1" outlineLevel="1"/>
    <col min="36" max="36" width="6.625" style="1600" customWidth="1" outlineLevel="1"/>
    <col min="37" max="39" width="11.625" style="1600" customWidth="1" outlineLevel="1"/>
    <col min="40" max="40" width="12.125" style="1600" customWidth="1" outlineLevel="1"/>
    <col min="41" max="42" width="10.125" style="1600" customWidth="1"/>
    <col min="43" max="43" width="6.625" style="1600" customWidth="1"/>
    <col min="44" max="46" width="11.625" style="1600" customWidth="1"/>
    <col min="47" max="47" width="12.125" style="1600" customWidth="1"/>
    <col min="48" max="49" width="10.125" style="1600" customWidth="1"/>
    <col min="50" max="50" width="6.625" style="1600" customWidth="1"/>
    <col min="51" max="53" width="11.625" style="1600" customWidth="1"/>
    <col min="54" max="54" width="12.125" style="1600" customWidth="1"/>
    <col min="55" max="56" width="10.125" style="1600" customWidth="1"/>
    <col min="57" max="57" width="6.625" style="1600" customWidth="1"/>
    <col min="58" max="60" width="11.625" style="1600" customWidth="1"/>
    <col min="61" max="61" width="12.125" style="1600" customWidth="1"/>
    <col min="62" max="63" width="10.125" style="1600" customWidth="1"/>
    <col min="64" max="64" width="6.625" style="1600" customWidth="1"/>
    <col min="65" max="67" width="11.625" style="1600" customWidth="1"/>
    <col min="68" max="68" width="12.125" style="1600" customWidth="1"/>
    <col min="69" max="69" width="1.625" style="1600" customWidth="1"/>
    <col min="70" max="72" width="9.625" style="1600" customWidth="1"/>
    <col min="73" max="73" width="12.125" style="1600" customWidth="1"/>
    <col min="74" max="74" width="1.625" style="1600" customWidth="1"/>
    <col min="75" max="76" width="13.625" style="1600" customWidth="1"/>
    <col min="77" max="77" width="12.125" style="1600" customWidth="1"/>
    <col min="78" max="78" width="15" style="1600" bestFit="1" customWidth="1"/>
    <col min="79" max="16384" width="9" style="1600"/>
  </cols>
  <sheetData>
    <row r="1" spans="1:82" s="1599" customFormat="1">
      <c r="BV1" s="1600"/>
      <c r="BY1" s="1600"/>
    </row>
    <row r="2" spans="1:82" s="1599" customFormat="1">
      <c r="B2" s="1599" t="s">
        <v>181</v>
      </c>
      <c r="BV2" s="1600"/>
      <c r="BY2" s="1600"/>
    </row>
    <row r="3" spans="1:82" s="1599" customFormat="1">
      <c r="B3" s="1599" t="s">
        <v>182</v>
      </c>
      <c r="BV3" s="1600"/>
      <c r="BY3" s="1600"/>
    </row>
    <row r="4" spans="1:82" s="1599" customFormat="1">
      <c r="B4" s="1599" t="s">
        <v>184</v>
      </c>
      <c r="BV4" s="1600"/>
      <c r="BY4" s="1600"/>
    </row>
    <row r="5" spans="1:82" s="1599" customFormat="1">
      <c r="B5" s="1599" t="s">
        <v>186</v>
      </c>
      <c r="BV5" s="1600"/>
      <c r="BY5" s="1600"/>
    </row>
    <row r="6" spans="1:82" s="1599" customFormat="1">
      <c r="B6" s="1599" t="s">
        <v>188</v>
      </c>
      <c r="Q6" s="1910"/>
      <c r="BV6" s="1600"/>
      <c r="BY6" s="1600"/>
    </row>
    <row r="7" spans="1:82" s="1599" customFormat="1">
      <c r="B7" s="1599" t="s">
        <v>190</v>
      </c>
      <c r="BV7" s="1600"/>
      <c r="BY7" s="1600"/>
    </row>
    <row r="8" spans="1:82">
      <c r="A8" s="401"/>
      <c r="B8" s="2522"/>
      <c r="C8" s="2522"/>
      <c r="D8" s="1601"/>
      <c r="E8" s="1601"/>
      <c r="F8" s="401"/>
      <c r="G8" s="1648"/>
      <c r="H8" s="1648"/>
      <c r="I8" s="1648"/>
      <c r="J8" s="401"/>
      <c r="K8" s="401"/>
      <c r="L8" s="401"/>
      <c r="M8" s="401"/>
      <c r="N8" s="401"/>
      <c r="O8" s="401"/>
      <c r="P8" s="401"/>
      <c r="Q8" s="401"/>
      <c r="R8" s="401"/>
      <c r="S8" s="401"/>
      <c r="T8" s="401"/>
      <c r="U8" s="401"/>
      <c r="V8" s="401"/>
      <c r="W8" s="401"/>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c r="BK8" s="401"/>
      <c r="BL8" s="401"/>
      <c r="BM8" s="401"/>
      <c r="BN8" s="401"/>
      <c r="BO8" s="401"/>
      <c r="BP8" s="401"/>
      <c r="BQ8" s="404"/>
      <c r="BR8" s="401"/>
      <c r="BS8" s="401"/>
      <c r="BT8" s="401"/>
      <c r="BU8" s="401"/>
      <c r="BV8" s="401"/>
      <c r="BW8" s="401"/>
      <c r="BX8" s="401"/>
      <c r="BY8" s="401"/>
      <c r="BZ8" s="401"/>
      <c r="CA8" s="401"/>
      <c r="CB8" s="401"/>
      <c r="CC8" s="401"/>
      <c r="CD8" s="401"/>
    </row>
    <row r="9" spans="1:82" ht="28.15" customHeight="1">
      <c r="A9" s="401"/>
      <c r="B9" s="2375" t="s">
        <v>98</v>
      </c>
      <c r="C9" s="2375" t="s">
        <v>99</v>
      </c>
      <c r="D9" s="2373" t="s">
        <v>100</v>
      </c>
      <c r="E9" s="2523" t="s">
        <v>101</v>
      </c>
      <c r="F9" s="2373" t="s">
        <v>102</v>
      </c>
      <c r="G9" s="2373" t="s">
        <v>103</v>
      </c>
      <c r="H9" s="2373" t="s">
        <v>104</v>
      </c>
      <c r="I9" s="2373" t="s">
        <v>218</v>
      </c>
      <c r="J9" s="2521" t="s">
        <v>106</v>
      </c>
      <c r="K9" s="2521"/>
      <c r="L9" s="2521"/>
      <c r="M9" s="2521" t="s">
        <v>107</v>
      </c>
      <c r="N9" s="2521"/>
      <c r="O9" s="2521"/>
      <c r="P9" s="2521"/>
      <c r="Q9" s="2521"/>
      <c r="R9" s="2521"/>
      <c r="S9" s="2521"/>
      <c r="T9" s="2521" t="s">
        <v>108</v>
      </c>
      <c r="U9" s="2521"/>
      <c r="V9" s="2521"/>
      <c r="W9" s="2521"/>
      <c r="X9" s="2521"/>
      <c r="Y9" s="2521"/>
      <c r="Z9" s="2521"/>
      <c r="AA9" s="2521" t="s">
        <v>109</v>
      </c>
      <c r="AB9" s="2521"/>
      <c r="AC9" s="2521"/>
      <c r="AD9" s="2521"/>
      <c r="AE9" s="2521"/>
      <c r="AF9" s="2521"/>
      <c r="AG9" s="2521"/>
      <c r="AH9" s="2521" t="s">
        <v>110</v>
      </c>
      <c r="AI9" s="2521"/>
      <c r="AJ9" s="2521"/>
      <c r="AK9" s="2521"/>
      <c r="AL9" s="2521"/>
      <c r="AM9" s="2521"/>
      <c r="AN9" s="2521"/>
      <c r="AO9" s="2521" t="s">
        <v>111</v>
      </c>
      <c r="AP9" s="2521"/>
      <c r="AQ9" s="2521"/>
      <c r="AR9" s="2521"/>
      <c r="AS9" s="2521"/>
      <c r="AT9" s="2521"/>
      <c r="AU9" s="2521"/>
      <c r="AV9" s="2521" t="s">
        <v>112</v>
      </c>
      <c r="AW9" s="2521"/>
      <c r="AX9" s="2521"/>
      <c r="AY9" s="2521"/>
      <c r="AZ9" s="2521"/>
      <c r="BA9" s="2521"/>
      <c r="BB9" s="2521"/>
      <c r="BC9" s="2521" t="s">
        <v>113</v>
      </c>
      <c r="BD9" s="2521"/>
      <c r="BE9" s="2521"/>
      <c r="BF9" s="2521"/>
      <c r="BG9" s="2521"/>
      <c r="BH9" s="2521"/>
      <c r="BI9" s="2521"/>
      <c r="BJ9" s="2521" t="s">
        <v>209</v>
      </c>
      <c r="BK9" s="2521"/>
      <c r="BL9" s="2521"/>
      <c r="BM9" s="2521"/>
      <c r="BN9" s="2521"/>
      <c r="BO9" s="2521"/>
      <c r="BP9" s="2521"/>
      <c r="BQ9" s="1646"/>
      <c r="BR9" s="2521" t="s">
        <v>114</v>
      </c>
      <c r="BS9" s="2521"/>
      <c r="BT9" s="2521"/>
      <c r="BU9" s="401"/>
      <c r="BV9" s="401"/>
      <c r="BW9" s="401"/>
      <c r="BX9" s="401"/>
      <c r="BY9" s="401"/>
      <c r="BZ9" s="401"/>
      <c r="CA9" s="401"/>
      <c r="CB9" s="401"/>
      <c r="CC9" s="404"/>
      <c r="CD9" s="404"/>
    </row>
    <row r="10" spans="1:82" ht="42" customHeight="1">
      <c r="A10" s="401"/>
      <c r="B10" s="2376"/>
      <c r="C10" s="2376"/>
      <c r="D10" s="2374"/>
      <c r="E10" s="2524"/>
      <c r="F10" s="2374"/>
      <c r="G10" s="2374"/>
      <c r="H10" s="2374"/>
      <c r="I10" s="2374"/>
      <c r="J10" s="1590" t="s">
        <v>115</v>
      </c>
      <c r="K10" s="1590" t="s">
        <v>116</v>
      </c>
      <c r="L10" s="1590" t="s">
        <v>117</v>
      </c>
      <c r="M10" s="1590" t="s">
        <v>118</v>
      </c>
      <c r="N10" s="1590" t="s">
        <v>119</v>
      </c>
      <c r="O10" s="1590" t="s">
        <v>115</v>
      </c>
      <c r="P10" s="1590" t="s">
        <v>120</v>
      </c>
      <c r="Q10" s="1590" t="s">
        <v>121</v>
      </c>
      <c r="R10" s="1590" t="s">
        <v>122</v>
      </c>
      <c r="S10" s="1590" t="s">
        <v>123</v>
      </c>
      <c r="T10" s="1590" t="s">
        <v>219</v>
      </c>
      <c r="U10" s="1590" t="s">
        <v>119</v>
      </c>
      <c r="V10" s="1590" t="s">
        <v>115</v>
      </c>
      <c r="W10" s="1590" t="s">
        <v>120</v>
      </c>
      <c r="X10" s="1590" t="s">
        <v>121</v>
      </c>
      <c r="Y10" s="1590" t="s">
        <v>122</v>
      </c>
      <c r="Z10" s="1590" t="s">
        <v>123</v>
      </c>
      <c r="AA10" s="1590" t="s">
        <v>219</v>
      </c>
      <c r="AB10" s="1590" t="s">
        <v>119</v>
      </c>
      <c r="AC10" s="1590" t="s">
        <v>115</v>
      </c>
      <c r="AD10" s="1590" t="s">
        <v>120</v>
      </c>
      <c r="AE10" s="1590" t="s">
        <v>121</v>
      </c>
      <c r="AF10" s="1590" t="s">
        <v>122</v>
      </c>
      <c r="AG10" s="1590" t="s">
        <v>123</v>
      </c>
      <c r="AH10" s="1590" t="s">
        <v>118</v>
      </c>
      <c r="AI10" s="1590" t="s">
        <v>119</v>
      </c>
      <c r="AJ10" s="1590" t="s">
        <v>115</v>
      </c>
      <c r="AK10" s="1590" t="s">
        <v>120</v>
      </c>
      <c r="AL10" s="1590" t="s">
        <v>121</v>
      </c>
      <c r="AM10" s="1590" t="s">
        <v>122</v>
      </c>
      <c r="AN10" s="1590" t="s">
        <v>123</v>
      </c>
      <c r="AO10" s="1590" t="s">
        <v>118</v>
      </c>
      <c r="AP10" s="1590" t="s">
        <v>119</v>
      </c>
      <c r="AQ10" s="1590" t="s">
        <v>115</v>
      </c>
      <c r="AR10" s="1590" t="s">
        <v>120</v>
      </c>
      <c r="AS10" s="1590" t="s">
        <v>121</v>
      </c>
      <c r="AT10" s="1590" t="s">
        <v>122</v>
      </c>
      <c r="AU10" s="1590" t="s">
        <v>123</v>
      </c>
      <c r="AV10" s="1590" t="s">
        <v>118</v>
      </c>
      <c r="AW10" s="1590" t="s">
        <v>119</v>
      </c>
      <c r="AX10" s="1590" t="s">
        <v>115</v>
      </c>
      <c r="AY10" s="1590" t="s">
        <v>120</v>
      </c>
      <c r="AZ10" s="1590" t="s">
        <v>121</v>
      </c>
      <c r="BA10" s="1590" t="s">
        <v>122</v>
      </c>
      <c r="BB10" s="1590" t="s">
        <v>123</v>
      </c>
      <c r="BC10" s="1590" t="s">
        <v>118</v>
      </c>
      <c r="BD10" s="1590" t="s">
        <v>119</v>
      </c>
      <c r="BE10" s="1590" t="s">
        <v>115</v>
      </c>
      <c r="BF10" s="1590" t="s">
        <v>120</v>
      </c>
      <c r="BG10" s="1590" t="s">
        <v>121</v>
      </c>
      <c r="BH10" s="1590" t="s">
        <v>122</v>
      </c>
      <c r="BI10" s="1590" t="s">
        <v>123</v>
      </c>
      <c r="BJ10" s="1590" t="s">
        <v>118</v>
      </c>
      <c r="BK10" s="1590" t="s">
        <v>219</v>
      </c>
      <c r="BL10" s="1590" t="s">
        <v>115</v>
      </c>
      <c r="BM10" s="1590" t="s">
        <v>120</v>
      </c>
      <c r="BN10" s="1590" t="s">
        <v>121</v>
      </c>
      <c r="BO10" s="1590" t="s">
        <v>122</v>
      </c>
      <c r="BP10" s="1590" t="s">
        <v>123</v>
      </c>
      <c r="BQ10" s="1647"/>
      <c r="BR10" s="2521"/>
      <c r="BS10" s="2521"/>
      <c r="BT10" s="2521"/>
      <c r="BU10" s="401"/>
      <c r="BV10" s="401"/>
      <c r="BW10" s="401"/>
      <c r="BX10" s="401"/>
      <c r="BY10" s="401"/>
      <c r="BZ10" s="401"/>
      <c r="CA10" s="401"/>
      <c r="CB10" s="401"/>
      <c r="CC10" s="404"/>
      <c r="CD10" s="404"/>
    </row>
    <row r="11" spans="1:82" ht="16.5" customHeight="1">
      <c r="A11" s="1649"/>
      <c r="B11" s="2517">
        <v>1</v>
      </c>
      <c r="C11" s="2520" t="s">
        <v>220</v>
      </c>
      <c r="D11" s="2518">
        <v>551.04</v>
      </c>
      <c r="E11" s="2518" t="s">
        <v>124</v>
      </c>
      <c r="F11" s="1659" t="s">
        <v>125</v>
      </c>
      <c r="G11" s="1596">
        <f>+'PAYMENT RATIO_RAW'!F$10*'GM Batch2-APA'!$D$11/1000</f>
        <v>578592000</v>
      </c>
      <c r="H11" s="1596">
        <f>+G11*10%</f>
        <v>57859200</v>
      </c>
      <c r="I11" s="1596">
        <f>SUM(G11:H11)</f>
        <v>636451200</v>
      </c>
      <c r="J11" s="1676">
        <f t="shared" ref="J11:J52" si="0">+IFERROR(K11/I11,"-")</f>
        <v>0</v>
      </c>
      <c r="K11" s="1670">
        <f>+IFERROR(Q11+X11+AE11+AS11+AZ11+BG11+BN11,"-")</f>
        <v>0</v>
      </c>
      <c r="L11" s="1670">
        <f>+I11-K11</f>
        <v>636451200</v>
      </c>
      <c r="M11" s="1586"/>
      <c r="N11" s="1586"/>
      <c r="O11" s="1677"/>
      <c r="P11" s="1654">
        <f>+$I11*'PAYMENT RATIO_RAW'!G$10</f>
        <v>0</v>
      </c>
      <c r="Q11" s="1678"/>
      <c r="R11" s="1678">
        <f>+P11-Q11</f>
        <v>0</v>
      </c>
      <c r="S11" s="1679"/>
      <c r="T11" s="1625"/>
      <c r="U11" s="1586"/>
      <c r="V11" s="1677"/>
      <c r="W11" s="1654">
        <f>+$I11*'PAYMENT RATIO_RAW'!N$10</f>
        <v>0</v>
      </c>
      <c r="X11" s="1678"/>
      <c r="Y11" s="1678">
        <f>+W11-X11</f>
        <v>0</v>
      </c>
      <c r="Z11" s="1679"/>
      <c r="AA11" s="1625">
        <v>46042</v>
      </c>
      <c r="AB11" s="1586"/>
      <c r="AC11" s="1677">
        <f>+IFERROR(AD11/$I11,"-")</f>
        <v>0.3</v>
      </c>
      <c r="AD11" s="1654">
        <f>+'PAYMENT RATIO_RAW'!$U$10*I11</f>
        <v>190935360</v>
      </c>
      <c r="AE11" s="1678"/>
      <c r="AF11" s="1678">
        <f>+AD11-AE11</f>
        <v>190935360</v>
      </c>
      <c r="AG11" s="1679"/>
      <c r="AH11" s="1625">
        <v>46081</v>
      </c>
      <c r="AI11" s="1585"/>
      <c r="AJ11" s="1677">
        <f>+IFERROR(AK11/$I11,"-")</f>
        <v>0.4</v>
      </c>
      <c r="AK11" s="1678">
        <f>+'PAYMENT RATIO_RAW'!$AB$10*I11</f>
        <v>254580480</v>
      </c>
      <c r="AL11" s="1678"/>
      <c r="AM11" s="1678">
        <f>+AK11-AL11</f>
        <v>254580480</v>
      </c>
      <c r="AN11" s="1679"/>
      <c r="AO11" s="1625">
        <f>+EDATE(AV11,-1)</f>
        <v>46111</v>
      </c>
      <c r="AP11" s="1586"/>
      <c r="AQ11" s="1677">
        <f>+IFERROR(AR11/$I11,"-")</f>
        <v>0</v>
      </c>
      <c r="AR11" s="1654">
        <f>+$I11*'PAYMENT RATIO_RAW'!AI$10</f>
        <v>0</v>
      </c>
      <c r="AS11" s="1678"/>
      <c r="AT11" s="1678">
        <f>+AR11-AS11</f>
        <v>0</v>
      </c>
      <c r="AU11" s="1679"/>
      <c r="AV11" s="1625">
        <f>+EDATE(BC11,-1)</f>
        <v>46142</v>
      </c>
      <c r="AW11" s="1586"/>
      <c r="AX11" s="1677">
        <f>+IFERROR(AY11/$I11,"-")</f>
        <v>0</v>
      </c>
      <c r="AY11" s="1654">
        <f>+$I11*'PAYMENT RATIO_RAW'!AP$10</f>
        <v>0</v>
      </c>
      <c r="AZ11" s="1678"/>
      <c r="BA11" s="1678">
        <f>+AY11-AZ11</f>
        <v>0</v>
      </c>
      <c r="BB11" s="1679"/>
      <c r="BC11" s="1625">
        <f>+EDATE(BJ11,-1)</f>
        <v>46172</v>
      </c>
      <c r="BD11" s="1586"/>
      <c r="BE11" s="1677">
        <f>+IFERROR(BF11/$I11,"-")</f>
        <v>0</v>
      </c>
      <c r="BF11" s="1654">
        <f>+$I11*'PAYMENT RATIO_RAW'!AW$10</f>
        <v>0</v>
      </c>
      <c r="BG11" s="1678"/>
      <c r="BH11" s="1678">
        <f>+BF11-BG11</f>
        <v>0</v>
      </c>
      <c r="BI11" s="1679"/>
      <c r="BJ11" s="1626">
        <v>46203</v>
      </c>
      <c r="BK11" s="1626"/>
      <c r="BL11" s="1677">
        <f>+IFERROR(BM11/$I11,"-")</f>
        <v>0.3</v>
      </c>
      <c r="BM11" s="1654">
        <f>+$I11*'PAYMENT RATIO_RAW'!BD$10</f>
        <v>190935360</v>
      </c>
      <c r="BN11" s="1678"/>
      <c r="BO11" s="1678">
        <f>+BM11-BN11</f>
        <v>190935360</v>
      </c>
      <c r="BP11" s="1679"/>
      <c r="BQ11" s="1588"/>
      <c r="BR11" s="1587" t="b">
        <f>+P11+W11+AD11+AK11+AR11+AY11+BF11+BM11=I11</f>
        <v>1</v>
      </c>
      <c r="BS11" s="1587" t="b">
        <f>+Q11+X11+AE11+AS11+AZ11+BG11+BN11=K11</f>
        <v>1</v>
      </c>
      <c r="BT11" s="1587"/>
      <c r="BU11" s="401"/>
      <c r="BV11" s="401"/>
      <c r="BW11" s="401"/>
      <c r="BX11" s="401"/>
      <c r="BY11" s="401"/>
      <c r="BZ11" s="401"/>
      <c r="CA11" s="401"/>
      <c r="CB11" s="401"/>
      <c r="CC11" s="404"/>
      <c r="CD11" s="404"/>
    </row>
    <row r="12" spans="1:82" ht="13.5">
      <c r="A12" s="1649"/>
      <c r="B12" s="2517"/>
      <c r="C12" s="2520"/>
      <c r="D12" s="2518"/>
      <c r="E12" s="2518"/>
      <c r="F12" s="1661" t="s">
        <v>126</v>
      </c>
      <c r="G12" s="1597">
        <f>+'PAYMENT RATIO_RAW'!F$11*'GM Batch2-APA'!$D$11/1000</f>
        <v>192864000</v>
      </c>
      <c r="H12" s="1597"/>
      <c r="I12" s="1597">
        <f t="shared" ref="I12:I15" si="1">SUM(G12:H12)</f>
        <v>192864000</v>
      </c>
      <c r="J12" s="1661">
        <f t="shared" si="0"/>
        <v>0.72534843205574917</v>
      </c>
      <c r="K12" s="1671">
        <f t="shared" ref="K12:K45" si="2">+IFERROR(Q12+X12+AE12+AS12+AZ12+BG12+BN12,"-")</f>
        <v>139893600</v>
      </c>
      <c r="L12" s="1671">
        <f t="shared" ref="L12:L15" si="3">+I12-K12</f>
        <v>52970400</v>
      </c>
      <c r="M12" s="1626">
        <v>45807</v>
      </c>
      <c r="N12" s="1626">
        <v>45807</v>
      </c>
      <c r="O12" s="1660">
        <f t="shared" ref="O12:O14" si="4">+IFERROR(P12/$I12,"-")</f>
        <v>0.4</v>
      </c>
      <c r="P12" s="1654">
        <f>+$I12*'PAYMENT RATIO_RAW'!G$11</f>
        <v>77145600</v>
      </c>
      <c r="Q12" s="1654">
        <v>139893600</v>
      </c>
      <c r="R12" s="1654">
        <f t="shared" ref="R12:R52" si="5">+P12-Q12</f>
        <v>-62748000</v>
      </c>
      <c r="S12" s="1662"/>
      <c r="T12" s="1626">
        <v>46022</v>
      </c>
      <c r="U12" s="1626"/>
      <c r="V12" s="1660">
        <f t="shared" ref="V12:V16" si="6">+IFERROR(W12/$I12,"-")</f>
        <v>0.2</v>
      </c>
      <c r="W12" s="1654">
        <f>+$I12*'PAYMENT RATIO_RAW'!N$11</f>
        <v>38572800</v>
      </c>
      <c r="X12" s="1654"/>
      <c r="Y12" s="1654">
        <f t="shared" ref="Y12:Y16" si="7">+W12-X12</f>
        <v>38572800</v>
      </c>
      <c r="Z12" s="1686"/>
      <c r="AA12" s="1626">
        <v>46142</v>
      </c>
      <c r="AB12" s="1626"/>
      <c r="AC12" s="1660">
        <f t="shared" ref="AC12:AC16" si="8">+IFERROR(AD12/$I12,"-")</f>
        <v>0.3</v>
      </c>
      <c r="AD12" s="1654">
        <f>+'PAYMENT RATIO_RAW'!$U$11*I12</f>
        <v>57859200</v>
      </c>
      <c r="AE12" s="1654"/>
      <c r="AF12" s="1654">
        <f t="shared" ref="AF12:AF16" si="9">+AD12-AE12</f>
        <v>57859200</v>
      </c>
      <c r="AG12" s="1662"/>
      <c r="AH12" s="1626"/>
      <c r="AI12" s="1626"/>
      <c r="AJ12" s="1660">
        <f t="shared" ref="AJ12:AJ16" si="10">+IFERROR(AK12/$I12,"-")</f>
        <v>0</v>
      </c>
      <c r="AK12" s="1654">
        <f>+'PAYMENT RATIO_RAW'!$AB$11*I12</f>
        <v>0</v>
      </c>
      <c r="AL12" s="1654"/>
      <c r="AM12" s="1654">
        <f t="shared" ref="AM12:AM16" si="11">+AK12-AL12</f>
        <v>0</v>
      </c>
      <c r="AN12" s="1662"/>
      <c r="AO12" s="1626"/>
      <c r="AP12" s="1626"/>
      <c r="AQ12" s="1660"/>
      <c r="AR12" s="1654">
        <f>+$I12*'PAYMENT RATIO_RAW'!AI$11</f>
        <v>0</v>
      </c>
      <c r="AS12" s="1654"/>
      <c r="AT12" s="1654">
        <f t="shared" ref="AT12:AT16" si="12">+AR12-AS12</f>
        <v>0</v>
      </c>
      <c r="AU12" s="1662"/>
      <c r="AV12" s="1626"/>
      <c r="AW12" s="1626"/>
      <c r="AX12" s="1660"/>
      <c r="AY12" s="1654">
        <f>+$I12*'PAYMENT RATIO_RAW'!AP$11</f>
        <v>0</v>
      </c>
      <c r="AZ12" s="1654"/>
      <c r="BA12" s="1654">
        <f t="shared" ref="BA12:BA16" si="13">+AY12-AZ12</f>
        <v>0</v>
      </c>
      <c r="BB12" s="1662"/>
      <c r="BC12" s="1626"/>
      <c r="BD12" s="1626"/>
      <c r="BE12" s="1660">
        <f t="shared" ref="BE12:BE27" si="14">+IFERROR(BF12/$I12,"-")</f>
        <v>0</v>
      </c>
      <c r="BF12" s="1654">
        <f>+$I12*'PAYMENT RATIO_RAW'!AW$11</f>
        <v>0</v>
      </c>
      <c r="BG12" s="1654"/>
      <c r="BH12" s="1678">
        <f t="shared" ref="BH12:BH16" si="15">+BF12-BG12</f>
        <v>0</v>
      </c>
      <c r="BI12" s="1662"/>
      <c r="BJ12" s="1626">
        <v>46203</v>
      </c>
      <c r="BK12" s="1626"/>
      <c r="BL12" s="1660">
        <f t="shared" ref="BL12:BL46" si="16">+IFERROR(BM12/$I12,"-")</f>
        <v>0.1</v>
      </c>
      <c r="BM12" s="1654">
        <f>+$I12*'PAYMENT RATIO_RAW'!BD$11</f>
        <v>19286400</v>
      </c>
      <c r="BN12" s="1654"/>
      <c r="BO12" s="1654">
        <f t="shared" ref="BO12:BO16" si="17">+BM12-BN12</f>
        <v>19286400</v>
      </c>
      <c r="BP12" s="1662"/>
      <c r="BQ12" s="1588"/>
      <c r="BR12" s="1587" t="b">
        <f>+BM12+BF12+AY12+AR12+AD12+W12+P12=I12</f>
        <v>1</v>
      </c>
      <c r="BS12" s="1587" t="b">
        <f t="shared" ref="BS12:BS15" si="18">+Q12+X12+AE12+AS12+AZ12+BG12+BN12=K12</f>
        <v>1</v>
      </c>
      <c r="BT12" s="1587" t="b">
        <f>+BF12+BF14+AY12+AY14+AR12+AR14+AD12+AD14+W12+W14+P12+P14+BM12+BM14=('PAYMENT RATIO_RAW'!$F$11+'PAYMENT RATIO_RAW'!$F$13)*D11*1.1/1000</f>
        <v>0</v>
      </c>
      <c r="BU12" s="1687"/>
      <c r="BV12" s="401"/>
      <c r="BW12" s="1688"/>
      <c r="BX12" s="401"/>
      <c r="BY12" s="401"/>
      <c r="BZ12" s="401"/>
      <c r="CA12" s="401"/>
      <c r="CB12" s="401"/>
      <c r="CC12" s="404"/>
      <c r="CD12" s="404"/>
    </row>
    <row r="13" spans="1:82">
      <c r="A13" s="1649"/>
      <c r="B13" s="2517"/>
      <c r="C13" s="2520"/>
      <c r="D13" s="2518"/>
      <c r="E13" s="2518"/>
      <c r="F13" s="1661" t="s">
        <v>127</v>
      </c>
      <c r="G13" s="1597">
        <f>+'PAYMENT RATIO_RAW'!F$12*'GM Batch2-APA'!$D$11/1000</f>
        <v>165312000</v>
      </c>
      <c r="H13" s="1597"/>
      <c r="I13" s="1597">
        <f t="shared" si="1"/>
        <v>165312000</v>
      </c>
      <c r="J13" s="1661">
        <f t="shared" si="0"/>
        <v>0.72534843205574917</v>
      </c>
      <c r="K13" s="1671">
        <f t="shared" si="2"/>
        <v>119908800</v>
      </c>
      <c r="L13" s="1671">
        <f t="shared" si="3"/>
        <v>45403200</v>
      </c>
      <c r="M13" s="1626">
        <v>45807</v>
      </c>
      <c r="N13" s="1626">
        <v>45807</v>
      </c>
      <c r="O13" s="1660">
        <f t="shared" si="4"/>
        <v>0.4</v>
      </c>
      <c r="P13" s="1654">
        <f>+$I13*'PAYMENT RATIO_RAW'!G$12</f>
        <v>66124800</v>
      </c>
      <c r="Q13" s="1654">
        <v>119908800</v>
      </c>
      <c r="R13" s="1654">
        <f t="shared" si="5"/>
        <v>-53784000</v>
      </c>
      <c r="S13" s="1662"/>
      <c r="T13" s="1626">
        <v>46022</v>
      </c>
      <c r="U13" s="1626"/>
      <c r="V13" s="1660">
        <f t="shared" si="6"/>
        <v>0.2</v>
      </c>
      <c r="W13" s="1654">
        <f>+$I13*'PAYMENT RATIO_RAW'!N$12</f>
        <v>33062400</v>
      </c>
      <c r="X13" s="1654"/>
      <c r="Y13" s="1654">
        <f t="shared" si="7"/>
        <v>33062400</v>
      </c>
      <c r="Z13" s="1662"/>
      <c r="AA13" s="1626">
        <v>46142</v>
      </c>
      <c r="AB13" s="1626"/>
      <c r="AC13" s="1660">
        <f t="shared" si="8"/>
        <v>0.3</v>
      </c>
      <c r="AD13" s="1654">
        <f>+'PAYMENT RATIO_RAW'!$U$12*I13</f>
        <v>49593600</v>
      </c>
      <c r="AE13" s="1654"/>
      <c r="AF13" s="1654">
        <f t="shared" si="9"/>
        <v>49593600</v>
      </c>
      <c r="AG13" s="1662"/>
      <c r="AH13" s="1626"/>
      <c r="AI13" s="1626"/>
      <c r="AJ13" s="1660">
        <f t="shared" si="10"/>
        <v>0</v>
      </c>
      <c r="AK13" s="1654">
        <f>+'PAYMENT RATIO_RAW'!$AB$12*I13</f>
        <v>0</v>
      </c>
      <c r="AL13" s="1654"/>
      <c r="AM13" s="1654">
        <f t="shared" si="11"/>
        <v>0</v>
      </c>
      <c r="AN13" s="1662"/>
      <c r="AO13" s="1626"/>
      <c r="AP13" s="1626"/>
      <c r="AQ13" s="1660"/>
      <c r="AR13" s="1654">
        <f>+$I13*'PAYMENT RATIO_RAW'!AI$12</f>
        <v>0</v>
      </c>
      <c r="AS13" s="1654"/>
      <c r="AT13" s="1654">
        <f t="shared" si="12"/>
        <v>0</v>
      </c>
      <c r="AU13" s="1662"/>
      <c r="AV13" s="1626"/>
      <c r="AW13" s="1626"/>
      <c r="AX13" s="1660"/>
      <c r="AY13" s="1654">
        <f>+$I13*'PAYMENT RATIO_RAW'!AP$12</f>
        <v>0</v>
      </c>
      <c r="AZ13" s="1654"/>
      <c r="BA13" s="1654">
        <f t="shared" si="13"/>
        <v>0</v>
      </c>
      <c r="BB13" s="1662"/>
      <c r="BC13" s="1626"/>
      <c r="BD13" s="1626"/>
      <c r="BE13" s="1660">
        <f t="shared" si="14"/>
        <v>0</v>
      </c>
      <c r="BF13" s="1654">
        <f>+$I13*'PAYMENT RATIO_RAW'!AW$12</f>
        <v>0</v>
      </c>
      <c r="BG13" s="1654"/>
      <c r="BH13" s="1678">
        <f t="shared" si="15"/>
        <v>0</v>
      </c>
      <c r="BI13" s="1662"/>
      <c r="BJ13" s="1626">
        <v>46203</v>
      </c>
      <c r="BK13" s="1626"/>
      <c r="BL13" s="1660">
        <f t="shared" si="16"/>
        <v>0.1</v>
      </c>
      <c r="BM13" s="1654">
        <f>+$I13*'PAYMENT RATIO_RAW'!BD$12</f>
        <v>16531200</v>
      </c>
      <c r="BN13" s="1654"/>
      <c r="BO13" s="1654">
        <f t="shared" si="17"/>
        <v>16531200</v>
      </c>
      <c r="BP13" s="1662"/>
      <c r="BQ13" s="1588"/>
      <c r="BR13" s="1587" t="b">
        <f>+P13+W13+AD13+AR13+AY13+BF13+BM13=I13</f>
        <v>1</v>
      </c>
      <c r="BS13" s="1587" t="b">
        <f>+Q13+X13+AE13+AS13+AZ13+BG13+BN13=K13</f>
        <v>1</v>
      </c>
      <c r="BT13" s="1587"/>
      <c r="BU13" s="401"/>
      <c r="BV13" s="401"/>
      <c r="BW13" s="1653"/>
      <c r="BX13" s="401"/>
      <c r="BY13" s="401"/>
      <c r="BZ13" s="401"/>
      <c r="CA13" s="401"/>
      <c r="CB13" s="401"/>
      <c r="CC13" s="404"/>
      <c r="CD13" s="404"/>
    </row>
    <row r="14" spans="1:82">
      <c r="A14" s="1649"/>
      <c r="B14" s="2517"/>
      <c r="C14" s="2520"/>
      <c r="D14" s="2518"/>
      <c r="E14" s="2518"/>
      <c r="F14" s="1661" t="s">
        <v>128</v>
      </c>
      <c r="G14" s="1597">
        <f>+'PAYMENT RATIO_RAW'!F$13*'GM Batch2-APA'!$D$11/1000</f>
        <v>110208000</v>
      </c>
      <c r="H14" s="1680"/>
      <c r="I14" s="1680">
        <f t="shared" si="1"/>
        <v>110208000</v>
      </c>
      <c r="J14" s="1661">
        <f t="shared" si="0"/>
        <v>0</v>
      </c>
      <c r="K14" s="1671">
        <f t="shared" si="2"/>
        <v>0</v>
      </c>
      <c r="L14" s="1671">
        <f t="shared" si="3"/>
        <v>110208000</v>
      </c>
      <c r="M14" s="1626"/>
      <c r="N14" s="1626"/>
      <c r="O14" s="1660">
        <f t="shared" si="4"/>
        <v>0</v>
      </c>
      <c r="P14" s="1654">
        <f>+$I14*'PAYMENT RATIO_RAW'!G$13</f>
        <v>0</v>
      </c>
      <c r="Q14" s="1654"/>
      <c r="R14" s="1654">
        <f t="shared" si="5"/>
        <v>0</v>
      </c>
      <c r="S14" s="1662"/>
      <c r="T14" s="1626">
        <v>46022</v>
      </c>
      <c r="U14" s="1585"/>
      <c r="V14" s="1660">
        <f t="shared" si="6"/>
        <v>0</v>
      </c>
      <c r="W14" s="1654">
        <f>+$I14*'PAYMENT RATIO_RAW'!N$13</f>
        <v>0</v>
      </c>
      <c r="X14" s="1654"/>
      <c r="Y14" s="1654">
        <f t="shared" si="7"/>
        <v>0</v>
      </c>
      <c r="Z14" s="1662"/>
      <c r="AA14" s="1626">
        <v>46142</v>
      </c>
      <c r="AB14" s="1585"/>
      <c r="AC14" s="1660">
        <f t="shared" si="8"/>
        <v>0</v>
      </c>
      <c r="AD14" s="1654">
        <f>+'PAYMENT RATIO_RAW'!$U$13*I14</f>
        <v>0</v>
      </c>
      <c r="AE14" s="1654"/>
      <c r="AF14" s="1654">
        <f t="shared" si="9"/>
        <v>0</v>
      </c>
      <c r="AG14" s="1662"/>
      <c r="AH14" s="1585"/>
      <c r="AI14" s="1585"/>
      <c r="AJ14" s="1660">
        <f t="shared" si="10"/>
        <v>0</v>
      </c>
      <c r="AK14" s="1654">
        <f>+'PAYMENT RATIO_RAW'!$AB$13*I14</f>
        <v>0</v>
      </c>
      <c r="AL14" s="1654"/>
      <c r="AM14" s="1654">
        <f t="shared" si="11"/>
        <v>0</v>
      </c>
      <c r="AN14" s="1662"/>
      <c r="AO14" s="1626"/>
      <c r="AP14" s="1585"/>
      <c r="AQ14" s="1660"/>
      <c r="AR14" s="1654">
        <f>+$I14*'PAYMENT RATIO_RAW'!AI$13</f>
        <v>0</v>
      </c>
      <c r="AS14" s="1654"/>
      <c r="AT14" s="1654">
        <f t="shared" si="12"/>
        <v>0</v>
      </c>
      <c r="AU14" s="1662"/>
      <c r="AV14" s="1626"/>
      <c r="AW14" s="1585"/>
      <c r="AX14" s="1660"/>
      <c r="AY14" s="1654">
        <f>+$I14*'PAYMENT RATIO_RAW'!AP$13</f>
        <v>0</v>
      </c>
      <c r="AZ14" s="1654"/>
      <c r="BA14" s="1654">
        <f t="shared" si="13"/>
        <v>0</v>
      </c>
      <c r="BB14" s="1662"/>
      <c r="BC14" s="1626"/>
      <c r="BD14" s="1585"/>
      <c r="BE14" s="1660">
        <f t="shared" si="14"/>
        <v>0</v>
      </c>
      <c r="BF14" s="1654">
        <f>+$I14*'PAYMENT RATIO_RAW'!AW$13</f>
        <v>0</v>
      </c>
      <c r="BG14" s="1654"/>
      <c r="BH14" s="1678">
        <f t="shared" si="15"/>
        <v>0</v>
      </c>
      <c r="BI14" s="1662"/>
      <c r="BJ14" s="1626">
        <v>46203</v>
      </c>
      <c r="BK14" s="1626"/>
      <c r="BL14" s="1660">
        <f t="shared" si="16"/>
        <v>1</v>
      </c>
      <c r="BM14" s="1654">
        <f>+$I14*'PAYMENT RATIO_RAW'!BD$13</f>
        <v>110208000</v>
      </c>
      <c r="BN14" s="1654"/>
      <c r="BO14" s="1654">
        <f t="shared" si="17"/>
        <v>110208000</v>
      </c>
      <c r="BP14" s="1662"/>
      <c r="BQ14" s="1588"/>
      <c r="BR14" s="1587" t="b">
        <f t="shared" ref="BR14:BR15" si="19">+P14+W14+AD14+AR14+AY14+BF14+BM14=I14</f>
        <v>1</v>
      </c>
      <c r="BS14" s="1587" t="b">
        <f t="shared" si="18"/>
        <v>1</v>
      </c>
      <c r="BT14" s="1587"/>
      <c r="BU14" s="401"/>
      <c r="BV14" s="401"/>
      <c r="BW14" s="401"/>
      <c r="BX14" s="401"/>
      <c r="BY14" s="401"/>
      <c r="BZ14" s="401"/>
      <c r="CA14" s="401"/>
      <c r="CB14" s="401"/>
      <c r="CC14" s="404"/>
      <c r="CD14" s="404"/>
    </row>
    <row r="15" spans="1:82" ht="13.9" customHeight="1">
      <c r="A15" s="1649"/>
      <c r="B15" s="2517"/>
      <c r="C15" s="2520"/>
      <c r="D15" s="2518"/>
      <c r="E15" s="2518"/>
      <c r="F15" s="1630" t="s">
        <v>129</v>
      </c>
      <c r="G15" s="1680">
        <f>+'PAYMENT RATIO_RAW'!F$14*'GM Batch2-APA'!$D$11/1000</f>
        <v>0</v>
      </c>
      <c r="H15" s="1680"/>
      <c r="I15" s="1680">
        <f t="shared" si="1"/>
        <v>0</v>
      </c>
      <c r="J15" s="1630" t="str">
        <f t="shared" si="0"/>
        <v>-</v>
      </c>
      <c r="K15" s="1681">
        <f t="shared" si="2"/>
        <v>0</v>
      </c>
      <c r="L15" s="1681">
        <f t="shared" si="3"/>
        <v>0</v>
      </c>
      <c r="M15" s="1630"/>
      <c r="N15" s="1630"/>
      <c r="O15" s="1682"/>
      <c r="P15" s="1683">
        <f>+$I15*'PAYMENT RATIO_RAW'!G$14</f>
        <v>0</v>
      </c>
      <c r="Q15" s="1683">
        <v>0</v>
      </c>
      <c r="R15" s="1683">
        <f t="shared" si="5"/>
        <v>0</v>
      </c>
      <c r="S15" s="1630"/>
      <c r="T15" s="1629"/>
      <c r="U15" s="1630"/>
      <c r="V15" s="1682"/>
      <c r="W15" s="1683">
        <f>+$I15*'PAYMENT RATIO_RAW'!N$14</f>
        <v>0</v>
      </c>
      <c r="X15" s="1683"/>
      <c r="Y15" s="1683">
        <f t="shared" si="7"/>
        <v>0</v>
      </c>
      <c r="Z15" s="1630"/>
      <c r="AA15" s="1629"/>
      <c r="AB15" s="1630"/>
      <c r="AC15" s="1682"/>
      <c r="AD15" s="1683">
        <f>+'PAYMENT RATIO_RAW'!$U$14*I15</f>
        <v>0</v>
      </c>
      <c r="AE15" s="1683"/>
      <c r="AF15" s="1683">
        <f t="shared" si="9"/>
        <v>0</v>
      </c>
      <c r="AG15" s="1630"/>
      <c r="AH15" s="1629"/>
      <c r="AI15" s="1630"/>
      <c r="AJ15" s="1682"/>
      <c r="AK15" s="1683">
        <f>+'PAYMENT RATIO_RAW'!$AB$14*I15</f>
        <v>0</v>
      </c>
      <c r="AL15" s="1683"/>
      <c r="AM15" s="1683"/>
      <c r="AN15" s="1630"/>
      <c r="AO15" s="1629"/>
      <c r="AP15" s="1630"/>
      <c r="AQ15" s="1682"/>
      <c r="AR15" s="1683">
        <f>+$I15*'PAYMENT RATIO_RAW'!AI$14</f>
        <v>0</v>
      </c>
      <c r="AS15" s="1683"/>
      <c r="AT15" s="1683"/>
      <c r="AU15" s="1630"/>
      <c r="AV15" s="1629"/>
      <c r="AW15" s="1630"/>
      <c r="AX15" s="1682"/>
      <c r="AY15" s="1683">
        <f>+$I15*'PAYMENT RATIO_RAW'!AP$14</f>
        <v>0</v>
      </c>
      <c r="AZ15" s="1683"/>
      <c r="BA15" s="1683"/>
      <c r="BB15" s="1630"/>
      <c r="BC15" s="1629"/>
      <c r="BD15" s="1630"/>
      <c r="BE15" s="1682" t="str">
        <f t="shared" si="14"/>
        <v>-</v>
      </c>
      <c r="BF15" s="1683">
        <f>+$I15*'PAYMENT RATIO_RAW'!AW$14</f>
        <v>0</v>
      </c>
      <c r="BG15" s="1683"/>
      <c r="BH15" s="1678">
        <f t="shared" si="15"/>
        <v>0</v>
      </c>
      <c r="BI15" s="1630"/>
      <c r="BJ15" s="1630"/>
      <c r="BK15" s="1630"/>
      <c r="BL15" s="1682" t="str">
        <f t="shared" si="16"/>
        <v>-</v>
      </c>
      <c r="BM15" s="1683">
        <f>+$I15*'PAYMENT RATIO_RAW'!BD$14</f>
        <v>0</v>
      </c>
      <c r="BN15" s="1683"/>
      <c r="BO15" s="1683">
        <f t="shared" si="17"/>
        <v>0</v>
      </c>
      <c r="BP15" s="1630"/>
      <c r="BQ15" s="1589"/>
      <c r="BR15" s="1591" t="b">
        <f t="shared" si="19"/>
        <v>1</v>
      </c>
      <c r="BS15" s="1592" t="b">
        <f t="shared" si="18"/>
        <v>1</v>
      </c>
      <c r="BT15" s="1592"/>
      <c r="BU15" s="401"/>
      <c r="BV15" s="401"/>
      <c r="BW15" s="401"/>
      <c r="BX15" s="401"/>
      <c r="BY15" s="401"/>
      <c r="BZ15" s="401"/>
      <c r="CA15" s="401"/>
      <c r="CB15" s="401"/>
      <c r="CC15" s="404"/>
      <c r="CD15" s="404"/>
    </row>
    <row r="16" spans="1:82" ht="13.9" customHeight="1">
      <c r="A16" s="1649"/>
      <c r="B16" s="2517"/>
      <c r="C16" s="2520"/>
      <c r="D16" s="2518"/>
      <c r="E16" s="2518"/>
      <c r="F16" s="419" t="s">
        <v>130</v>
      </c>
      <c r="G16" s="1628">
        <f>SUM(G11:G15)</f>
        <v>1046976000</v>
      </c>
      <c r="H16" s="1628">
        <f>SUM(H11:H15)</f>
        <v>57859200</v>
      </c>
      <c r="I16" s="1628">
        <f t="shared" ref="I16:L16" si="20">SUM(I11:I15)</f>
        <v>1104835200</v>
      </c>
      <c r="J16" s="419">
        <f t="shared" si="0"/>
        <v>0.23515036450685134</v>
      </c>
      <c r="K16" s="1628">
        <f t="shared" si="20"/>
        <v>259802400</v>
      </c>
      <c r="L16" s="1628">
        <f t="shared" si="20"/>
        <v>845032800</v>
      </c>
      <c r="M16" s="419"/>
      <c r="N16" s="419"/>
      <c r="O16" s="1634">
        <f t="shared" ref="O16" si="21">+IFERROR(P16/$I16,"-")</f>
        <v>0.12967581047381546</v>
      </c>
      <c r="P16" s="1628">
        <f t="shared" ref="P16:Q16" si="22">SUM(P11:P15)</f>
        <v>143270400</v>
      </c>
      <c r="Q16" s="1628">
        <f t="shared" si="22"/>
        <v>259802400</v>
      </c>
      <c r="R16" s="1684">
        <f t="shared" si="5"/>
        <v>-116532000</v>
      </c>
      <c r="S16" s="419"/>
      <c r="T16" s="1631"/>
      <c r="U16" s="419"/>
      <c r="V16" s="1634">
        <f t="shared" si="6"/>
        <v>6.4837905236907731E-2</v>
      </c>
      <c r="W16" s="1628">
        <f t="shared" ref="W16:X16" si="23">SUM(W11:W15)</f>
        <v>71635200</v>
      </c>
      <c r="X16" s="1628">
        <f t="shared" si="23"/>
        <v>0</v>
      </c>
      <c r="Y16" s="1684">
        <f t="shared" si="7"/>
        <v>71635200</v>
      </c>
      <c r="Z16" s="419"/>
      <c r="AA16" s="1631"/>
      <c r="AB16" s="419"/>
      <c r="AC16" s="1634">
        <f t="shared" si="8"/>
        <v>0.27007481296758107</v>
      </c>
      <c r="AD16" s="1628">
        <f t="shared" ref="AD16:AE16" si="24">SUM(AD11:AD15)</f>
        <v>298388160</v>
      </c>
      <c r="AE16" s="1628">
        <f t="shared" si="24"/>
        <v>0</v>
      </c>
      <c r="AF16" s="1684">
        <f t="shared" si="9"/>
        <v>298388160</v>
      </c>
      <c r="AG16" s="419"/>
      <c r="AH16" s="1631"/>
      <c r="AI16" s="419"/>
      <c r="AJ16" s="1634">
        <f t="shared" si="10"/>
        <v>0.23042394014962594</v>
      </c>
      <c r="AK16" s="1628">
        <f t="shared" ref="AK16:AL16" si="25">SUM(AK11:AK15)</f>
        <v>254580480</v>
      </c>
      <c r="AL16" s="1628">
        <f t="shared" si="25"/>
        <v>0</v>
      </c>
      <c r="AM16" s="1684">
        <f t="shared" si="11"/>
        <v>254580480</v>
      </c>
      <c r="AN16" s="419"/>
      <c r="AO16" s="1631"/>
      <c r="AP16" s="419"/>
      <c r="AQ16" s="1634">
        <f t="shared" ref="AQ16" si="26">+IFERROR(AR16/$I16,"-")</f>
        <v>0</v>
      </c>
      <c r="AR16" s="1628">
        <f t="shared" ref="AR16" si="27">SUM(AR11:AR15)</f>
        <v>0</v>
      </c>
      <c r="AS16" s="1628">
        <f t="shared" ref="AS16" si="28">SUM(AS11:AS15)</f>
        <v>0</v>
      </c>
      <c r="AT16" s="1684">
        <f t="shared" si="12"/>
        <v>0</v>
      </c>
      <c r="AU16" s="419"/>
      <c r="AV16" s="1631"/>
      <c r="AW16" s="419"/>
      <c r="AX16" s="1634">
        <f t="shared" ref="AX16:AX22" si="29">+IFERROR(AY16/$I16,"-")</f>
        <v>0</v>
      </c>
      <c r="AY16" s="1628">
        <f t="shared" ref="AY16" si="30">SUM(AY11:AY15)</f>
        <v>0</v>
      </c>
      <c r="AZ16" s="1628">
        <f t="shared" ref="AZ16" si="31">SUM(AZ11:AZ15)</f>
        <v>0</v>
      </c>
      <c r="BA16" s="1684">
        <f t="shared" si="13"/>
        <v>0</v>
      </c>
      <c r="BB16" s="419"/>
      <c r="BC16" s="1631"/>
      <c r="BD16" s="419"/>
      <c r="BE16" s="1634">
        <f t="shared" si="14"/>
        <v>0</v>
      </c>
      <c r="BF16" s="1628">
        <f t="shared" ref="BF16" si="32">SUM(BF11:BF15)</f>
        <v>0</v>
      </c>
      <c r="BG16" s="1628">
        <f t="shared" ref="BG16" si="33">SUM(BG11:BG15)</f>
        <v>0</v>
      </c>
      <c r="BH16" s="1684">
        <f t="shared" si="15"/>
        <v>0</v>
      </c>
      <c r="BI16" s="419"/>
      <c r="BJ16" s="419"/>
      <c r="BK16" s="419"/>
      <c r="BL16" s="1634">
        <f t="shared" si="16"/>
        <v>0.30498753117206984</v>
      </c>
      <c r="BM16" s="1628">
        <f t="shared" ref="BM16:BN16" si="34">SUM(BM11:BM15)</f>
        <v>336960960</v>
      </c>
      <c r="BN16" s="1628">
        <f t="shared" si="34"/>
        <v>0</v>
      </c>
      <c r="BO16" s="1684">
        <f t="shared" si="17"/>
        <v>336960960</v>
      </c>
      <c r="BP16" s="419"/>
      <c r="BQ16" s="1589"/>
      <c r="BR16" s="1632"/>
      <c r="BS16" s="1633"/>
      <c r="BT16" s="1633"/>
      <c r="BU16" s="401"/>
      <c r="BV16" s="401"/>
      <c r="BW16" s="401"/>
      <c r="BX16" s="401"/>
      <c r="BY16" s="401"/>
      <c r="BZ16" s="401"/>
      <c r="CA16" s="401"/>
      <c r="CB16" s="401"/>
      <c r="CC16" s="404"/>
      <c r="CD16" s="404"/>
    </row>
    <row r="17" spans="1:82" ht="13.9" customHeight="1">
      <c r="A17" s="1649"/>
      <c r="B17" s="2517">
        <v>2</v>
      </c>
      <c r="C17" s="2518" t="s">
        <v>221</v>
      </c>
      <c r="D17" s="2518">
        <v>399.04</v>
      </c>
      <c r="E17" s="2518" t="s">
        <v>124</v>
      </c>
      <c r="F17" s="1676" t="s">
        <v>125</v>
      </c>
      <c r="G17" s="1596">
        <f>+'PAYMENT RATIO_RAW'!F$10*'GM Batch2-APA'!$D$17/1000</f>
        <v>418992000</v>
      </c>
      <c r="H17" s="1596">
        <f>+G17*10%</f>
        <v>41899200</v>
      </c>
      <c r="I17" s="1596">
        <f>SUM(G17:H17)</f>
        <v>460891200</v>
      </c>
      <c r="J17" s="1630">
        <f t="shared" si="0"/>
        <v>0</v>
      </c>
      <c r="K17" s="1681">
        <f t="shared" ref="K17" si="35">+IFERROR(Q17+X17+AE17+AS17+AZ17+BG17+BN17,"-")</f>
        <v>0</v>
      </c>
      <c r="L17" s="1672">
        <f>+I17-K17</f>
        <v>460891200</v>
      </c>
      <c r="M17" s="1586"/>
      <c r="N17" s="1586"/>
      <c r="O17" s="1677"/>
      <c r="P17" s="1654">
        <f>+$I17*'PAYMENT RATIO_RAW'!G$10</f>
        <v>0</v>
      </c>
      <c r="Q17" s="1678">
        <v>0</v>
      </c>
      <c r="R17" s="1678">
        <f>+P17-Q17</f>
        <v>0</v>
      </c>
      <c r="S17" s="1679"/>
      <c r="T17" s="1625"/>
      <c r="U17" s="1586"/>
      <c r="V17" s="1677"/>
      <c r="W17" s="1654">
        <f>+$I17*'PAYMENT RATIO_RAW'!N$10</f>
        <v>0</v>
      </c>
      <c r="X17" s="1678"/>
      <c r="Y17" s="1678">
        <f>+W17-X17</f>
        <v>0</v>
      </c>
      <c r="Z17" s="1679"/>
      <c r="AA17" s="1625">
        <v>46042</v>
      </c>
      <c r="AB17" s="1586"/>
      <c r="AC17" s="1677">
        <f>+IFERROR(AD17/$I17,"-")</f>
        <v>0.3</v>
      </c>
      <c r="AD17" s="1654">
        <f>+'PAYMENT RATIO_RAW'!$U$10*I17</f>
        <v>138267360</v>
      </c>
      <c r="AE17" s="1678"/>
      <c r="AF17" s="1678">
        <f>+AD17-AE17</f>
        <v>138267360</v>
      </c>
      <c r="AG17" s="1679"/>
      <c r="AH17" s="1625">
        <v>46081</v>
      </c>
      <c r="AI17" s="1585"/>
      <c r="AJ17" s="1677">
        <f>+IFERROR(AK17/$I17,"-")</f>
        <v>0.4</v>
      </c>
      <c r="AK17" s="1678">
        <f>+'PAYMENT RATIO_RAW'!$AB$10*I17</f>
        <v>184356480</v>
      </c>
      <c r="AL17" s="1678"/>
      <c r="AM17" s="1678">
        <f>+AK17-AL17</f>
        <v>184356480</v>
      </c>
      <c r="AN17" s="1679"/>
      <c r="AO17" s="1625">
        <f>+EDATE(AV17,-1)</f>
        <v>46111</v>
      </c>
      <c r="AP17" s="1586"/>
      <c r="AQ17" s="1677">
        <f>+IFERROR(AR17/$I17,"-")</f>
        <v>0</v>
      </c>
      <c r="AR17" s="1654">
        <f>+$I17*'PAYMENT RATIO_RAW'!AI$10</f>
        <v>0</v>
      </c>
      <c r="AS17" s="1678"/>
      <c r="AT17" s="1678">
        <f>+AR17-AS17</f>
        <v>0</v>
      </c>
      <c r="AU17" s="1679"/>
      <c r="AV17" s="1625">
        <f>+EDATE(BC17,-1)</f>
        <v>46142</v>
      </c>
      <c r="AW17" s="1586"/>
      <c r="AX17" s="1677">
        <f>+IFERROR(AY17/$I17,"-")</f>
        <v>0</v>
      </c>
      <c r="AY17" s="1654">
        <f>+$I17*'PAYMENT RATIO_RAW'!AP$10</f>
        <v>0</v>
      </c>
      <c r="AZ17" s="1678"/>
      <c r="BA17" s="1678">
        <f>+AY17-AZ17</f>
        <v>0</v>
      </c>
      <c r="BB17" s="1679"/>
      <c r="BC17" s="1625">
        <f>+EDATE(BJ17,-1)</f>
        <v>46172</v>
      </c>
      <c r="BD17" s="1586"/>
      <c r="BE17" s="1677">
        <f>+IFERROR(BF17/$I17,"-")</f>
        <v>0</v>
      </c>
      <c r="BF17" s="1654">
        <f>+$I17*'PAYMENT RATIO_RAW'!AW$10</f>
        <v>0</v>
      </c>
      <c r="BG17" s="1678"/>
      <c r="BH17" s="1678">
        <f>+BF17-BG17</f>
        <v>0</v>
      </c>
      <c r="BI17" s="1679"/>
      <c r="BJ17" s="1626">
        <v>46203</v>
      </c>
      <c r="BK17" s="1626"/>
      <c r="BL17" s="1677">
        <f>+IFERROR(BM17/$I17,"-")</f>
        <v>0.3</v>
      </c>
      <c r="BM17" s="1654">
        <f>+$I17*'PAYMENT RATIO_RAW'!BD$10</f>
        <v>138267360</v>
      </c>
      <c r="BN17" s="1678"/>
      <c r="BO17" s="1678">
        <f>+BM17-BN17</f>
        <v>138267360</v>
      </c>
      <c r="BP17" s="1679"/>
      <c r="BQ17" s="1588"/>
      <c r="BR17" s="1587" t="b">
        <f>+P17+W17+AD17+AK17+AR17+AY17+BF17+BM17=I17</f>
        <v>1</v>
      </c>
      <c r="BS17" s="1587" t="b">
        <f>+Q17+X17+AE17+AS17+AZ17+BG17+BN17=K17</f>
        <v>1</v>
      </c>
      <c r="BT17" s="1587"/>
      <c r="BU17" s="401"/>
      <c r="BV17" s="401"/>
      <c r="BW17" s="401"/>
      <c r="BX17" s="401"/>
      <c r="BY17" s="401"/>
      <c r="BZ17" s="401"/>
      <c r="CA17" s="401"/>
      <c r="CB17" s="401"/>
      <c r="CC17" s="404"/>
      <c r="CD17" s="404"/>
    </row>
    <row r="18" spans="1:82" ht="15.6" customHeight="1">
      <c r="A18" s="1649"/>
      <c r="B18" s="2517"/>
      <c r="C18" s="2518"/>
      <c r="D18" s="2518"/>
      <c r="E18" s="2518"/>
      <c r="F18" s="1661" t="s">
        <v>126</v>
      </c>
      <c r="G18" s="1597">
        <f>+'PAYMENT RATIO_RAW'!F$11*'GM Batch2-APA'!$D$17/1000</f>
        <v>139664000</v>
      </c>
      <c r="H18" s="1597"/>
      <c r="I18" s="1597">
        <f t="shared" ref="I18:I21" si="36">SUM(G18:H18)</f>
        <v>139664000</v>
      </c>
      <c r="J18" s="1661">
        <f t="shared" si="0"/>
        <v>0.4</v>
      </c>
      <c r="K18" s="1671">
        <f t="shared" si="2"/>
        <v>55865600</v>
      </c>
      <c r="L18" s="1671">
        <f t="shared" ref="L18:L21" si="37">+I18-K18</f>
        <v>83798400</v>
      </c>
      <c r="M18" s="1626">
        <v>45807</v>
      </c>
      <c r="N18" s="1626">
        <v>45807</v>
      </c>
      <c r="O18" s="1660">
        <f t="shared" ref="O18:O20" si="38">+IFERROR(P18/$I18,"-")</f>
        <v>0.4</v>
      </c>
      <c r="P18" s="1654">
        <f>+$I18*'PAYMENT RATIO_RAW'!G$11</f>
        <v>55865600</v>
      </c>
      <c r="Q18" s="1654">
        <v>55865600</v>
      </c>
      <c r="R18" s="1654">
        <f t="shared" ref="R18:R21" si="39">+P18-Q18</f>
        <v>0</v>
      </c>
      <c r="S18" s="2188">
        <f>+Q18/I18</f>
        <v>0.4</v>
      </c>
      <c r="T18" s="1626">
        <v>46022</v>
      </c>
      <c r="U18" s="1626"/>
      <c r="V18" s="1660">
        <f t="shared" ref="V18:V20" si="40">+IFERROR(W18/$I18,"-")</f>
        <v>0.2</v>
      </c>
      <c r="W18" s="1654">
        <f>+$I18*'PAYMENT RATIO_RAW'!N$11</f>
        <v>27932800</v>
      </c>
      <c r="X18" s="1654"/>
      <c r="Y18" s="1654">
        <f t="shared" ref="Y18:Y21" si="41">+W18-X18</f>
        <v>27932800</v>
      </c>
      <c r="Z18" s="1686"/>
      <c r="AA18" s="1626">
        <v>46142</v>
      </c>
      <c r="AB18" s="1626"/>
      <c r="AC18" s="1660">
        <f t="shared" ref="AC18:AC20" si="42">+IFERROR(AD18/$I18,"-")</f>
        <v>0.3</v>
      </c>
      <c r="AD18" s="1654">
        <f>+'PAYMENT RATIO_RAW'!$U$11*I18</f>
        <v>41899200</v>
      </c>
      <c r="AE18" s="1654"/>
      <c r="AF18" s="1654">
        <f t="shared" ref="AF18:AF21" si="43">+AD18-AE18</f>
        <v>41899200</v>
      </c>
      <c r="AG18" s="1662"/>
      <c r="AH18" s="1626"/>
      <c r="AI18" s="1626"/>
      <c r="AJ18" s="1660">
        <f t="shared" ref="AJ18:AJ20" si="44">+IFERROR(AK18/$I18,"-")</f>
        <v>0</v>
      </c>
      <c r="AK18" s="1654">
        <f>+'PAYMENT RATIO_RAW'!$AB$11*I18</f>
        <v>0</v>
      </c>
      <c r="AL18" s="1654"/>
      <c r="AM18" s="1654">
        <f t="shared" ref="AM18:AM20" si="45">+AK18-AL18</f>
        <v>0</v>
      </c>
      <c r="AN18" s="1662"/>
      <c r="AO18" s="1626"/>
      <c r="AP18" s="1626"/>
      <c r="AQ18" s="1660"/>
      <c r="AR18" s="1654">
        <f>+$I18*'PAYMENT RATIO_RAW'!AI$11</f>
        <v>0</v>
      </c>
      <c r="AS18" s="1654"/>
      <c r="AT18" s="1654">
        <f t="shared" ref="AT18:AT20" si="46">+AR18-AS18</f>
        <v>0</v>
      </c>
      <c r="AU18" s="1662"/>
      <c r="AV18" s="1626"/>
      <c r="AW18" s="1626"/>
      <c r="AX18" s="1660"/>
      <c r="AY18" s="1654">
        <f>+$I18*'PAYMENT RATIO_RAW'!AP$11</f>
        <v>0</v>
      </c>
      <c r="AZ18" s="1654"/>
      <c r="BA18" s="1654">
        <f t="shared" ref="BA18:BA20" si="47">+AY18-AZ18</f>
        <v>0</v>
      </c>
      <c r="BB18" s="1662"/>
      <c r="BC18" s="1626"/>
      <c r="BD18" s="1626"/>
      <c r="BE18" s="1660">
        <f t="shared" si="14"/>
        <v>0</v>
      </c>
      <c r="BF18" s="1654">
        <f>+$I18*'PAYMENT RATIO_RAW'!AW$11</f>
        <v>0</v>
      </c>
      <c r="BG18" s="1654"/>
      <c r="BH18" s="1678">
        <f t="shared" ref="BH18:BH21" si="48">+BF18-BG18</f>
        <v>0</v>
      </c>
      <c r="BI18" s="1662"/>
      <c r="BJ18" s="1626">
        <v>46203</v>
      </c>
      <c r="BK18" s="1626"/>
      <c r="BL18" s="1660">
        <f t="shared" ref="BL18:BL21" si="49">+IFERROR(BM18/$I18,"-")</f>
        <v>0.1</v>
      </c>
      <c r="BM18" s="1654">
        <f>+$I18*'PAYMENT RATIO_RAW'!BD$11</f>
        <v>13966400</v>
      </c>
      <c r="BN18" s="1654"/>
      <c r="BO18" s="1654">
        <f t="shared" ref="BO18:BO21" si="50">+BM18-BN18</f>
        <v>13966400</v>
      </c>
      <c r="BP18" s="1662"/>
      <c r="BQ18" s="1588"/>
      <c r="BR18" s="1587" t="b">
        <f t="shared" ref="BR18" si="51">+P18+W18+AD18+AR18+AY18+BF18+BM18=I18</f>
        <v>1</v>
      </c>
      <c r="BS18" s="1587" t="b">
        <f t="shared" ref="BS18:BS21" si="52">+Q18+X18+AE18+AS18+AZ18+BG18+BN18=K18</f>
        <v>1</v>
      </c>
      <c r="BT18" s="1587" t="b">
        <f>+BF18+BF20+AY18+AY20+AR18+AR20+AD18+AD20+W18+W20+P18+P20+BM18+BM20=('PAYMENT RATIO_RAW'!$F$11+'PAYMENT RATIO_RAW'!$F$13)*D17*1.1/1000</f>
        <v>0</v>
      </c>
      <c r="BU18" s="401"/>
      <c r="BV18" s="401"/>
      <c r="BW18" s="401"/>
      <c r="BX18" s="401"/>
      <c r="BY18" s="401"/>
      <c r="BZ18" s="401"/>
      <c r="CA18" s="401"/>
      <c r="CB18" s="401"/>
      <c r="CC18" s="404"/>
      <c r="CD18" s="404"/>
    </row>
    <row r="19" spans="1:82" ht="13.9" customHeight="1">
      <c r="A19" s="1649"/>
      <c r="B19" s="2517"/>
      <c r="C19" s="2518"/>
      <c r="D19" s="2518"/>
      <c r="E19" s="2518"/>
      <c r="F19" s="1661" t="s">
        <v>127</v>
      </c>
      <c r="G19" s="1597">
        <f>+'PAYMENT RATIO_RAW'!F$12*'GM Batch2-APA'!$D$17/1000</f>
        <v>119712000</v>
      </c>
      <c r="H19" s="1597"/>
      <c r="I19" s="1597">
        <f t="shared" si="36"/>
        <v>119712000</v>
      </c>
      <c r="J19" s="1661">
        <f t="shared" si="0"/>
        <v>0.4</v>
      </c>
      <c r="K19" s="1671">
        <f t="shared" si="2"/>
        <v>47884800</v>
      </c>
      <c r="L19" s="1671">
        <f t="shared" si="37"/>
        <v>71827200</v>
      </c>
      <c r="M19" s="1626">
        <v>45807</v>
      </c>
      <c r="N19" s="1626">
        <v>45807</v>
      </c>
      <c r="O19" s="1660">
        <f t="shared" si="38"/>
        <v>0.4</v>
      </c>
      <c r="P19" s="1654">
        <f>+$I19*'PAYMENT RATIO_RAW'!G$12</f>
        <v>47884800</v>
      </c>
      <c r="Q19" s="1654">
        <v>47884800</v>
      </c>
      <c r="R19" s="1654">
        <f t="shared" si="39"/>
        <v>0</v>
      </c>
      <c r="S19" s="2188">
        <f>+Q19/I19</f>
        <v>0.4</v>
      </c>
      <c r="T19" s="1626">
        <v>46022</v>
      </c>
      <c r="U19" s="1626"/>
      <c r="V19" s="1660">
        <f t="shared" si="40"/>
        <v>0.2</v>
      </c>
      <c r="W19" s="1654">
        <f>+$I19*'PAYMENT RATIO_RAW'!N$12</f>
        <v>23942400</v>
      </c>
      <c r="X19" s="1654"/>
      <c r="Y19" s="1654">
        <f t="shared" si="41"/>
        <v>23942400</v>
      </c>
      <c r="Z19" s="1662"/>
      <c r="AA19" s="1626">
        <v>46142</v>
      </c>
      <c r="AB19" s="1626"/>
      <c r="AC19" s="1660">
        <f t="shared" si="42"/>
        <v>0.3</v>
      </c>
      <c r="AD19" s="1654">
        <f>+'PAYMENT RATIO_RAW'!$U$12*I19</f>
        <v>35913600</v>
      </c>
      <c r="AE19" s="1654"/>
      <c r="AF19" s="1654">
        <f t="shared" si="43"/>
        <v>35913600</v>
      </c>
      <c r="AG19" s="1662"/>
      <c r="AH19" s="1626"/>
      <c r="AI19" s="1626"/>
      <c r="AJ19" s="1660">
        <f t="shared" si="44"/>
        <v>0</v>
      </c>
      <c r="AK19" s="1654">
        <f>+'PAYMENT RATIO_RAW'!$AB$12*I19</f>
        <v>0</v>
      </c>
      <c r="AL19" s="1654"/>
      <c r="AM19" s="1654">
        <f t="shared" si="45"/>
        <v>0</v>
      </c>
      <c r="AN19" s="1662"/>
      <c r="AO19" s="1626"/>
      <c r="AP19" s="1626"/>
      <c r="AQ19" s="1660"/>
      <c r="AR19" s="1654">
        <f>+$I19*'PAYMENT RATIO_RAW'!AI$12</f>
        <v>0</v>
      </c>
      <c r="AS19" s="1654"/>
      <c r="AT19" s="1654">
        <f t="shared" si="46"/>
        <v>0</v>
      </c>
      <c r="AU19" s="1662"/>
      <c r="AV19" s="1626"/>
      <c r="AW19" s="1626"/>
      <c r="AX19" s="1660"/>
      <c r="AY19" s="1654">
        <f>+$I19*'PAYMENT RATIO_RAW'!AP$12</f>
        <v>0</v>
      </c>
      <c r="AZ19" s="1654"/>
      <c r="BA19" s="1654">
        <f t="shared" si="47"/>
        <v>0</v>
      </c>
      <c r="BB19" s="1662"/>
      <c r="BC19" s="1626"/>
      <c r="BD19" s="1626"/>
      <c r="BE19" s="1660">
        <f t="shared" si="14"/>
        <v>0</v>
      </c>
      <c r="BF19" s="1654">
        <f>+$I19*'PAYMENT RATIO_RAW'!AW$12</f>
        <v>0</v>
      </c>
      <c r="BG19" s="1654"/>
      <c r="BH19" s="1678">
        <f t="shared" si="48"/>
        <v>0</v>
      </c>
      <c r="BI19" s="1662"/>
      <c r="BJ19" s="1626">
        <v>46203</v>
      </c>
      <c r="BK19" s="1626"/>
      <c r="BL19" s="1660">
        <f t="shared" si="49"/>
        <v>0.1</v>
      </c>
      <c r="BM19" s="1654">
        <f>+$I19*'PAYMENT RATIO_RAW'!BD$12</f>
        <v>11971200</v>
      </c>
      <c r="BN19" s="1654"/>
      <c r="BO19" s="1654">
        <f t="shared" si="50"/>
        <v>11971200</v>
      </c>
      <c r="BP19" s="1662"/>
      <c r="BQ19" s="1588"/>
      <c r="BR19" s="1587" t="b">
        <f>+P19+W19+AD19+AR19+AY19+BF19+BM19=I19</f>
        <v>1</v>
      </c>
      <c r="BS19" s="1587" t="b">
        <f t="shared" si="52"/>
        <v>1</v>
      </c>
      <c r="BT19" s="1587"/>
      <c r="BU19" s="401"/>
      <c r="BV19" s="401"/>
      <c r="BW19" s="401"/>
      <c r="BX19" s="401"/>
      <c r="BY19" s="401"/>
      <c r="BZ19" s="401"/>
      <c r="CA19" s="401"/>
      <c r="CB19" s="401"/>
      <c r="CC19" s="404"/>
      <c r="CD19" s="404"/>
    </row>
    <row r="20" spans="1:82">
      <c r="A20" s="1649"/>
      <c r="B20" s="2517"/>
      <c r="C20" s="2518"/>
      <c r="D20" s="2518"/>
      <c r="E20" s="2518"/>
      <c r="F20" s="1661" t="s">
        <v>128</v>
      </c>
      <c r="G20" s="1597">
        <f>+'PAYMENT RATIO_RAW'!F$13*'GM Batch2-APA'!$D$17/1000</f>
        <v>79808000</v>
      </c>
      <c r="H20" s="1597"/>
      <c r="I20" s="1680">
        <f t="shared" si="36"/>
        <v>79808000</v>
      </c>
      <c r="J20" s="1661">
        <f t="shared" si="0"/>
        <v>0</v>
      </c>
      <c r="K20" s="1671">
        <f t="shared" si="2"/>
        <v>0</v>
      </c>
      <c r="L20" s="1671">
        <f t="shared" si="37"/>
        <v>79808000</v>
      </c>
      <c r="M20" s="1626"/>
      <c r="N20" s="1626"/>
      <c r="O20" s="1660">
        <f t="shared" si="38"/>
        <v>0</v>
      </c>
      <c r="P20" s="1654">
        <f>+$I20*'PAYMENT RATIO_RAW'!G$13</f>
        <v>0</v>
      </c>
      <c r="Q20" s="1654"/>
      <c r="R20" s="1654">
        <f t="shared" si="39"/>
        <v>0</v>
      </c>
      <c r="S20" s="2188">
        <f>+Q20/I20</f>
        <v>0</v>
      </c>
      <c r="T20" s="1626">
        <v>46022</v>
      </c>
      <c r="U20" s="1585"/>
      <c r="V20" s="1660">
        <f t="shared" si="40"/>
        <v>0</v>
      </c>
      <c r="W20" s="1654">
        <f>+$I20*'PAYMENT RATIO_RAW'!N$13</f>
        <v>0</v>
      </c>
      <c r="X20" s="1654"/>
      <c r="Y20" s="1654">
        <f t="shared" si="41"/>
        <v>0</v>
      </c>
      <c r="Z20" s="1662"/>
      <c r="AA20" s="1626">
        <v>46142</v>
      </c>
      <c r="AB20" s="1585"/>
      <c r="AC20" s="1660">
        <f t="shared" si="42"/>
        <v>0</v>
      </c>
      <c r="AD20" s="1654">
        <f>+'PAYMENT RATIO_RAW'!$U$13*I20</f>
        <v>0</v>
      </c>
      <c r="AE20" s="1654"/>
      <c r="AF20" s="1654">
        <f t="shared" si="43"/>
        <v>0</v>
      </c>
      <c r="AG20" s="1662"/>
      <c r="AH20" s="1585"/>
      <c r="AI20" s="1585"/>
      <c r="AJ20" s="1660">
        <f t="shared" si="44"/>
        <v>0</v>
      </c>
      <c r="AK20" s="1654">
        <f>+'PAYMENT RATIO_RAW'!$AB$13*I20</f>
        <v>0</v>
      </c>
      <c r="AL20" s="1654"/>
      <c r="AM20" s="1654">
        <f t="shared" si="45"/>
        <v>0</v>
      </c>
      <c r="AN20" s="1662"/>
      <c r="AO20" s="1626"/>
      <c r="AP20" s="1585"/>
      <c r="AQ20" s="1660"/>
      <c r="AR20" s="1654">
        <f>+$I20*'PAYMENT RATIO_RAW'!AI$13</f>
        <v>0</v>
      </c>
      <c r="AS20" s="1654"/>
      <c r="AT20" s="1654">
        <f t="shared" si="46"/>
        <v>0</v>
      </c>
      <c r="AU20" s="1662"/>
      <c r="AV20" s="1626"/>
      <c r="AW20" s="1585"/>
      <c r="AX20" s="1660"/>
      <c r="AY20" s="1654">
        <f>+$I20*'PAYMENT RATIO_RAW'!AP$13</f>
        <v>0</v>
      </c>
      <c r="AZ20" s="1654"/>
      <c r="BA20" s="1654">
        <f t="shared" si="47"/>
        <v>0</v>
      </c>
      <c r="BB20" s="1662"/>
      <c r="BC20" s="1626"/>
      <c r="BD20" s="1585"/>
      <c r="BE20" s="1660">
        <f t="shared" si="14"/>
        <v>0</v>
      </c>
      <c r="BF20" s="1654">
        <f>+$I20*'PAYMENT RATIO_RAW'!AW$13</f>
        <v>0</v>
      </c>
      <c r="BG20" s="1654"/>
      <c r="BH20" s="1678">
        <f t="shared" si="48"/>
        <v>0</v>
      </c>
      <c r="BI20" s="1662"/>
      <c r="BJ20" s="1626">
        <v>46203</v>
      </c>
      <c r="BK20" s="1626"/>
      <c r="BL20" s="1660">
        <f t="shared" si="49"/>
        <v>1</v>
      </c>
      <c r="BM20" s="1654">
        <f>+$I20*'PAYMENT RATIO_RAW'!BD$13</f>
        <v>79808000</v>
      </c>
      <c r="BN20" s="1654"/>
      <c r="BO20" s="1654">
        <f t="shared" si="50"/>
        <v>79808000</v>
      </c>
      <c r="BP20" s="1662"/>
      <c r="BQ20" s="1588"/>
      <c r="BR20" s="1587" t="b">
        <f t="shared" ref="BR20:BR21" si="53">+P20+W20+AD20+AR20+AY20+BF20+BM20=I20</f>
        <v>1</v>
      </c>
      <c r="BS20" s="1587" t="b">
        <f t="shared" si="52"/>
        <v>1</v>
      </c>
      <c r="BT20" s="1587"/>
      <c r="BU20" s="401"/>
      <c r="BV20" s="401"/>
      <c r="BW20" s="401"/>
      <c r="BX20" s="401"/>
      <c r="BY20" s="401"/>
      <c r="BZ20" s="401"/>
      <c r="CA20" s="401"/>
      <c r="CB20" s="401"/>
      <c r="CC20" s="404"/>
      <c r="CD20" s="404"/>
    </row>
    <row r="21" spans="1:82">
      <c r="A21" s="1649"/>
      <c r="B21" s="2517"/>
      <c r="C21" s="2518"/>
      <c r="D21" s="2518"/>
      <c r="E21" s="2518"/>
      <c r="F21" s="1627" t="s">
        <v>129</v>
      </c>
      <c r="G21" s="1680">
        <f>+'PAYMENT RATIO_RAW'!F$14*'GM Batch2-APA'!$D$17/1000</f>
        <v>0</v>
      </c>
      <c r="H21" s="1680"/>
      <c r="I21" s="1680">
        <f t="shared" si="36"/>
        <v>0</v>
      </c>
      <c r="J21" s="1627" t="str">
        <f t="shared" si="0"/>
        <v>-</v>
      </c>
      <c r="K21" s="1663">
        <f t="shared" si="2"/>
        <v>0</v>
      </c>
      <c r="L21" s="1663">
        <f t="shared" si="37"/>
        <v>0</v>
      </c>
      <c r="M21" s="1630"/>
      <c r="N21" s="1630"/>
      <c r="O21" s="1682"/>
      <c r="P21" s="1683">
        <f>+$I21*'PAYMENT RATIO_RAW'!G$14</f>
        <v>0</v>
      </c>
      <c r="Q21" s="1683">
        <v>0</v>
      </c>
      <c r="R21" s="1683">
        <f t="shared" si="39"/>
        <v>0</v>
      </c>
      <c r="S21" s="1630"/>
      <c r="T21" s="1629"/>
      <c r="U21" s="1630"/>
      <c r="V21" s="1682"/>
      <c r="W21" s="1683">
        <f>+$I21*'PAYMENT RATIO_RAW'!N$14</f>
        <v>0</v>
      </c>
      <c r="X21" s="1683"/>
      <c r="Y21" s="1683">
        <f t="shared" si="41"/>
        <v>0</v>
      </c>
      <c r="Z21" s="1630"/>
      <c r="AA21" s="1629"/>
      <c r="AB21" s="1630"/>
      <c r="AC21" s="1682"/>
      <c r="AD21" s="1683">
        <f>+'PAYMENT RATIO_RAW'!$U$14*I21</f>
        <v>0</v>
      </c>
      <c r="AE21" s="1683"/>
      <c r="AF21" s="1683">
        <f t="shared" si="43"/>
        <v>0</v>
      </c>
      <c r="AG21" s="1630"/>
      <c r="AH21" s="1629"/>
      <c r="AI21" s="1630"/>
      <c r="AJ21" s="1682"/>
      <c r="AK21" s="1683">
        <f>+'PAYMENT RATIO_RAW'!$AB$14*I21</f>
        <v>0</v>
      </c>
      <c r="AL21" s="1683"/>
      <c r="AM21" s="1683"/>
      <c r="AN21" s="1630"/>
      <c r="AO21" s="1629"/>
      <c r="AP21" s="1630"/>
      <c r="AQ21" s="1682"/>
      <c r="AR21" s="1683">
        <f>+$I21*'PAYMENT RATIO_RAW'!AI$14</f>
        <v>0</v>
      </c>
      <c r="AS21" s="1683"/>
      <c r="AT21" s="1683"/>
      <c r="AU21" s="1630"/>
      <c r="AV21" s="1629"/>
      <c r="AW21" s="1630"/>
      <c r="AX21" s="1682"/>
      <c r="AY21" s="1683">
        <f>+$I21*'PAYMENT RATIO_RAW'!AP$14</f>
        <v>0</v>
      </c>
      <c r="AZ21" s="1683"/>
      <c r="BA21" s="1683"/>
      <c r="BB21" s="1630"/>
      <c r="BC21" s="1629"/>
      <c r="BD21" s="1630"/>
      <c r="BE21" s="1682" t="str">
        <f t="shared" si="14"/>
        <v>-</v>
      </c>
      <c r="BF21" s="1683">
        <f>+$I21*'PAYMENT RATIO_RAW'!AW$14</f>
        <v>0</v>
      </c>
      <c r="BG21" s="1683"/>
      <c r="BH21" s="1678">
        <f t="shared" si="48"/>
        <v>0</v>
      </c>
      <c r="BI21" s="1630"/>
      <c r="BJ21" s="1630"/>
      <c r="BK21" s="1630"/>
      <c r="BL21" s="1682" t="str">
        <f t="shared" si="49"/>
        <v>-</v>
      </c>
      <c r="BM21" s="1683">
        <f>+$I21*'PAYMENT RATIO_RAW'!BD$14</f>
        <v>0</v>
      </c>
      <c r="BN21" s="1683"/>
      <c r="BO21" s="1683">
        <f t="shared" si="50"/>
        <v>0</v>
      </c>
      <c r="BP21" s="1630"/>
      <c r="BQ21" s="1589"/>
      <c r="BR21" s="1591" t="b">
        <f t="shared" si="53"/>
        <v>1</v>
      </c>
      <c r="BS21" s="1592" t="b">
        <f t="shared" si="52"/>
        <v>1</v>
      </c>
      <c r="BT21" s="1592"/>
      <c r="BU21" s="401"/>
      <c r="BV21" s="401"/>
      <c r="BW21" s="401"/>
      <c r="BX21" s="401"/>
      <c r="BY21" s="401"/>
      <c r="BZ21" s="401"/>
      <c r="CA21" s="401"/>
      <c r="CB21" s="401"/>
      <c r="CC21" s="404"/>
      <c r="CD21" s="404"/>
    </row>
    <row r="22" spans="1:82">
      <c r="A22" s="1649"/>
      <c r="B22" s="2517"/>
      <c r="C22" s="2518"/>
      <c r="D22" s="2518"/>
      <c r="E22" s="2518"/>
      <c r="F22" s="419" t="s">
        <v>130</v>
      </c>
      <c r="G22" s="1628">
        <f>SUM(G17:G21)</f>
        <v>758176000</v>
      </c>
      <c r="H22" s="1628">
        <f>SUM(H17:H21)</f>
        <v>41899200</v>
      </c>
      <c r="I22" s="1628">
        <f t="shared" ref="I22" si="54">SUM(I17:I21)</f>
        <v>800075200</v>
      </c>
      <c r="J22" s="419">
        <f t="shared" si="0"/>
        <v>0.12967581047381546</v>
      </c>
      <c r="K22" s="1628">
        <f t="shared" ref="K22:L22" si="55">SUM(K17:K21)</f>
        <v>103750400</v>
      </c>
      <c r="L22" s="1628">
        <f t="shared" si="55"/>
        <v>696324800</v>
      </c>
      <c r="M22" s="419"/>
      <c r="N22" s="419"/>
      <c r="O22" s="1634">
        <f t="shared" ref="O22" si="56">+IFERROR(P22/$I22,"-")</f>
        <v>0.12967581047381546</v>
      </c>
      <c r="P22" s="1628">
        <f t="shared" ref="P22:Q22" si="57">SUM(P17:P21)</f>
        <v>103750400</v>
      </c>
      <c r="Q22" s="1628">
        <f t="shared" si="57"/>
        <v>103750400</v>
      </c>
      <c r="R22" s="1684">
        <f t="shared" ref="R22" si="58">+P22-Q22</f>
        <v>0</v>
      </c>
      <c r="S22" s="419"/>
      <c r="T22" s="1631"/>
      <c r="U22" s="419"/>
      <c r="V22" s="1634">
        <f t="shared" ref="V22" si="59">+IFERROR(W22/$I22,"-")</f>
        <v>6.4837905236907731E-2</v>
      </c>
      <c r="W22" s="1628">
        <f t="shared" ref="W22:X22" si="60">SUM(W17:W21)</f>
        <v>51875200</v>
      </c>
      <c r="X22" s="1628">
        <f t="shared" si="60"/>
        <v>0</v>
      </c>
      <c r="Y22" s="1684">
        <f t="shared" ref="Y22" si="61">+W22-X22</f>
        <v>51875200</v>
      </c>
      <c r="Z22" s="419"/>
      <c r="AA22" s="1631"/>
      <c r="AB22" s="419"/>
      <c r="AC22" s="1634">
        <f t="shared" ref="AC22" si="62">+IFERROR(AD22/$I22,"-")</f>
        <v>0.27007481296758107</v>
      </c>
      <c r="AD22" s="1628">
        <f t="shared" ref="AD22:AE22" si="63">SUM(AD17:AD21)</f>
        <v>216080160</v>
      </c>
      <c r="AE22" s="1628">
        <f t="shared" si="63"/>
        <v>0</v>
      </c>
      <c r="AF22" s="1684">
        <f t="shared" ref="AF22" si="64">+AD22-AE22</f>
        <v>216080160</v>
      </c>
      <c r="AG22" s="419"/>
      <c r="AH22" s="1631"/>
      <c r="AI22" s="419"/>
      <c r="AJ22" s="1634">
        <f t="shared" ref="AJ22" si="65">+IFERROR(AK22/$I22,"-")</f>
        <v>0.23042394014962594</v>
      </c>
      <c r="AK22" s="1628">
        <f t="shared" ref="AK22:AL22" si="66">SUM(AK17:AK21)</f>
        <v>184356480</v>
      </c>
      <c r="AL22" s="1628">
        <f t="shared" si="66"/>
        <v>0</v>
      </c>
      <c r="AM22" s="1684">
        <f t="shared" ref="AM22" si="67">+AK22-AL22</f>
        <v>184356480</v>
      </c>
      <c r="AN22" s="419"/>
      <c r="AO22" s="1631"/>
      <c r="AP22" s="419"/>
      <c r="AQ22" s="1634">
        <f t="shared" ref="AQ22" si="68">+IFERROR(AR22/$I22,"-")</f>
        <v>0</v>
      </c>
      <c r="AR22" s="1628">
        <f t="shared" ref="AR22" si="69">SUM(AR17:AR21)</f>
        <v>0</v>
      </c>
      <c r="AS22" s="1628">
        <f t="shared" ref="AS22" si="70">SUM(AS17:AS21)</f>
        <v>0</v>
      </c>
      <c r="AT22" s="1684">
        <f t="shared" ref="AT22" si="71">+AR22-AS22</f>
        <v>0</v>
      </c>
      <c r="AU22" s="419"/>
      <c r="AV22" s="1631"/>
      <c r="AW22" s="419"/>
      <c r="AX22" s="1634">
        <f t="shared" si="29"/>
        <v>0</v>
      </c>
      <c r="AY22" s="1628">
        <f t="shared" ref="AY22:AZ22" si="72">SUM(AY17:AY21)</f>
        <v>0</v>
      </c>
      <c r="AZ22" s="1628">
        <f t="shared" si="72"/>
        <v>0</v>
      </c>
      <c r="BA22" s="1684">
        <f t="shared" ref="BA22" si="73">+AY22-AZ22</f>
        <v>0</v>
      </c>
      <c r="BB22" s="419"/>
      <c r="BC22" s="1631"/>
      <c r="BD22" s="419"/>
      <c r="BE22" s="1634">
        <f t="shared" si="14"/>
        <v>0</v>
      </c>
      <c r="BF22" s="1628">
        <f t="shared" ref="BF22:BG22" si="74">SUM(BF17:BF21)</f>
        <v>0</v>
      </c>
      <c r="BG22" s="1628">
        <f t="shared" si="74"/>
        <v>0</v>
      </c>
      <c r="BH22" s="1684">
        <f t="shared" ref="BH22" si="75">+BF22-BG22</f>
        <v>0</v>
      </c>
      <c r="BI22" s="419"/>
      <c r="BJ22" s="419"/>
      <c r="BK22" s="419"/>
      <c r="BL22" s="1634">
        <f t="shared" si="16"/>
        <v>0.30498753117206984</v>
      </c>
      <c r="BM22" s="1628">
        <f t="shared" ref="BM22:BN22" si="76">SUM(BM17:BM21)</f>
        <v>244012960</v>
      </c>
      <c r="BN22" s="1628">
        <f t="shared" si="76"/>
        <v>0</v>
      </c>
      <c r="BO22" s="1684">
        <f t="shared" ref="BO22" si="77">+BM22-BN22</f>
        <v>244012960</v>
      </c>
      <c r="BP22" s="419"/>
      <c r="BQ22" s="1589"/>
      <c r="BR22" s="1632"/>
      <c r="BS22" s="1633"/>
      <c r="BT22" s="1633"/>
      <c r="BU22" s="401"/>
      <c r="BV22" s="401"/>
      <c r="BW22" s="401"/>
      <c r="BX22" s="401"/>
      <c r="BY22" s="401"/>
      <c r="BZ22" s="401"/>
      <c r="CA22" s="401"/>
      <c r="CB22" s="401"/>
      <c r="CC22" s="404"/>
      <c r="CD22" s="404"/>
    </row>
    <row r="23" spans="1:82">
      <c r="A23" s="1650"/>
      <c r="B23" s="2517">
        <v>3</v>
      </c>
      <c r="C23" s="2518" t="s">
        <v>222</v>
      </c>
      <c r="D23" s="2519">
        <v>499.96</v>
      </c>
      <c r="E23" s="2518" t="s">
        <v>124</v>
      </c>
      <c r="F23" s="1659" t="s">
        <v>125</v>
      </c>
      <c r="G23" s="1596">
        <f>+'PAYMENT RATIO_RAW'!F$10*'GM Batch2-APA'!$D$23/1000</f>
        <v>524958000</v>
      </c>
      <c r="H23" s="1596">
        <f>+G23*10%</f>
        <v>52495800</v>
      </c>
      <c r="I23" s="1596">
        <f>SUM(G23:H23)</f>
        <v>577453800</v>
      </c>
      <c r="J23" s="1676">
        <f t="shared" si="0"/>
        <v>0</v>
      </c>
      <c r="K23" s="1678">
        <f t="shared" si="2"/>
        <v>0</v>
      </c>
      <c r="L23" s="1678">
        <f>+I23-K23</f>
        <v>577453800</v>
      </c>
      <c r="M23" s="1586"/>
      <c r="N23" s="1586"/>
      <c r="O23" s="1677"/>
      <c r="P23" s="1654">
        <f>+$I23*'PAYMENT RATIO_RAW'!G$10</f>
        <v>0</v>
      </c>
      <c r="Q23" s="1678">
        <v>0</v>
      </c>
      <c r="R23" s="1678">
        <f>+P23-Q23</f>
        <v>0</v>
      </c>
      <c r="S23" s="1679"/>
      <c r="T23" s="1625"/>
      <c r="U23" s="1586"/>
      <c r="V23" s="1677"/>
      <c r="W23" s="1654">
        <f>+$I23*'PAYMENT RATIO_RAW'!N$10</f>
        <v>0</v>
      </c>
      <c r="X23" s="1678"/>
      <c r="Y23" s="1678">
        <f>+W23-X23</f>
        <v>0</v>
      </c>
      <c r="Z23" s="1679"/>
      <c r="AA23" s="1625">
        <v>46042</v>
      </c>
      <c r="AB23" s="1586"/>
      <c r="AC23" s="1677">
        <f>+IFERROR(AD23/$I23,"-")</f>
        <v>0.3</v>
      </c>
      <c r="AD23" s="1654">
        <f>+'PAYMENT RATIO_RAW'!$U$10*I23</f>
        <v>173236140</v>
      </c>
      <c r="AE23" s="1678"/>
      <c r="AF23" s="1678">
        <f>+AD23-AE23</f>
        <v>173236140</v>
      </c>
      <c r="AG23" s="1679"/>
      <c r="AH23" s="1625">
        <v>46081</v>
      </c>
      <c r="AI23" s="1585"/>
      <c r="AJ23" s="1677">
        <f>+IFERROR(AK23/$I23,"-")</f>
        <v>0.4</v>
      </c>
      <c r="AK23" s="1678">
        <f>+'PAYMENT RATIO_RAW'!$AB$10*I23</f>
        <v>230981520</v>
      </c>
      <c r="AL23" s="1678"/>
      <c r="AM23" s="1678">
        <f>+AK23-AL23</f>
        <v>230981520</v>
      </c>
      <c r="AN23" s="1679"/>
      <c r="AO23" s="1625">
        <f>+EDATE(AV23,-1)</f>
        <v>46111</v>
      </c>
      <c r="AP23" s="1586"/>
      <c r="AQ23" s="1677">
        <f>+IFERROR(AR23/$I23,"-")</f>
        <v>0</v>
      </c>
      <c r="AR23" s="1654">
        <f>+$I23*'PAYMENT RATIO_RAW'!AI$10</f>
        <v>0</v>
      </c>
      <c r="AS23" s="1678"/>
      <c r="AT23" s="1678">
        <f>+AR23-AS23</f>
        <v>0</v>
      </c>
      <c r="AU23" s="1679"/>
      <c r="AV23" s="1625">
        <f>+EDATE(BC23,-1)</f>
        <v>46142</v>
      </c>
      <c r="AW23" s="1586"/>
      <c r="AX23" s="1677">
        <f>+IFERROR(AY23/$I23,"-")</f>
        <v>0</v>
      </c>
      <c r="AY23" s="1654">
        <f>+$I23*'PAYMENT RATIO_RAW'!AP$10</f>
        <v>0</v>
      </c>
      <c r="AZ23" s="1678"/>
      <c r="BA23" s="1678">
        <f>+AY23-AZ23</f>
        <v>0</v>
      </c>
      <c r="BB23" s="1679"/>
      <c r="BC23" s="1625">
        <f>+EDATE(BJ23,-1)</f>
        <v>46172</v>
      </c>
      <c r="BD23" s="1586"/>
      <c r="BE23" s="1677">
        <f>+IFERROR(BF23/$I23,"-")</f>
        <v>0</v>
      </c>
      <c r="BF23" s="1654">
        <f>+$I23*'PAYMENT RATIO_RAW'!AW$10</f>
        <v>0</v>
      </c>
      <c r="BG23" s="1678"/>
      <c r="BH23" s="1678">
        <f>+BF23-BG23</f>
        <v>0</v>
      </c>
      <c r="BI23" s="1679"/>
      <c r="BJ23" s="1626">
        <v>46203</v>
      </c>
      <c r="BK23" s="1626"/>
      <c r="BL23" s="1677">
        <f>+IFERROR(BM23/$I23,"-")</f>
        <v>0.3</v>
      </c>
      <c r="BM23" s="1654">
        <f>+$I23*'PAYMENT RATIO_RAW'!BD$10</f>
        <v>173236140</v>
      </c>
      <c r="BN23" s="1678"/>
      <c r="BO23" s="1678">
        <f>+BM23-BN23</f>
        <v>173236140</v>
      </c>
      <c r="BP23" s="1679"/>
      <c r="BQ23" s="1588"/>
      <c r="BR23" s="1587" t="b">
        <f>+P23+W23+AD23+AK23+AR23+AY23+BF23+BM23=I23</f>
        <v>1</v>
      </c>
      <c r="BS23" s="1587" t="b">
        <f>+Q23+X23+AE23+AS23+AZ23+BG23+BN23=K23</f>
        <v>1</v>
      </c>
      <c r="BT23" s="1587"/>
      <c r="BU23" s="404"/>
      <c r="BV23" s="404"/>
      <c r="BW23" s="404"/>
      <c r="BX23" s="404"/>
      <c r="BY23" s="404"/>
      <c r="BZ23" s="404"/>
      <c r="CA23" s="404"/>
      <c r="CB23" s="404"/>
      <c r="CC23" s="404"/>
      <c r="CD23" s="404"/>
    </row>
    <row r="24" spans="1:82" ht="13.5">
      <c r="A24" s="1650"/>
      <c r="B24" s="2517"/>
      <c r="C24" s="2518"/>
      <c r="D24" s="2519"/>
      <c r="E24" s="2518"/>
      <c r="F24" s="1661" t="s">
        <v>126</v>
      </c>
      <c r="G24" s="1597">
        <f>+'PAYMENT RATIO_RAW'!F$11*'GM Batch2-APA'!$D$23/1000</f>
        <v>174986000</v>
      </c>
      <c r="H24" s="1597"/>
      <c r="I24" s="1597">
        <f t="shared" ref="I24:I27" si="78">SUM(G24:H24)</f>
        <v>174986000</v>
      </c>
      <c r="J24" s="1661">
        <f t="shared" si="0"/>
        <v>0.4</v>
      </c>
      <c r="K24" s="1654">
        <f t="shared" si="2"/>
        <v>69994400</v>
      </c>
      <c r="L24" s="1654">
        <f t="shared" ref="L24:L27" si="79">+I24-K24</f>
        <v>104991600</v>
      </c>
      <c r="M24" s="1626">
        <v>45807</v>
      </c>
      <c r="N24" s="1626">
        <v>45807</v>
      </c>
      <c r="O24" s="1660">
        <f t="shared" ref="O24:O26" si="80">+IFERROR(P24/$I24,"-")</f>
        <v>0.4</v>
      </c>
      <c r="P24" s="1654">
        <f>+$I24*'PAYMENT RATIO_RAW'!G$11</f>
        <v>69994400</v>
      </c>
      <c r="Q24" s="1654">
        <v>69994400</v>
      </c>
      <c r="R24" s="1654">
        <f t="shared" ref="R24:R27" si="81">+P24-Q24</f>
        <v>0</v>
      </c>
      <c r="S24" s="1662"/>
      <c r="T24" s="1626">
        <v>46022</v>
      </c>
      <c r="U24" s="1626"/>
      <c r="V24" s="1660">
        <f t="shared" ref="V24:V26" si="82">+IFERROR(W24/$I24,"-")</f>
        <v>0.2</v>
      </c>
      <c r="W24" s="1654">
        <f>+$I24*'PAYMENT RATIO_RAW'!N$11</f>
        <v>34997200</v>
      </c>
      <c r="X24" s="1654"/>
      <c r="Y24" s="1654">
        <f t="shared" ref="Y24:Y27" si="83">+W24-X24</f>
        <v>34997200</v>
      </c>
      <c r="Z24" s="1686"/>
      <c r="AA24" s="1626">
        <v>46142</v>
      </c>
      <c r="AB24" s="1626"/>
      <c r="AC24" s="1660">
        <f t="shared" ref="AC24:AC26" si="84">+IFERROR(AD24/$I24,"-")</f>
        <v>0.3</v>
      </c>
      <c r="AD24" s="1654">
        <f>+'PAYMENT RATIO_RAW'!$U$11*I24</f>
        <v>52495800</v>
      </c>
      <c r="AE24" s="1654"/>
      <c r="AF24" s="1654">
        <f t="shared" ref="AF24:AF27" si="85">+AD24-AE24</f>
        <v>52495800</v>
      </c>
      <c r="AG24" s="1662"/>
      <c r="AH24" s="1626"/>
      <c r="AI24" s="1626"/>
      <c r="AJ24" s="1660">
        <f t="shared" ref="AJ24:AJ26" si="86">+IFERROR(AK24/$I24,"-")</f>
        <v>0</v>
      </c>
      <c r="AK24" s="1654">
        <f>+'PAYMENT RATIO_RAW'!$AB$11*I24</f>
        <v>0</v>
      </c>
      <c r="AL24" s="1654"/>
      <c r="AM24" s="1654">
        <f t="shared" ref="AM24:AM26" si="87">+AK24-AL24</f>
        <v>0</v>
      </c>
      <c r="AN24" s="1662"/>
      <c r="AO24" s="1626"/>
      <c r="AP24" s="1626"/>
      <c r="AQ24" s="1660"/>
      <c r="AR24" s="1654">
        <f>+$I24*'PAYMENT RATIO_RAW'!AI$11</f>
        <v>0</v>
      </c>
      <c r="AS24" s="1654"/>
      <c r="AT24" s="1654">
        <f t="shared" ref="AT24:AT26" si="88">+AR24-AS24</f>
        <v>0</v>
      </c>
      <c r="AU24" s="1662"/>
      <c r="AV24" s="1626"/>
      <c r="AW24" s="1626"/>
      <c r="AX24" s="1660"/>
      <c r="AY24" s="1654">
        <f>+$I24*'PAYMENT RATIO_RAW'!AP$11</f>
        <v>0</v>
      </c>
      <c r="AZ24" s="1654"/>
      <c r="BA24" s="1654">
        <f t="shared" ref="BA24:BA26" si="89">+AY24-AZ24</f>
        <v>0</v>
      </c>
      <c r="BB24" s="1662"/>
      <c r="BC24" s="1626"/>
      <c r="BD24" s="1626"/>
      <c r="BE24" s="1660">
        <f t="shared" si="14"/>
        <v>0</v>
      </c>
      <c r="BF24" s="1654">
        <f>+$I24*'PAYMENT RATIO_RAW'!AW$11</f>
        <v>0</v>
      </c>
      <c r="BG24" s="1654"/>
      <c r="BH24" s="1678">
        <f t="shared" ref="BH24:BH27" si="90">+BF24-BG24</f>
        <v>0</v>
      </c>
      <c r="BI24" s="1662"/>
      <c r="BJ24" s="1626">
        <v>46203</v>
      </c>
      <c r="BK24" s="1626"/>
      <c r="BL24" s="1660">
        <f t="shared" ref="BL24:BL27" si="91">+IFERROR(BM24/$I24,"-")</f>
        <v>0.1</v>
      </c>
      <c r="BM24" s="1654">
        <f>+$I24*'PAYMENT RATIO_RAW'!BD$11</f>
        <v>17498600</v>
      </c>
      <c r="BN24" s="1654"/>
      <c r="BO24" s="1654">
        <f t="shared" ref="BO24:BO27" si="92">+BM24-BN24</f>
        <v>17498600</v>
      </c>
      <c r="BP24" s="1662"/>
      <c r="BQ24" s="1588"/>
      <c r="BR24" s="1587" t="b">
        <f t="shared" ref="BR24" si="93">+P24+W24+AD24+AR24+AY24+BF24+BM24=I24</f>
        <v>1</v>
      </c>
      <c r="BS24" s="1587" t="b">
        <f t="shared" ref="BS24:BS27" si="94">+Q24+X24+AE24+AS24+AZ24+BG24+BN24=K24</f>
        <v>1</v>
      </c>
      <c r="BT24" s="1587" t="b">
        <f>+BF24+BF26+AY24+AY26+AR24+AR26+AD24+AD26+W24+W26+P24+P26+BM24+BM26=('PAYMENT RATIO_RAW'!$F$11+'PAYMENT RATIO_RAW'!$F$13)*D23*1.1/1000</f>
        <v>0</v>
      </c>
      <c r="BU24" s="404"/>
      <c r="BV24" s="404"/>
      <c r="BW24" s="404"/>
      <c r="BX24" s="404"/>
      <c r="BY24" s="404"/>
      <c r="BZ24" s="404"/>
      <c r="CA24" s="404"/>
      <c r="CB24" s="404"/>
      <c r="CC24" s="404"/>
      <c r="CD24" s="404"/>
    </row>
    <row r="25" spans="1:82">
      <c r="A25" s="1650"/>
      <c r="B25" s="2517"/>
      <c r="C25" s="2518"/>
      <c r="D25" s="2519"/>
      <c r="E25" s="2518"/>
      <c r="F25" s="1661" t="s">
        <v>127</v>
      </c>
      <c r="G25" s="1597">
        <f>+'PAYMENT RATIO_RAW'!F$12*'GM Batch2-APA'!$D$23/1000</f>
        <v>149988000</v>
      </c>
      <c r="H25" s="1597"/>
      <c r="I25" s="1597">
        <f t="shared" si="78"/>
        <v>149988000</v>
      </c>
      <c r="J25" s="1661">
        <f t="shared" si="0"/>
        <v>0.4</v>
      </c>
      <c r="K25" s="1654">
        <f t="shared" si="2"/>
        <v>59995200</v>
      </c>
      <c r="L25" s="1654">
        <f t="shared" si="79"/>
        <v>89992800</v>
      </c>
      <c r="M25" s="1626">
        <v>45807</v>
      </c>
      <c r="N25" s="1626">
        <v>45807</v>
      </c>
      <c r="O25" s="1660">
        <f t="shared" si="80"/>
        <v>0.4</v>
      </c>
      <c r="P25" s="1654">
        <f>+$I25*'PAYMENT RATIO_RAW'!G$12</f>
        <v>59995200</v>
      </c>
      <c r="Q25" s="1654">
        <v>59995200</v>
      </c>
      <c r="R25" s="1654">
        <f t="shared" si="81"/>
        <v>0</v>
      </c>
      <c r="S25" s="1662"/>
      <c r="T25" s="1626">
        <v>46022</v>
      </c>
      <c r="U25" s="1626"/>
      <c r="V25" s="1660">
        <f t="shared" si="82"/>
        <v>0.2</v>
      </c>
      <c r="W25" s="1654">
        <f>+$I25*'PAYMENT RATIO_RAW'!N$12</f>
        <v>29997600</v>
      </c>
      <c r="X25" s="1654"/>
      <c r="Y25" s="1654">
        <f t="shared" si="83"/>
        <v>29997600</v>
      </c>
      <c r="Z25" s="1662"/>
      <c r="AA25" s="1626">
        <v>46142</v>
      </c>
      <c r="AB25" s="1626"/>
      <c r="AC25" s="1660">
        <f t="shared" si="84"/>
        <v>0.3</v>
      </c>
      <c r="AD25" s="1654">
        <f>+'PAYMENT RATIO_RAW'!$U$12*I25</f>
        <v>44996400</v>
      </c>
      <c r="AE25" s="1654"/>
      <c r="AF25" s="1654">
        <f t="shared" si="85"/>
        <v>44996400</v>
      </c>
      <c r="AG25" s="1662"/>
      <c r="AH25" s="1626"/>
      <c r="AI25" s="1626"/>
      <c r="AJ25" s="1660">
        <f t="shared" si="86"/>
        <v>0</v>
      </c>
      <c r="AK25" s="1654">
        <f>+'PAYMENT RATIO_RAW'!$AB$12*I25</f>
        <v>0</v>
      </c>
      <c r="AL25" s="1654"/>
      <c r="AM25" s="1654">
        <f t="shared" si="87"/>
        <v>0</v>
      </c>
      <c r="AN25" s="1662"/>
      <c r="AO25" s="1626"/>
      <c r="AP25" s="1626"/>
      <c r="AQ25" s="1660"/>
      <c r="AR25" s="1654">
        <f>+$I25*'PAYMENT RATIO_RAW'!AI$12</f>
        <v>0</v>
      </c>
      <c r="AS25" s="1654"/>
      <c r="AT25" s="1654">
        <f t="shared" si="88"/>
        <v>0</v>
      </c>
      <c r="AU25" s="1662"/>
      <c r="AV25" s="1626"/>
      <c r="AW25" s="1626"/>
      <c r="AX25" s="1660"/>
      <c r="AY25" s="1654">
        <f>+$I25*'PAYMENT RATIO_RAW'!AP$12</f>
        <v>0</v>
      </c>
      <c r="AZ25" s="1654"/>
      <c r="BA25" s="1654">
        <f t="shared" si="89"/>
        <v>0</v>
      </c>
      <c r="BB25" s="1662"/>
      <c r="BC25" s="1626"/>
      <c r="BD25" s="1626"/>
      <c r="BE25" s="1660">
        <f t="shared" si="14"/>
        <v>0</v>
      </c>
      <c r="BF25" s="1654">
        <f>+$I25*'PAYMENT RATIO_RAW'!AW$12</f>
        <v>0</v>
      </c>
      <c r="BG25" s="1654"/>
      <c r="BH25" s="1678">
        <f t="shared" si="90"/>
        <v>0</v>
      </c>
      <c r="BI25" s="1662"/>
      <c r="BJ25" s="1626">
        <v>46203</v>
      </c>
      <c r="BK25" s="1626"/>
      <c r="BL25" s="1660">
        <f t="shared" si="91"/>
        <v>0.1</v>
      </c>
      <c r="BM25" s="1654">
        <f>+$I25*'PAYMENT RATIO_RAW'!BD$12</f>
        <v>14998800</v>
      </c>
      <c r="BN25" s="1654"/>
      <c r="BO25" s="1654">
        <f t="shared" si="92"/>
        <v>14998800</v>
      </c>
      <c r="BP25" s="1662"/>
      <c r="BQ25" s="1588"/>
      <c r="BR25" s="1587" t="b">
        <f>+P25+W25+AD25+AR25+AY25+BF25+BM25=I25</f>
        <v>1</v>
      </c>
      <c r="BS25" s="1587" t="b">
        <f t="shared" si="94"/>
        <v>1</v>
      </c>
      <c r="BT25" s="1587"/>
      <c r="BU25" s="404"/>
      <c r="BV25" s="404"/>
      <c r="BW25" s="404"/>
      <c r="BX25" s="404"/>
      <c r="BY25" s="404"/>
      <c r="BZ25" s="404"/>
      <c r="CA25" s="404"/>
      <c r="CB25" s="404"/>
      <c r="CC25" s="404"/>
      <c r="CD25" s="404"/>
    </row>
    <row r="26" spans="1:82">
      <c r="A26" s="1650"/>
      <c r="B26" s="2517"/>
      <c r="C26" s="2518"/>
      <c r="D26" s="2519"/>
      <c r="E26" s="2518"/>
      <c r="F26" s="1661" t="s">
        <v>128</v>
      </c>
      <c r="G26" s="1597">
        <f>+'PAYMENT RATIO_RAW'!F$13*'GM Batch2-APA'!$D$23/1000</f>
        <v>99992000</v>
      </c>
      <c r="H26" s="1597"/>
      <c r="I26" s="1680">
        <f t="shared" si="78"/>
        <v>99992000</v>
      </c>
      <c r="J26" s="1661">
        <f t="shared" si="0"/>
        <v>0</v>
      </c>
      <c r="K26" s="1654">
        <f t="shared" si="2"/>
        <v>0</v>
      </c>
      <c r="L26" s="1654">
        <f t="shared" si="79"/>
        <v>99992000</v>
      </c>
      <c r="M26" s="1626"/>
      <c r="N26" s="1626"/>
      <c r="O26" s="1660">
        <f t="shared" si="80"/>
        <v>0</v>
      </c>
      <c r="P26" s="1654">
        <f>+$I26*'PAYMENT RATIO_RAW'!G$13</f>
        <v>0</v>
      </c>
      <c r="Q26" s="1654"/>
      <c r="R26" s="1654">
        <f t="shared" si="81"/>
        <v>0</v>
      </c>
      <c r="S26" s="2188">
        <f>+Q26/I26</f>
        <v>0</v>
      </c>
      <c r="T26" s="1626">
        <v>46022</v>
      </c>
      <c r="U26" s="1585"/>
      <c r="V26" s="1660">
        <f t="shared" si="82"/>
        <v>0</v>
      </c>
      <c r="W26" s="1654">
        <f>+$I26*'PAYMENT RATIO_RAW'!N$13</f>
        <v>0</v>
      </c>
      <c r="X26" s="1654"/>
      <c r="Y26" s="1654">
        <f t="shared" si="83"/>
        <v>0</v>
      </c>
      <c r="Z26" s="1662"/>
      <c r="AA26" s="1626">
        <v>46142</v>
      </c>
      <c r="AB26" s="1585"/>
      <c r="AC26" s="1660">
        <f t="shared" si="84"/>
        <v>0</v>
      </c>
      <c r="AD26" s="1654">
        <f>+'PAYMENT RATIO_RAW'!$U$13*I26</f>
        <v>0</v>
      </c>
      <c r="AE26" s="1654"/>
      <c r="AF26" s="1654">
        <f t="shared" si="85"/>
        <v>0</v>
      </c>
      <c r="AG26" s="1662"/>
      <c r="AH26" s="1585"/>
      <c r="AI26" s="1585"/>
      <c r="AJ26" s="1660">
        <f t="shared" si="86"/>
        <v>0</v>
      </c>
      <c r="AK26" s="1654">
        <f>+'PAYMENT RATIO_RAW'!$AB$13*I26</f>
        <v>0</v>
      </c>
      <c r="AL26" s="1654"/>
      <c r="AM26" s="1654">
        <f t="shared" si="87"/>
        <v>0</v>
      </c>
      <c r="AN26" s="1662"/>
      <c r="AO26" s="1626"/>
      <c r="AP26" s="1585"/>
      <c r="AQ26" s="1660"/>
      <c r="AR26" s="1654">
        <f>+$I26*'PAYMENT RATIO_RAW'!AI$13</f>
        <v>0</v>
      </c>
      <c r="AS26" s="1654"/>
      <c r="AT26" s="1654">
        <f t="shared" si="88"/>
        <v>0</v>
      </c>
      <c r="AU26" s="1662"/>
      <c r="AV26" s="1626"/>
      <c r="AW26" s="1585"/>
      <c r="AX26" s="1660"/>
      <c r="AY26" s="1654">
        <f>+$I26*'PAYMENT RATIO_RAW'!AP$13</f>
        <v>0</v>
      </c>
      <c r="AZ26" s="1654"/>
      <c r="BA26" s="1654">
        <f t="shared" si="89"/>
        <v>0</v>
      </c>
      <c r="BB26" s="1662"/>
      <c r="BC26" s="1626"/>
      <c r="BD26" s="1585"/>
      <c r="BE26" s="1660">
        <f t="shared" si="14"/>
        <v>0</v>
      </c>
      <c r="BF26" s="1654">
        <f>+$I26*'PAYMENT RATIO_RAW'!AW$13</f>
        <v>0</v>
      </c>
      <c r="BG26" s="1654"/>
      <c r="BH26" s="1678">
        <f t="shared" si="90"/>
        <v>0</v>
      </c>
      <c r="BI26" s="1662"/>
      <c r="BJ26" s="1626">
        <v>46203</v>
      </c>
      <c r="BK26" s="1626"/>
      <c r="BL26" s="1660">
        <f t="shared" si="91"/>
        <v>1</v>
      </c>
      <c r="BM26" s="1654">
        <f>+$I26*'PAYMENT RATIO_RAW'!BD$13</f>
        <v>99992000</v>
      </c>
      <c r="BN26" s="1654"/>
      <c r="BO26" s="1654">
        <f t="shared" si="92"/>
        <v>99992000</v>
      </c>
      <c r="BP26" s="1662"/>
      <c r="BQ26" s="1588"/>
      <c r="BR26" s="1587" t="b">
        <f t="shared" ref="BR26:BR27" si="95">+P26+W26+AD26+AR26+AY26+BF26+BM26=I26</f>
        <v>1</v>
      </c>
      <c r="BS26" s="1587" t="b">
        <f t="shared" si="94"/>
        <v>1</v>
      </c>
      <c r="BT26" s="1587"/>
      <c r="BU26" s="404"/>
      <c r="BV26" s="404"/>
      <c r="BW26" s="404"/>
      <c r="BX26" s="404"/>
      <c r="BY26" s="404"/>
      <c r="BZ26" s="404"/>
      <c r="CA26" s="404"/>
      <c r="CB26" s="404"/>
      <c r="CC26" s="404"/>
      <c r="CD26" s="404"/>
    </row>
    <row r="27" spans="1:82">
      <c r="A27" s="1650"/>
      <c r="B27" s="2517"/>
      <c r="C27" s="2518"/>
      <c r="D27" s="2519"/>
      <c r="E27" s="2518"/>
      <c r="F27" s="1627" t="s">
        <v>129</v>
      </c>
      <c r="G27" s="1680">
        <f>+'PAYMENT RATIO_RAW'!F$14*'GM Batch2-APA'!$D$23/1000</f>
        <v>0</v>
      </c>
      <c r="H27" s="1680"/>
      <c r="I27" s="1680">
        <f t="shared" si="78"/>
        <v>0</v>
      </c>
      <c r="J27" s="1627" t="str">
        <f t="shared" si="0"/>
        <v>-</v>
      </c>
      <c r="K27" s="1655">
        <f t="shared" si="2"/>
        <v>0</v>
      </c>
      <c r="L27" s="1655">
        <f t="shared" si="79"/>
        <v>0</v>
      </c>
      <c r="M27" s="1630"/>
      <c r="N27" s="1630"/>
      <c r="O27" s="1682"/>
      <c r="P27" s="1683">
        <f>+$I27*'PAYMENT RATIO_RAW'!G$14</f>
        <v>0</v>
      </c>
      <c r="Q27" s="1683">
        <v>0</v>
      </c>
      <c r="R27" s="1683">
        <f t="shared" si="81"/>
        <v>0</v>
      </c>
      <c r="S27" s="1630"/>
      <c r="T27" s="1629"/>
      <c r="U27" s="1630"/>
      <c r="V27" s="1682"/>
      <c r="W27" s="1683">
        <f>+$I27*'PAYMENT RATIO_RAW'!N$14</f>
        <v>0</v>
      </c>
      <c r="X27" s="1683"/>
      <c r="Y27" s="1683">
        <f t="shared" si="83"/>
        <v>0</v>
      </c>
      <c r="Z27" s="1630"/>
      <c r="AA27" s="1629"/>
      <c r="AB27" s="1630"/>
      <c r="AC27" s="1682"/>
      <c r="AD27" s="1683">
        <f>+'PAYMENT RATIO_RAW'!$U$14*I27</f>
        <v>0</v>
      </c>
      <c r="AE27" s="1683"/>
      <c r="AF27" s="1683">
        <f t="shared" si="85"/>
        <v>0</v>
      </c>
      <c r="AG27" s="1630"/>
      <c r="AH27" s="1629"/>
      <c r="AI27" s="1630"/>
      <c r="AJ27" s="1682"/>
      <c r="AK27" s="1683">
        <f>+'PAYMENT RATIO_RAW'!$AB$14*I27</f>
        <v>0</v>
      </c>
      <c r="AL27" s="1683"/>
      <c r="AM27" s="1683"/>
      <c r="AN27" s="1630"/>
      <c r="AO27" s="1629"/>
      <c r="AP27" s="1630"/>
      <c r="AQ27" s="1682"/>
      <c r="AR27" s="1683">
        <f>+$I27*'PAYMENT RATIO_RAW'!AI$14</f>
        <v>0</v>
      </c>
      <c r="AS27" s="1683"/>
      <c r="AT27" s="1683"/>
      <c r="AU27" s="1630"/>
      <c r="AV27" s="1629"/>
      <c r="AW27" s="1630"/>
      <c r="AX27" s="1682"/>
      <c r="AY27" s="1683">
        <f>+$I27*'PAYMENT RATIO_RAW'!AP$14</f>
        <v>0</v>
      </c>
      <c r="AZ27" s="1683"/>
      <c r="BA27" s="1683"/>
      <c r="BB27" s="1630"/>
      <c r="BC27" s="1629"/>
      <c r="BD27" s="1630"/>
      <c r="BE27" s="1682" t="str">
        <f t="shared" si="14"/>
        <v>-</v>
      </c>
      <c r="BF27" s="1683">
        <f>+$I27*'PAYMENT RATIO_RAW'!AW$14</f>
        <v>0</v>
      </c>
      <c r="BG27" s="1683"/>
      <c r="BH27" s="1678">
        <f t="shared" si="90"/>
        <v>0</v>
      </c>
      <c r="BI27" s="1630"/>
      <c r="BJ27" s="1630"/>
      <c r="BK27" s="1630"/>
      <c r="BL27" s="1682" t="str">
        <f t="shared" si="91"/>
        <v>-</v>
      </c>
      <c r="BM27" s="1683">
        <f>+$I27*'PAYMENT RATIO_RAW'!BD$14</f>
        <v>0</v>
      </c>
      <c r="BN27" s="1683"/>
      <c r="BO27" s="1683">
        <f t="shared" si="92"/>
        <v>0</v>
      </c>
      <c r="BP27" s="1630"/>
      <c r="BQ27" s="1589"/>
      <c r="BR27" s="1591" t="b">
        <f t="shared" si="95"/>
        <v>1</v>
      </c>
      <c r="BS27" s="1592" t="b">
        <f t="shared" si="94"/>
        <v>1</v>
      </c>
      <c r="BT27" s="1592"/>
      <c r="BU27" s="404"/>
      <c r="BV27" s="404"/>
      <c r="BW27" s="404"/>
      <c r="BX27" s="404"/>
      <c r="BY27" s="404"/>
      <c r="BZ27" s="404"/>
      <c r="CA27" s="404"/>
      <c r="CB27" s="404"/>
      <c r="CC27" s="404"/>
      <c r="CD27" s="404"/>
    </row>
    <row r="28" spans="1:82">
      <c r="A28" s="1649"/>
      <c r="B28" s="2517"/>
      <c r="C28" s="2518"/>
      <c r="D28" s="2519"/>
      <c r="E28" s="2518"/>
      <c r="F28" s="419" t="s">
        <v>130</v>
      </c>
      <c r="G28" s="1628">
        <f>SUM(G23:G27)</f>
        <v>949924000</v>
      </c>
      <c r="H28" s="1628">
        <f>SUM(H23:H27)</f>
        <v>52495800</v>
      </c>
      <c r="I28" s="1628">
        <f t="shared" ref="I28" si="96">SUM(I23:I27)</f>
        <v>1002419800</v>
      </c>
      <c r="J28" s="419">
        <f t="shared" si="0"/>
        <v>0.12967581047381546</v>
      </c>
      <c r="K28" s="1628">
        <f t="shared" ref="K28:L28" si="97">SUM(K23:K27)</f>
        <v>129989600</v>
      </c>
      <c r="L28" s="1628">
        <f t="shared" si="97"/>
        <v>872430200</v>
      </c>
      <c r="M28" s="419"/>
      <c r="N28" s="419"/>
      <c r="O28" s="1634">
        <f t="shared" ref="O28:O34" si="98">+IFERROR(P28/$I28,"-")</f>
        <v>0.12967581047381546</v>
      </c>
      <c r="P28" s="1628">
        <f t="shared" ref="P28:Q28" si="99">SUM(P23:P27)</f>
        <v>129989600</v>
      </c>
      <c r="Q28" s="1628">
        <f t="shared" si="99"/>
        <v>129989600</v>
      </c>
      <c r="R28" s="1684">
        <f t="shared" ref="R28" si="100">+P28-Q28</f>
        <v>0</v>
      </c>
      <c r="S28" s="419"/>
      <c r="T28" s="1631"/>
      <c r="U28" s="419"/>
      <c r="V28" s="1634">
        <f t="shared" ref="V28" si="101">+IFERROR(W28/$I28,"-")</f>
        <v>6.4837905236907731E-2</v>
      </c>
      <c r="W28" s="1628">
        <f t="shared" ref="W28:X28" si="102">SUM(W23:W27)</f>
        <v>64994800</v>
      </c>
      <c r="X28" s="1628">
        <f t="shared" si="102"/>
        <v>0</v>
      </c>
      <c r="Y28" s="1684">
        <f t="shared" ref="Y28" si="103">+W28-X28</f>
        <v>64994800</v>
      </c>
      <c r="Z28" s="419"/>
      <c r="AA28" s="1631"/>
      <c r="AB28" s="419"/>
      <c r="AC28" s="1634">
        <f t="shared" ref="AC28" si="104">+IFERROR(AD28/$I28,"-")</f>
        <v>0.27007481296758107</v>
      </c>
      <c r="AD28" s="1628">
        <f t="shared" ref="AD28:AE28" si="105">SUM(AD23:AD27)</f>
        <v>270728340</v>
      </c>
      <c r="AE28" s="1628">
        <f t="shared" si="105"/>
        <v>0</v>
      </c>
      <c r="AF28" s="1684">
        <f t="shared" ref="AF28" si="106">+AD28-AE28</f>
        <v>270728340</v>
      </c>
      <c r="AG28" s="419"/>
      <c r="AH28" s="1631"/>
      <c r="AI28" s="419"/>
      <c r="AJ28" s="1634">
        <f t="shared" ref="AJ28" si="107">+IFERROR(AK28/$I28,"-")</f>
        <v>0.23042394014962594</v>
      </c>
      <c r="AK28" s="1628">
        <f t="shared" ref="AK28:AL28" si="108">SUM(AK23:AK27)</f>
        <v>230981520</v>
      </c>
      <c r="AL28" s="1628">
        <f t="shared" si="108"/>
        <v>0</v>
      </c>
      <c r="AM28" s="1684">
        <f t="shared" ref="AM28" si="109">+AK28-AL28</f>
        <v>230981520</v>
      </c>
      <c r="AN28" s="419"/>
      <c r="AO28" s="1631"/>
      <c r="AP28" s="419"/>
      <c r="AQ28" s="1634">
        <f t="shared" ref="AQ28" si="110">+IFERROR(AR28/$I28,"-")</f>
        <v>0</v>
      </c>
      <c r="AR28" s="1628">
        <f t="shared" ref="AR28" si="111">SUM(AR23:AR27)</f>
        <v>0</v>
      </c>
      <c r="AS28" s="1628">
        <f t="shared" ref="AS28" si="112">SUM(AS23:AS27)</f>
        <v>0</v>
      </c>
      <c r="AT28" s="1684">
        <f t="shared" ref="AT28" si="113">+AR28-AS28</f>
        <v>0</v>
      </c>
      <c r="AU28" s="419"/>
      <c r="AV28" s="1631"/>
      <c r="AW28" s="419"/>
      <c r="AX28" s="1634">
        <f t="shared" ref="AX28" si="114">+IFERROR(AY28/$I28,"-")</f>
        <v>0</v>
      </c>
      <c r="AY28" s="1628">
        <f t="shared" ref="AY28" si="115">SUM(AY23:AY27)</f>
        <v>0</v>
      </c>
      <c r="AZ28" s="1628">
        <f t="shared" ref="AZ28" si="116">SUM(AZ23:AZ27)</f>
        <v>0</v>
      </c>
      <c r="BA28" s="1684">
        <f t="shared" ref="BA28" si="117">+AY28-AZ28</f>
        <v>0</v>
      </c>
      <c r="BB28" s="419"/>
      <c r="BC28" s="1631"/>
      <c r="BD28" s="419"/>
      <c r="BE28" s="1634">
        <f t="shared" ref="BE28" si="118">+IFERROR(BF28/$I28,"-")</f>
        <v>0</v>
      </c>
      <c r="BF28" s="1628">
        <f t="shared" ref="BF28" si="119">SUM(BF23:BF27)</f>
        <v>0</v>
      </c>
      <c r="BG28" s="1628">
        <f t="shared" ref="BG28" si="120">SUM(BG23:BG27)</f>
        <v>0</v>
      </c>
      <c r="BH28" s="1684">
        <f t="shared" ref="BH28" si="121">+BF28-BG28</f>
        <v>0</v>
      </c>
      <c r="BI28" s="419"/>
      <c r="BJ28" s="419"/>
      <c r="BK28" s="419"/>
      <c r="BL28" s="1634">
        <f t="shared" si="16"/>
        <v>0.30498753117206984</v>
      </c>
      <c r="BM28" s="1628">
        <f t="shared" ref="BM28:BN28" si="122">SUM(BM23:BM27)</f>
        <v>305725540</v>
      </c>
      <c r="BN28" s="1628">
        <f t="shared" si="122"/>
        <v>0</v>
      </c>
      <c r="BO28" s="1684">
        <f t="shared" ref="BO28" si="123">+BM28-BN28</f>
        <v>305725540</v>
      </c>
      <c r="BP28" s="419"/>
      <c r="BQ28" s="1589"/>
      <c r="BR28" s="1632"/>
      <c r="BS28" s="1633"/>
      <c r="BT28" s="1633"/>
      <c r="BU28" s="401"/>
      <c r="BV28" s="401"/>
      <c r="BW28" s="401"/>
      <c r="BX28" s="401"/>
      <c r="BY28" s="401"/>
      <c r="BZ28" s="401"/>
      <c r="CA28" s="401"/>
      <c r="CB28" s="401"/>
      <c r="CC28" s="404"/>
      <c r="CD28" s="404"/>
    </row>
    <row r="29" spans="1:82">
      <c r="A29" s="1649"/>
      <c r="B29" s="2517">
        <v>4</v>
      </c>
      <c r="C29" s="2520" t="s">
        <v>223</v>
      </c>
      <c r="D29" s="2519">
        <v>499.96</v>
      </c>
      <c r="E29" s="2518" t="s">
        <v>124</v>
      </c>
      <c r="F29" s="1659" t="s">
        <v>125</v>
      </c>
      <c r="G29" s="1596">
        <f>+'PAYMENT RATIO_RAW'!F$10*'GM Batch2-APA'!$D$29/1000</f>
        <v>524958000</v>
      </c>
      <c r="H29" s="1596">
        <f>+G29*10%</f>
        <v>52495800</v>
      </c>
      <c r="I29" s="1596">
        <f>SUM(G29:H29)</f>
        <v>577453800</v>
      </c>
      <c r="J29" s="1676">
        <f t="shared" si="0"/>
        <v>0</v>
      </c>
      <c r="K29" s="1678">
        <f t="shared" si="2"/>
        <v>0</v>
      </c>
      <c r="L29" s="1678">
        <f>+I29-K29</f>
        <v>577453800</v>
      </c>
      <c r="M29" s="1586"/>
      <c r="N29" s="1586"/>
      <c r="O29" s="1677"/>
      <c r="P29" s="1654">
        <f>+$I29*'PAYMENT RATIO_RAW'!G$10</f>
        <v>0</v>
      </c>
      <c r="Q29" s="1678">
        <v>0</v>
      </c>
      <c r="R29" s="1678">
        <f>+P29-Q29</f>
        <v>0</v>
      </c>
      <c r="S29" s="1679"/>
      <c r="T29" s="1625"/>
      <c r="U29" s="1586"/>
      <c r="V29" s="1677"/>
      <c r="W29" s="1654">
        <f>+$I29*'PAYMENT RATIO_RAW'!N$10</f>
        <v>0</v>
      </c>
      <c r="X29" s="1678"/>
      <c r="Y29" s="1678">
        <f>+W29-X29</f>
        <v>0</v>
      </c>
      <c r="Z29" s="1679"/>
      <c r="AA29" s="1625">
        <v>46042</v>
      </c>
      <c r="AB29" s="1586"/>
      <c r="AC29" s="1677">
        <f>+IFERROR(AD29/$I29,"-")</f>
        <v>0.3</v>
      </c>
      <c r="AD29" s="1654">
        <f>+'PAYMENT RATIO_RAW'!$U$10*I29</f>
        <v>173236140</v>
      </c>
      <c r="AE29" s="1678"/>
      <c r="AF29" s="1678">
        <f>+AD29-AE29</f>
        <v>173236140</v>
      </c>
      <c r="AG29" s="1679"/>
      <c r="AH29" s="1625">
        <v>46081</v>
      </c>
      <c r="AI29" s="1585"/>
      <c r="AJ29" s="1677">
        <f>+IFERROR(AK29/$I29,"-")</f>
        <v>0.4</v>
      </c>
      <c r="AK29" s="1678">
        <f>+'PAYMENT RATIO_RAW'!$AB$10*I29</f>
        <v>230981520</v>
      </c>
      <c r="AL29" s="1678"/>
      <c r="AM29" s="1678">
        <f>+AK29-AL29</f>
        <v>230981520</v>
      </c>
      <c r="AN29" s="1679"/>
      <c r="AO29" s="1625">
        <f>+EDATE(AV29,-1)</f>
        <v>46111</v>
      </c>
      <c r="AP29" s="1586"/>
      <c r="AQ29" s="1677">
        <f>+IFERROR(AR29/$I29,"-")</f>
        <v>0</v>
      </c>
      <c r="AR29" s="1654">
        <f>+$I29*'PAYMENT RATIO_RAW'!AI$10</f>
        <v>0</v>
      </c>
      <c r="AS29" s="1678"/>
      <c r="AT29" s="1678">
        <f>+AR29-AS29</f>
        <v>0</v>
      </c>
      <c r="AU29" s="1679"/>
      <c r="AV29" s="1625">
        <f>+EDATE(BC29,-1)</f>
        <v>46142</v>
      </c>
      <c r="AW29" s="1586"/>
      <c r="AX29" s="1677">
        <f>+IFERROR(AY29/$I29,"-")</f>
        <v>0</v>
      </c>
      <c r="AY29" s="1654">
        <f>+$I29*'PAYMENT RATIO_RAW'!AP$10</f>
        <v>0</v>
      </c>
      <c r="AZ29" s="1678"/>
      <c r="BA29" s="1678">
        <f>+AY29-AZ29</f>
        <v>0</v>
      </c>
      <c r="BB29" s="1679"/>
      <c r="BC29" s="1625">
        <f>+EDATE(BJ29,-1)</f>
        <v>46172</v>
      </c>
      <c r="BD29" s="1586"/>
      <c r="BE29" s="1677">
        <f>+IFERROR(BF29/$I29,"-")</f>
        <v>0</v>
      </c>
      <c r="BF29" s="1654">
        <f>+$I29*'PAYMENT RATIO_RAW'!AW$10</f>
        <v>0</v>
      </c>
      <c r="BG29" s="1678"/>
      <c r="BH29" s="1678">
        <f>+BF29-BG29</f>
        <v>0</v>
      </c>
      <c r="BI29" s="1679"/>
      <c r="BJ29" s="1626">
        <v>46203</v>
      </c>
      <c r="BK29" s="1626"/>
      <c r="BL29" s="1677">
        <f>+IFERROR(BM29/$I29,"-")</f>
        <v>0.3</v>
      </c>
      <c r="BM29" s="1654">
        <f>+$I29*'PAYMENT RATIO_RAW'!BD$10</f>
        <v>173236140</v>
      </c>
      <c r="BN29" s="1678"/>
      <c r="BO29" s="1678">
        <f>+BM29-BN29</f>
        <v>173236140</v>
      </c>
      <c r="BP29" s="1679"/>
      <c r="BQ29" s="1588"/>
      <c r="BR29" s="1587" t="b">
        <f>+P29+W29+AD29+AK29+AR29+AY29+BF29+BM29=I29</f>
        <v>1</v>
      </c>
      <c r="BS29" s="1587" t="b">
        <f>+Q29+X29+AE29+AS29+AZ29+BG29+BN29=K29</f>
        <v>1</v>
      </c>
      <c r="BT29" s="1587"/>
      <c r="BU29" s="401"/>
      <c r="BV29" s="401"/>
      <c r="BW29" s="401"/>
      <c r="BX29" s="401"/>
      <c r="BY29" s="401"/>
      <c r="BZ29" s="401"/>
      <c r="CA29" s="401"/>
      <c r="CB29" s="401"/>
      <c r="CC29" s="404"/>
      <c r="CD29" s="404"/>
    </row>
    <row r="30" spans="1:82" ht="13.5">
      <c r="A30" s="1649"/>
      <c r="B30" s="2517"/>
      <c r="C30" s="2520"/>
      <c r="D30" s="2519"/>
      <c r="E30" s="2518"/>
      <c r="F30" s="1661" t="s">
        <v>126</v>
      </c>
      <c r="G30" s="1597">
        <f>+'PAYMENT RATIO_RAW'!F$11*'GM Batch2-APA'!$D$29/1000</f>
        <v>174986000</v>
      </c>
      <c r="H30" s="1597"/>
      <c r="I30" s="1597">
        <f t="shared" ref="I30:I33" si="124">SUM(G30:H30)</f>
        <v>174986000</v>
      </c>
      <c r="J30" s="1661">
        <f t="shared" si="0"/>
        <v>0.4</v>
      </c>
      <c r="K30" s="1654">
        <f t="shared" si="2"/>
        <v>69994400</v>
      </c>
      <c r="L30" s="1654">
        <f t="shared" ref="L30:L33" si="125">+I30-K30</f>
        <v>104991600</v>
      </c>
      <c r="M30" s="1626">
        <v>45807</v>
      </c>
      <c r="N30" s="1626">
        <v>45807</v>
      </c>
      <c r="O30" s="1660">
        <f t="shared" ref="O30:O32" si="126">+IFERROR(P30/$I30,"-")</f>
        <v>0.4</v>
      </c>
      <c r="P30" s="1654">
        <f>+$I30*'PAYMENT RATIO_RAW'!G$11</f>
        <v>69994400</v>
      </c>
      <c r="Q30" s="1654">
        <v>69994400</v>
      </c>
      <c r="R30" s="1654">
        <f t="shared" ref="R30:R33" si="127">+P30-Q30</f>
        <v>0</v>
      </c>
      <c r="S30" s="1662"/>
      <c r="T30" s="1626">
        <v>46022</v>
      </c>
      <c r="U30" s="1626"/>
      <c r="V30" s="1660">
        <f t="shared" ref="V30:V32" si="128">+IFERROR(W30/$I30,"-")</f>
        <v>0.2</v>
      </c>
      <c r="W30" s="1654">
        <f>+$I30*'PAYMENT RATIO_RAW'!N$11</f>
        <v>34997200</v>
      </c>
      <c r="X30" s="1654"/>
      <c r="Y30" s="1654">
        <f t="shared" ref="Y30:Y33" si="129">+W30-X30</f>
        <v>34997200</v>
      </c>
      <c r="Z30" s="1686"/>
      <c r="AA30" s="1626">
        <v>46142</v>
      </c>
      <c r="AB30" s="1626"/>
      <c r="AC30" s="1660">
        <f t="shared" ref="AC30:AC32" si="130">+IFERROR(AD30/$I30,"-")</f>
        <v>0.3</v>
      </c>
      <c r="AD30" s="1654">
        <f>+'PAYMENT RATIO_RAW'!$U$11*I30</f>
        <v>52495800</v>
      </c>
      <c r="AE30" s="1654"/>
      <c r="AF30" s="1654">
        <f t="shared" ref="AF30:AF33" si="131">+AD30-AE30</f>
        <v>52495800</v>
      </c>
      <c r="AG30" s="1662"/>
      <c r="AH30" s="1626"/>
      <c r="AI30" s="1626"/>
      <c r="AJ30" s="1660">
        <f t="shared" ref="AJ30:AJ32" si="132">+IFERROR(AK30/$I30,"-")</f>
        <v>0</v>
      </c>
      <c r="AK30" s="1654">
        <f>+'PAYMENT RATIO_RAW'!$AB$11*I30</f>
        <v>0</v>
      </c>
      <c r="AL30" s="1654"/>
      <c r="AM30" s="1654">
        <f t="shared" ref="AM30:AM32" si="133">+AK30-AL30</f>
        <v>0</v>
      </c>
      <c r="AN30" s="1662"/>
      <c r="AO30" s="1626"/>
      <c r="AP30" s="1626"/>
      <c r="AQ30" s="1660"/>
      <c r="AR30" s="1654">
        <f>+$I30*'PAYMENT RATIO_RAW'!AI$11</f>
        <v>0</v>
      </c>
      <c r="AS30" s="1654"/>
      <c r="AT30" s="1654">
        <f t="shared" ref="AT30:AT32" si="134">+AR30-AS30</f>
        <v>0</v>
      </c>
      <c r="AU30" s="1662"/>
      <c r="AV30" s="1626"/>
      <c r="AW30" s="1626"/>
      <c r="AX30" s="1660"/>
      <c r="AY30" s="1654">
        <f>+$I30*'PAYMENT RATIO_RAW'!AP$11</f>
        <v>0</v>
      </c>
      <c r="AZ30" s="1654"/>
      <c r="BA30" s="1654">
        <f t="shared" ref="BA30:BA32" si="135">+AY30-AZ30</f>
        <v>0</v>
      </c>
      <c r="BB30" s="1662"/>
      <c r="BC30" s="1626"/>
      <c r="BD30" s="1626"/>
      <c r="BE30" s="1660">
        <f t="shared" ref="BE30:BE33" si="136">+IFERROR(BF30/$I30,"-")</f>
        <v>0</v>
      </c>
      <c r="BF30" s="1654">
        <f>+$I30*'PAYMENT RATIO_RAW'!AW$11</f>
        <v>0</v>
      </c>
      <c r="BG30" s="1654"/>
      <c r="BH30" s="1678">
        <f t="shared" ref="BH30:BH33" si="137">+BF30-BG30</f>
        <v>0</v>
      </c>
      <c r="BI30" s="1662"/>
      <c r="BJ30" s="1626">
        <v>46203</v>
      </c>
      <c r="BK30" s="1626"/>
      <c r="BL30" s="1660">
        <f t="shared" ref="BL30:BL33" si="138">+IFERROR(BM30/$I30,"-")</f>
        <v>0.1</v>
      </c>
      <c r="BM30" s="1654">
        <f>+$I30*'PAYMENT RATIO_RAW'!BD$11</f>
        <v>17498600</v>
      </c>
      <c r="BN30" s="1654"/>
      <c r="BO30" s="1654">
        <f t="shared" ref="BO30:BO33" si="139">+BM30-BN30</f>
        <v>17498600</v>
      </c>
      <c r="BP30" s="1662"/>
      <c r="BQ30" s="1588"/>
      <c r="BR30" s="1587" t="b">
        <f t="shared" ref="BR30" si="140">+P30+W30+AD30+AR30+AY30+BF30+BM30=I30</f>
        <v>1</v>
      </c>
      <c r="BS30" s="1587" t="b">
        <f t="shared" ref="BS30:BS33" si="141">+Q30+X30+AE30+AS30+AZ30+BG30+BN30=K30</f>
        <v>1</v>
      </c>
      <c r="BT30" s="1587" t="b">
        <f>+BF30+BF32+AY30+AY32+AR30+AR32+AD30+AD32+W30+W32+P30+P32+BM30+BM32=('PAYMENT RATIO_RAW'!$F$11+'PAYMENT RATIO_RAW'!$F$13)*D29*1.1/1000</f>
        <v>0</v>
      </c>
      <c r="BU30" s="401"/>
      <c r="BV30" s="401"/>
      <c r="BW30" s="401"/>
      <c r="BX30" s="401"/>
      <c r="BY30" s="401"/>
      <c r="BZ30" s="401"/>
      <c r="CA30" s="401"/>
      <c r="CB30" s="401"/>
      <c r="CC30" s="404"/>
      <c r="CD30" s="404"/>
    </row>
    <row r="31" spans="1:82">
      <c r="A31" s="1649"/>
      <c r="B31" s="2517"/>
      <c r="C31" s="2520"/>
      <c r="D31" s="2519"/>
      <c r="E31" s="2518"/>
      <c r="F31" s="1661" t="s">
        <v>127</v>
      </c>
      <c r="G31" s="1597">
        <f>+'PAYMENT RATIO_RAW'!F$12*'GM Batch2-APA'!$D$29/1000</f>
        <v>149988000</v>
      </c>
      <c r="H31" s="1597"/>
      <c r="I31" s="1597">
        <f t="shared" si="124"/>
        <v>149988000</v>
      </c>
      <c r="J31" s="1661">
        <f t="shared" si="0"/>
        <v>0.4</v>
      </c>
      <c r="K31" s="1654">
        <f t="shared" si="2"/>
        <v>59995200</v>
      </c>
      <c r="L31" s="1654">
        <f t="shared" si="125"/>
        <v>89992800</v>
      </c>
      <c r="M31" s="1626">
        <v>45807</v>
      </c>
      <c r="N31" s="1626">
        <v>45807</v>
      </c>
      <c r="O31" s="1660">
        <f t="shared" si="126"/>
        <v>0.4</v>
      </c>
      <c r="P31" s="1654">
        <f>+$I31*'PAYMENT RATIO_RAW'!G$12</f>
        <v>59995200</v>
      </c>
      <c r="Q31" s="1654">
        <v>59995200</v>
      </c>
      <c r="R31" s="1654">
        <f t="shared" si="127"/>
        <v>0</v>
      </c>
      <c r="S31" s="1662"/>
      <c r="T31" s="1626">
        <v>46022</v>
      </c>
      <c r="U31" s="1626"/>
      <c r="V31" s="1660">
        <f t="shared" si="128"/>
        <v>0.2</v>
      </c>
      <c r="W31" s="1654">
        <f>+$I31*'PAYMENT RATIO_RAW'!N$12</f>
        <v>29997600</v>
      </c>
      <c r="X31" s="1654"/>
      <c r="Y31" s="1654">
        <f t="shared" si="129"/>
        <v>29997600</v>
      </c>
      <c r="Z31" s="1662"/>
      <c r="AA31" s="1626">
        <v>46142</v>
      </c>
      <c r="AB31" s="1626"/>
      <c r="AC31" s="1660">
        <f t="shared" si="130"/>
        <v>0.3</v>
      </c>
      <c r="AD31" s="1654">
        <f>+'PAYMENT RATIO_RAW'!$U$12*I31</f>
        <v>44996400</v>
      </c>
      <c r="AE31" s="1654"/>
      <c r="AF31" s="1654">
        <f t="shared" si="131"/>
        <v>44996400</v>
      </c>
      <c r="AG31" s="1662"/>
      <c r="AH31" s="1626"/>
      <c r="AI31" s="1626"/>
      <c r="AJ31" s="1660">
        <f t="shared" si="132"/>
        <v>0</v>
      </c>
      <c r="AK31" s="1654">
        <f>+'PAYMENT RATIO_RAW'!$AB$12*I31</f>
        <v>0</v>
      </c>
      <c r="AL31" s="1654"/>
      <c r="AM31" s="1654">
        <f t="shared" si="133"/>
        <v>0</v>
      </c>
      <c r="AN31" s="1662"/>
      <c r="AO31" s="1626"/>
      <c r="AP31" s="1626"/>
      <c r="AQ31" s="1660"/>
      <c r="AR31" s="1654">
        <f>+$I31*'PAYMENT RATIO_RAW'!AI$12</f>
        <v>0</v>
      </c>
      <c r="AS31" s="1654"/>
      <c r="AT31" s="1654">
        <f t="shared" si="134"/>
        <v>0</v>
      </c>
      <c r="AU31" s="1662"/>
      <c r="AV31" s="1626"/>
      <c r="AW31" s="1626"/>
      <c r="AX31" s="1660"/>
      <c r="AY31" s="1654">
        <f>+$I31*'PAYMENT RATIO_RAW'!AP$12</f>
        <v>0</v>
      </c>
      <c r="AZ31" s="1654"/>
      <c r="BA31" s="1654">
        <f t="shared" si="135"/>
        <v>0</v>
      </c>
      <c r="BB31" s="1662"/>
      <c r="BC31" s="1626"/>
      <c r="BD31" s="1626"/>
      <c r="BE31" s="1660">
        <f t="shared" si="136"/>
        <v>0</v>
      </c>
      <c r="BF31" s="1654">
        <f>+$I31*'PAYMENT RATIO_RAW'!AW$12</f>
        <v>0</v>
      </c>
      <c r="BG31" s="1654"/>
      <c r="BH31" s="1678">
        <f t="shared" si="137"/>
        <v>0</v>
      </c>
      <c r="BI31" s="1662"/>
      <c r="BJ31" s="1626">
        <v>46203</v>
      </c>
      <c r="BK31" s="1626"/>
      <c r="BL31" s="1660">
        <f t="shared" si="138"/>
        <v>0.1</v>
      </c>
      <c r="BM31" s="1654">
        <f>+$I31*'PAYMENT RATIO_RAW'!BD$12</f>
        <v>14998800</v>
      </c>
      <c r="BN31" s="1654"/>
      <c r="BO31" s="1654">
        <f t="shared" si="139"/>
        <v>14998800</v>
      </c>
      <c r="BP31" s="1662"/>
      <c r="BQ31" s="1588"/>
      <c r="BR31" s="1587" t="b">
        <f>+P31+W31+AD31+AR31+AY31+BF31+BM31=I31</f>
        <v>1</v>
      </c>
      <c r="BS31" s="1587" t="b">
        <f t="shared" si="141"/>
        <v>1</v>
      </c>
      <c r="BT31" s="1587"/>
      <c r="BU31" s="401"/>
      <c r="BV31" s="401"/>
      <c r="BW31" s="401"/>
      <c r="BX31" s="401"/>
      <c r="BY31" s="401"/>
      <c r="BZ31" s="401"/>
      <c r="CA31" s="401"/>
      <c r="CB31" s="401"/>
      <c r="CC31" s="404"/>
      <c r="CD31" s="404"/>
    </row>
    <row r="32" spans="1:82">
      <c r="A32" s="1649"/>
      <c r="B32" s="2517"/>
      <c r="C32" s="2520"/>
      <c r="D32" s="2519"/>
      <c r="E32" s="2518"/>
      <c r="F32" s="1661" t="s">
        <v>128</v>
      </c>
      <c r="G32" s="1597">
        <f>+'PAYMENT RATIO_RAW'!F$13*'GM Batch2-APA'!$D$29/1000</f>
        <v>99992000</v>
      </c>
      <c r="H32" s="1597"/>
      <c r="I32" s="1680">
        <f t="shared" si="124"/>
        <v>99992000</v>
      </c>
      <c r="J32" s="1661">
        <f t="shared" si="0"/>
        <v>0</v>
      </c>
      <c r="K32" s="1654">
        <f t="shared" si="2"/>
        <v>0</v>
      </c>
      <c r="L32" s="1654">
        <f t="shared" si="125"/>
        <v>99992000</v>
      </c>
      <c r="M32" s="1626"/>
      <c r="N32" s="1626"/>
      <c r="O32" s="1660">
        <f t="shared" si="126"/>
        <v>0</v>
      </c>
      <c r="P32" s="1654">
        <f>+$I32*'PAYMENT RATIO_RAW'!G$13</f>
        <v>0</v>
      </c>
      <c r="Q32" s="1654"/>
      <c r="R32" s="1654">
        <f t="shared" si="127"/>
        <v>0</v>
      </c>
      <c r="S32" s="2188">
        <f>+Q32/I32</f>
        <v>0</v>
      </c>
      <c r="T32" s="1626">
        <v>46022</v>
      </c>
      <c r="U32" s="1585"/>
      <c r="V32" s="1660">
        <f t="shared" si="128"/>
        <v>0</v>
      </c>
      <c r="W32" s="1654">
        <f>+$I32*'PAYMENT RATIO_RAW'!N$13</f>
        <v>0</v>
      </c>
      <c r="X32" s="1654"/>
      <c r="Y32" s="1654">
        <f t="shared" si="129"/>
        <v>0</v>
      </c>
      <c r="Z32" s="1662"/>
      <c r="AA32" s="1626">
        <v>46142</v>
      </c>
      <c r="AB32" s="1585"/>
      <c r="AC32" s="1660">
        <f t="shared" si="130"/>
        <v>0</v>
      </c>
      <c r="AD32" s="1654">
        <f>+'PAYMENT RATIO_RAW'!$U$13*I32</f>
        <v>0</v>
      </c>
      <c r="AE32" s="1654"/>
      <c r="AF32" s="1654">
        <f t="shared" si="131"/>
        <v>0</v>
      </c>
      <c r="AG32" s="1662"/>
      <c r="AH32" s="1585"/>
      <c r="AI32" s="1585"/>
      <c r="AJ32" s="1660">
        <f t="shared" si="132"/>
        <v>0</v>
      </c>
      <c r="AK32" s="1654">
        <f>+'PAYMENT RATIO_RAW'!$AB$13*I32</f>
        <v>0</v>
      </c>
      <c r="AL32" s="1654"/>
      <c r="AM32" s="1654">
        <f t="shared" si="133"/>
        <v>0</v>
      </c>
      <c r="AN32" s="1662"/>
      <c r="AO32" s="1626"/>
      <c r="AP32" s="1585"/>
      <c r="AQ32" s="1660"/>
      <c r="AR32" s="1654">
        <f>+$I32*'PAYMENT RATIO_RAW'!AI$13</f>
        <v>0</v>
      </c>
      <c r="AS32" s="1654"/>
      <c r="AT32" s="1654">
        <f t="shared" si="134"/>
        <v>0</v>
      </c>
      <c r="AU32" s="1662"/>
      <c r="AV32" s="1626"/>
      <c r="AW32" s="1585"/>
      <c r="AX32" s="1660"/>
      <c r="AY32" s="1654">
        <f>+$I32*'PAYMENT RATIO_RAW'!AP$13</f>
        <v>0</v>
      </c>
      <c r="AZ32" s="1654"/>
      <c r="BA32" s="1654">
        <f t="shared" si="135"/>
        <v>0</v>
      </c>
      <c r="BB32" s="1662"/>
      <c r="BC32" s="1626"/>
      <c r="BD32" s="1585"/>
      <c r="BE32" s="1660">
        <f t="shared" si="136"/>
        <v>0</v>
      </c>
      <c r="BF32" s="1654">
        <f>+$I32*'PAYMENT RATIO_RAW'!AW$13</f>
        <v>0</v>
      </c>
      <c r="BG32" s="1654"/>
      <c r="BH32" s="1678">
        <f t="shared" si="137"/>
        <v>0</v>
      </c>
      <c r="BI32" s="1662"/>
      <c r="BJ32" s="1626">
        <v>46203</v>
      </c>
      <c r="BK32" s="1626"/>
      <c r="BL32" s="1660">
        <f t="shared" si="138"/>
        <v>1</v>
      </c>
      <c r="BM32" s="1654">
        <f>+$I32*'PAYMENT RATIO_RAW'!BD$13</f>
        <v>99992000</v>
      </c>
      <c r="BN32" s="1654"/>
      <c r="BO32" s="1654">
        <f t="shared" si="139"/>
        <v>99992000</v>
      </c>
      <c r="BP32" s="1662"/>
      <c r="BQ32" s="1588"/>
      <c r="BR32" s="1587" t="b">
        <f t="shared" ref="BR32:BR33" si="142">+P32+W32+AD32+AR32+AY32+BF32+BM32=I32</f>
        <v>1</v>
      </c>
      <c r="BS32" s="1587" t="b">
        <f t="shared" si="141"/>
        <v>1</v>
      </c>
      <c r="BT32" s="1587"/>
      <c r="BU32" s="401"/>
      <c r="BV32" s="401"/>
      <c r="BW32" s="401"/>
      <c r="BX32" s="401"/>
      <c r="BY32" s="401"/>
      <c r="BZ32" s="401"/>
      <c r="CA32" s="401"/>
      <c r="CB32" s="401"/>
      <c r="CC32" s="404"/>
      <c r="CD32" s="404"/>
    </row>
    <row r="33" spans="1:82">
      <c r="A33" s="1649"/>
      <c r="B33" s="2517"/>
      <c r="C33" s="2520"/>
      <c r="D33" s="2519"/>
      <c r="E33" s="2518"/>
      <c r="F33" s="1627" t="s">
        <v>129</v>
      </c>
      <c r="G33" s="1680">
        <f>+'PAYMENT RATIO_RAW'!F$14*'GM Batch2-APA'!$D$29/1000</f>
        <v>0</v>
      </c>
      <c r="H33" s="1680"/>
      <c r="I33" s="1680">
        <f t="shared" si="124"/>
        <v>0</v>
      </c>
      <c r="J33" s="1627" t="str">
        <f t="shared" si="0"/>
        <v>-</v>
      </c>
      <c r="K33" s="1655">
        <f t="shared" si="2"/>
        <v>0</v>
      </c>
      <c r="L33" s="1655">
        <f t="shared" si="125"/>
        <v>0</v>
      </c>
      <c r="M33" s="1630"/>
      <c r="N33" s="1630"/>
      <c r="O33" s="1682"/>
      <c r="P33" s="1683">
        <f>+$I33*'PAYMENT RATIO_RAW'!G$14</f>
        <v>0</v>
      </c>
      <c r="Q33" s="1683">
        <v>0</v>
      </c>
      <c r="R33" s="1683">
        <f t="shared" si="127"/>
        <v>0</v>
      </c>
      <c r="S33" s="1630"/>
      <c r="T33" s="1629"/>
      <c r="U33" s="1630"/>
      <c r="V33" s="1682"/>
      <c r="W33" s="1683">
        <f>+$I33*'PAYMENT RATIO_RAW'!N$14</f>
        <v>0</v>
      </c>
      <c r="X33" s="1683"/>
      <c r="Y33" s="1683">
        <f t="shared" si="129"/>
        <v>0</v>
      </c>
      <c r="Z33" s="1630"/>
      <c r="AA33" s="1629"/>
      <c r="AB33" s="1630"/>
      <c r="AC33" s="1682"/>
      <c r="AD33" s="1683">
        <f>+'PAYMENT RATIO_RAW'!$U$14*I33</f>
        <v>0</v>
      </c>
      <c r="AE33" s="1683"/>
      <c r="AF33" s="1683">
        <f t="shared" si="131"/>
        <v>0</v>
      </c>
      <c r="AG33" s="1630"/>
      <c r="AH33" s="1629"/>
      <c r="AI33" s="1630"/>
      <c r="AJ33" s="1682"/>
      <c r="AK33" s="1683">
        <f>+'PAYMENT RATIO_RAW'!$AB$14*I33</f>
        <v>0</v>
      </c>
      <c r="AL33" s="1683"/>
      <c r="AM33" s="1683"/>
      <c r="AN33" s="1630"/>
      <c r="AO33" s="1629"/>
      <c r="AP33" s="1630"/>
      <c r="AQ33" s="1682"/>
      <c r="AR33" s="1683">
        <f>+$I33*'PAYMENT RATIO_RAW'!AI$14</f>
        <v>0</v>
      </c>
      <c r="AS33" s="1683"/>
      <c r="AT33" s="1683"/>
      <c r="AU33" s="1630"/>
      <c r="AV33" s="1629"/>
      <c r="AW33" s="1630"/>
      <c r="AX33" s="1682"/>
      <c r="AY33" s="1683">
        <f>+$I33*'PAYMENT RATIO_RAW'!AP$14</f>
        <v>0</v>
      </c>
      <c r="AZ33" s="1683"/>
      <c r="BA33" s="1683"/>
      <c r="BB33" s="1630"/>
      <c r="BC33" s="1629"/>
      <c r="BD33" s="1630"/>
      <c r="BE33" s="1682" t="str">
        <f t="shared" si="136"/>
        <v>-</v>
      </c>
      <c r="BF33" s="1683">
        <f>+$I33*'PAYMENT RATIO_RAW'!AW$14</f>
        <v>0</v>
      </c>
      <c r="BG33" s="1683"/>
      <c r="BH33" s="1678">
        <f t="shared" si="137"/>
        <v>0</v>
      </c>
      <c r="BI33" s="1630"/>
      <c r="BJ33" s="1630"/>
      <c r="BK33" s="1630"/>
      <c r="BL33" s="1682" t="str">
        <f t="shared" si="138"/>
        <v>-</v>
      </c>
      <c r="BM33" s="1683">
        <f>+$I33*'PAYMENT RATIO_RAW'!BD$14</f>
        <v>0</v>
      </c>
      <c r="BN33" s="1683"/>
      <c r="BO33" s="1683">
        <f t="shared" si="139"/>
        <v>0</v>
      </c>
      <c r="BP33" s="1630"/>
      <c r="BQ33" s="1589"/>
      <c r="BR33" s="1591" t="b">
        <f t="shared" si="142"/>
        <v>1</v>
      </c>
      <c r="BS33" s="1592" t="b">
        <f t="shared" si="141"/>
        <v>1</v>
      </c>
      <c r="BT33" s="1592"/>
      <c r="BU33" s="401"/>
      <c r="BV33" s="401"/>
      <c r="BW33" s="401"/>
      <c r="BX33" s="401"/>
      <c r="BY33" s="401"/>
      <c r="BZ33" s="401"/>
      <c r="CA33" s="401"/>
      <c r="CB33" s="401"/>
      <c r="CC33" s="404"/>
      <c r="CD33" s="404"/>
    </row>
    <row r="34" spans="1:82">
      <c r="A34" s="1649"/>
      <c r="B34" s="2517"/>
      <c r="C34" s="2520"/>
      <c r="D34" s="2519"/>
      <c r="E34" s="2518"/>
      <c r="F34" s="419" t="s">
        <v>130</v>
      </c>
      <c r="G34" s="1628">
        <f>SUM(G29:G33)</f>
        <v>949924000</v>
      </c>
      <c r="H34" s="1628">
        <f>SUM(H29:H33)</f>
        <v>52495800</v>
      </c>
      <c r="I34" s="1628">
        <f t="shared" ref="I34" si="143">SUM(I29:I33)</f>
        <v>1002419800</v>
      </c>
      <c r="J34" s="419">
        <f t="shared" si="0"/>
        <v>0.12967581047381546</v>
      </c>
      <c r="K34" s="1628">
        <f t="shared" ref="K34:L34" si="144">SUM(K29:K33)</f>
        <v>129989600</v>
      </c>
      <c r="L34" s="1628">
        <f t="shared" si="144"/>
        <v>872430200</v>
      </c>
      <c r="M34" s="419"/>
      <c r="N34" s="419"/>
      <c r="O34" s="1634">
        <f t="shared" si="98"/>
        <v>0.12967581047381546</v>
      </c>
      <c r="P34" s="1628">
        <f t="shared" ref="P34" si="145">SUM(P29:P33)</f>
        <v>129989600</v>
      </c>
      <c r="Q34" s="1628">
        <f t="shared" ref="Q34" si="146">SUM(Q29:Q33)</f>
        <v>129989600</v>
      </c>
      <c r="R34" s="1684">
        <f t="shared" ref="R34" si="147">+P34-Q34</f>
        <v>0</v>
      </c>
      <c r="S34" s="419"/>
      <c r="T34" s="1631"/>
      <c r="U34" s="419"/>
      <c r="V34" s="1634">
        <f t="shared" ref="V34" si="148">+IFERROR(W34/$I34,"-")</f>
        <v>6.4837905236907731E-2</v>
      </c>
      <c r="W34" s="1628">
        <f t="shared" ref="W34:X34" si="149">SUM(W29:W33)</f>
        <v>64994800</v>
      </c>
      <c r="X34" s="1628">
        <f t="shared" si="149"/>
        <v>0</v>
      </c>
      <c r="Y34" s="1684">
        <f t="shared" ref="Y34" si="150">+W34-X34</f>
        <v>64994800</v>
      </c>
      <c r="Z34" s="419"/>
      <c r="AA34" s="1631"/>
      <c r="AB34" s="419"/>
      <c r="AC34" s="1634">
        <f t="shared" ref="AC34" si="151">+IFERROR(AD34/$I34,"-")</f>
        <v>0.27007481296758107</v>
      </c>
      <c r="AD34" s="1628">
        <f t="shared" ref="AD34:AE34" si="152">SUM(AD29:AD33)</f>
        <v>270728340</v>
      </c>
      <c r="AE34" s="1628">
        <f t="shared" si="152"/>
        <v>0</v>
      </c>
      <c r="AF34" s="1684">
        <f t="shared" ref="AF34" si="153">+AD34-AE34</f>
        <v>270728340</v>
      </c>
      <c r="AG34" s="419"/>
      <c r="AH34" s="1631"/>
      <c r="AI34" s="419"/>
      <c r="AJ34" s="1634">
        <f t="shared" ref="AJ34" si="154">+IFERROR(AK34/$I34,"-")</f>
        <v>0.23042394014962594</v>
      </c>
      <c r="AK34" s="1628">
        <f t="shared" ref="AK34:AL34" si="155">SUM(AK29:AK33)</f>
        <v>230981520</v>
      </c>
      <c r="AL34" s="1628">
        <f t="shared" si="155"/>
        <v>0</v>
      </c>
      <c r="AM34" s="1684">
        <f t="shared" ref="AM34" si="156">+AK34-AL34</f>
        <v>230981520</v>
      </c>
      <c r="AN34" s="419"/>
      <c r="AO34" s="1631"/>
      <c r="AP34" s="419"/>
      <c r="AQ34" s="1634">
        <f t="shared" ref="AQ34" si="157">+IFERROR(AR34/$I34,"-")</f>
        <v>0</v>
      </c>
      <c r="AR34" s="1628">
        <f t="shared" ref="AR34" si="158">SUM(AR29:AR33)</f>
        <v>0</v>
      </c>
      <c r="AS34" s="1628">
        <f t="shared" ref="AS34" si="159">SUM(AS29:AS33)</f>
        <v>0</v>
      </c>
      <c r="AT34" s="1684">
        <f t="shared" ref="AT34" si="160">+AR34-AS34</f>
        <v>0</v>
      </c>
      <c r="AU34" s="419"/>
      <c r="AV34" s="1631"/>
      <c r="AW34" s="419"/>
      <c r="AX34" s="1634">
        <f t="shared" ref="AX34" si="161">+IFERROR(AY34/$I34,"-")</f>
        <v>0</v>
      </c>
      <c r="AY34" s="1628">
        <f t="shared" ref="AY34" si="162">SUM(AY29:AY33)</f>
        <v>0</v>
      </c>
      <c r="AZ34" s="1628">
        <f t="shared" ref="AZ34" si="163">SUM(AZ29:AZ33)</f>
        <v>0</v>
      </c>
      <c r="BA34" s="1684">
        <f t="shared" ref="BA34" si="164">+AY34-AZ34</f>
        <v>0</v>
      </c>
      <c r="BB34" s="419"/>
      <c r="BC34" s="1631"/>
      <c r="BD34" s="419"/>
      <c r="BE34" s="1634">
        <f t="shared" ref="BE34" si="165">+IFERROR(BF34/$I34,"-")</f>
        <v>0</v>
      </c>
      <c r="BF34" s="1628">
        <f t="shared" ref="BF34" si="166">SUM(BF29:BF33)</f>
        <v>0</v>
      </c>
      <c r="BG34" s="1628">
        <f t="shared" ref="BG34" si="167">SUM(BG29:BG33)</f>
        <v>0</v>
      </c>
      <c r="BH34" s="1684">
        <f t="shared" ref="BH34" si="168">+BF34-BG34</f>
        <v>0</v>
      </c>
      <c r="BI34" s="419"/>
      <c r="BJ34" s="419"/>
      <c r="BK34" s="419"/>
      <c r="BL34" s="1634">
        <f t="shared" si="16"/>
        <v>0.30498753117206984</v>
      </c>
      <c r="BM34" s="1628">
        <f t="shared" ref="BM34:BN34" si="169">SUM(BM29:BM33)</f>
        <v>305725540</v>
      </c>
      <c r="BN34" s="1628">
        <f t="shared" si="169"/>
        <v>0</v>
      </c>
      <c r="BO34" s="1684">
        <f t="shared" ref="BO34" si="170">+BM34-BN34</f>
        <v>305725540</v>
      </c>
      <c r="BP34" s="419"/>
      <c r="BQ34" s="1589"/>
      <c r="BR34" s="1632"/>
      <c r="BS34" s="1633"/>
      <c r="BT34" s="1633"/>
      <c r="BU34" s="401"/>
      <c r="BV34" s="401"/>
      <c r="BW34" s="401"/>
      <c r="BX34" s="401"/>
      <c r="BY34" s="401"/>
      <c r="BZ34" s="401"/>
      <c r="CA34" s="401"/>
      <c r="CB34" s="401"/>
      <c r="CC34" s="404"/>
      <c r="CD34" s="404"/>
    </row>
    <row r="35" spans="1:82">
      <c r="A35" s="1649"/>
      <c r="B35" s="2517">
        <v>5</v>
      </c>
      <c r="C35" s="2518" t="s">
        <v>224</v>
      </c>
      <c r="D35" s="2519">
        <v>149.63999999999999</v>
      </c>
      <c r="E35" s="2518" t="s">
        <v>124</v>
      </c>
      <c r="F35" s="1659" t="s">
        <v>125</v>
      </c>
      <c r="G35" s="1596">
        <f>+'PAYMENT RATIO_RAW'!F$10*'GM Batch2-APA'!$D$35/1000</f>
        <v>157122000</v>
      </c>
      <c r="H35" s="1596">
        <f>+G35*10%</f>
        <v>15712200</v>
      </c>
      <c r="I35" s="1596">
        <f>SUM(G35:H35)</f>
        <v>172834200</v>
      </c>
      <c r="J35" s="1676">
        <f t="shared" si="0"/>
        <v>0</v>
      </c>
      <c r="K35" s="1678">
        <f t="shared" si="2"/>
        <v>0</v>
      </c>
      <c r="L35" s="1678">
        <f>+I35-K35</f>
        <v>172834200</v>
      </c>
      <c r="M35" s="1586"/>
      <c r="N35" s="1586"/>
      <c r="O35" s="1677"/>
      <c r="P35" s="1654">
        <f>+$I35*'PAYMENT RATIO_RAW'!G$10</f>
        <v>0</v>
      </c>
      <c r="Q35" s="1678">
        <v>0</v>
      </c>
      <c r="R35" s="1678">
        <f>+P35-Q35</f>
        <v>0</v>
      </c>
      <c r="S35" s="1679"/>
      <c r="T35" s="1625"/>
      <c r="U35" s="1586"/>
      <c r="V35" s="1677"/>
      <c r="W35" s="1654">
        <f>+$I35*'PAYMENT RATIO_RAW'!N$10</f>
        <v>0</v>
      </c>
      <c r="X35" s="1678"/>
      <c r="Y35" s="1678">
        <f>+W35-X35</f>
        <v>0</v>
      </c>
      <c r="Z35" s="1679"/>
      <c r="AA35" s="1625">
        <v>46042</v>
      </c>
      <c r="AB35" s="1586"/>
      <c r="AC35" s="1677">
        <f>+IFERROR(AD35/$I35,"-")</f>
        <v>0.3</v>
      </c>
      <c r="AD35" s="1654">
        <f>+'PAYMENT RATIO_RAW'!$U$10*I35</f>
        <v>51850260</v>
      </c>
      <c r="AE35" s="1678"/>
      <c r="AF35" s="1678">
        <f>+AD35-AE35</f>
        <v>51850260</v>
      </c>
      <c r="AG35" s="1679"/>
      <c r="AH35" s="1625">
        <v>46081</v>
      </c>
      <c r="AI35" s="1585"/>
      <c r="AJ35" s="1677">
        <f>+IFERROR(AK35/$I35,"-")</f>
        <v>0.4</v>
      </c>
      <c r="AK35" s="1678">
        <f>+'PAYMENT RATIO_RAW'!$AB$10*I35</f>
        <v>69133680</v>
      </c>
      <c r="AL35" s="1678"/>
      <c r="AM35" s="1678">
        <f>+AK35-AL35</f>
        <v>69133680</v>
      </c>
      <c r="AN35" s="1679"/>
      <c r="AO35" s="1625">
        <f>+EDATE(AV35,-1)</f>
        <v>46111</v>
      </c>
      <c r="AP35" s="1586"/>
      <c r="AQ35" s="1677">
        <f>+IFERROR(AR35/$I35,"-")</f>
        <v>0</v>
      </c>
      <c r="AR35" s="1654">
        <f>+$I35*'PAYMENT RATIO_RAW'!AI$10</f>
        <v>0</v>
      </c>
      <c r="AS35" s="1678"/>
      <c r="AT35" s="1678">
        <f>+AR35-AS35</f>
        <v>0</v>
      </c>
      <c r="AU35" s="1679"/>
      <c r="AV35" s="1625">
        <f>+EDATE(BC35,-1)</f>
        <v>46142</v>
      </c>
      <c r="AW35" s="1586"/>
      <c r="AX35" s="1677">
        <f>+IFERROR(AY35/$I35,"-")</f>
        <v>0</v>
      </c>
      <c r="AY35" s="1654">
        <f>+$I35*'PAYMENT RATIO_RAW'!AP$10</f>
        <v>0</v>
      </c>
      <c r="AZ35" s="1678"/>
      <c r="BA35" s="1678">
        <f>+AY35-AZ35</f>
        <v>0</v>
      </c>
      <c r="BB35" s="1679"/>
      <c r="BC35" s="1625">
        <f>+EDATE(BJ35,-1)</f>
        <v>46172</v>
      </c>
      <c r="BD35" s="1586"/>
      <c r="BE35" s="1677">
        <f>+IFERROR(BF35/$I35,"-")</f>
        <v>0</v>
      </c>
      <c r="BF35" s="1654">
        <f>+$I35*'PAYMENT RATIO_RAW'!AW$10</f>
        <v>0</v>
      </c>
      <c r="BG35" s="1678"/>
      <c r="BH35" s="1678">
        <f>+BF35-BG35</f>
        <v>0</v>
      </c>
      <c r="BI35" s="1679"/>
      <c r="BJ35" s="1626">
        <v>46203</v>
      </c>
      <c r="BK35" s="1626"/>
      <c r="BL35" s="1677">
        <f>+IFERROR(BM35/$I35,"-")</f>
        <v>0.3</v>
      </c>
      <c r="BM35" s="1654">
        <f>+$I35*'PAYMENT RATIO_RAW'!BD$10</f>
        <v>51850260</v>
      </c>
      <c r="BN35" s="1678"/>
      <c r="BO35" s="1678">
        <f>+BM35-BN35</f>
        <v>51850260</v>
      </c>
      <c r="BP35" s="1679"/>
      <c r="BQ35" s="1588"/>
      <c r="BR35" s="1587" t="b">
        <f>+P35+W35+AD35+AK35+AR35+AY35+BF35+BM35=I35</f>
        <v>1</v>
      </c>
      <c r="BS35" s="1587" t="b">
        <f>+Q35+X35+AE35+AS35+AZ35+BG35+BN35=K35</f>
        <v>1</v>
      </c>
      <c r="BT35" s="1587"/>
      <c r="BU35" s="401"/>
      <c r="BV35" s="401"/>
      <c r="BW35" s="401"/>
      <c r="BX35" s="401"/>
      <c r="BY35" s="401"/>
      <c r="BZ35" s="401"/>
      <c r="CA35" s="401"/>
      <c r="CB35" s="401"/>
      <c r="CC35" s="404"/>
      <c r="CD35" s="404"/>
    </row>
    <row r="36" spans="1:82" ht="13.5">
      <c r="A36" s="1649"/>
      <c r="B36" s="2517"/>
      <c r="C36" s="2518"/>
      <c r="D36" s="2519"/>
      <c r="E36" s="2518"/>
      <c r="F36" s="1661" t="s">
        <v>126</v>
      </c>
      <c r="G36" s="1597">
        <f>+'PAYMENT RATIO_RAW'!F$11*'GM Batch2-APA'!$D$35/1000</f>
        <v>52373999.999999993</v>
      </c>
      <c r="H36" s="1597"/>
      <c r="I36" s="1597">
        <f>SUM(G36:G36)</f>
        <v>52373999.999999993</v>
      </c>
      <c r="J36" s="1661">
        <f t="shared" si="0"/>
        <v>0.40000000000000008</v>
      </c>
      <c r="K36" s="1654">
        <f t="shared" si="2"/>
        <v>20949600</v>
      </c>
      <c r="L36" s="1654">
        <f t="shared" ref="L36:L39" si="171">+I36-K36</f>
        <v>31424399.999999993</v>
      </c>
      <c r="M36" s="1626">
        <v>45807</v>
      </c>
      <c r="N36" s="1626">
        <v>45807</v>
      </c>
      <c r="O36" s="1660">
        <f t="shared" ref="O36:O38" si="172">+IFERROR(P36/$I36,"-")</f>
        <v>0.40000000000000008</v>
      </c>
      <c r="P36" s="1654">
        <f>+$I36*'PAYMENT RATIO_RAW'!G$11</f>
        <v>20949600</v>
      </c>
      <c r="Q36" s="1654">
        <v>20949600</v>
      </c>
      <c r="R36" s="1654">
        <f t="shared" ref="R36:R39" si="173">+P36-Q36</f>
        <v>0</v>
      </c>
      <c r="S36" s="1662"/>
      <c r="T36" s="1626">
        <v>46022</v>
      </c>
      <c r="U36" s="1626"/>
      <c r="V36" s="1660">
        <f t="shared" ref="V36:V38" si="174">+IFERROR(W36/$I36,"-")</f>
        <v>0.20000000000000004</v>
      </c>
      <c r="W36" s="1654">
        <f>+$I36*'PAYMENT RATIO_RAW'!N$11</f>
        <v>10474800</v>
      </c>
      <c r="X36" s="1654"/>
      <c r="Y36" s="1654">
        <f t="shared" ref="Y36:Y39" si="175">+W36-X36</f>
        <v>10474800</v>
      </c>
      <c r="Z36" s="1686"/>
      <c r="AA36" s="1626">
        <v>46142</v>
      </c>
      <c r="AB36" s="1626"/>
      <c r="AC36" s="1660">
        <f t="shared" ref="AC36:AC38" si="176">+IFERROR(AD36/$I36,"-")</f>
        <v>0.3</v>
      </c>
      <c r="AD36" s="1654">
        <f>+'PAYMENT RATIO_RAW'!$U$11*I36</f>
        <v>15712199.999999996</v>
      </c>
      <c r="AE36" s="1654"/>
      <c r="AF36" s="1654">
        <f t="shared" ref="AF36:AF39" si="177">+AD36-AE36</f>
        <v>15712199.999999996</v>
      </c>
      <c r="AG36" s="1662"/>
      <c r="AH36" s="1626"/>
      <c r="AI36" s="1626"/>
      <c r="AJ36" s="1660">
        <f t="shared" ref="AJ36:AJ38" si="178">+IFERROR(AK36/$I36,"-")</f>
        <v>0</v>
      </c>
      <c r="AK36" s="1654">
        <f>+'PAYMENT RATIO_RAW'!$AB$11*I36</f>
        <v>0</v>
      </c>
      <c r="AL36" s="1654"/>
      <c r="AM36" s="1654">
        <f t="shared" ref="AM36:AM38" si="179">+AK36-AL36</f>
        <v>0</v>
      </c>
      <c r="AN36" s="1662"/>
      <c r="AO36" s="1626"/>
      <c r="AP36" s="1626"/>
      <c r="AQ36" s="1660"/>
      <c r="AR36" s="1654">
        <f>+$I36*'PAYMENT RATIO_RAW'!AI$11</f>
        <v>0</v>
      </c>
      <c r="AS36" s="1654"/>
      <c r="AT36" s="1654">
        <f t="shared" ref="AT36:AT38" si="180">+AR36-AS36</f>
        <v>0</v>
      </c>
      <c r="AU36" s="1662"/>
      <c r="AV36" s="1626"/>
      <c r="AW36" s="1626"/>
      <c r="AX36" s="1660"/>
      <c r="AY36" s="1654">
        <f>+$I36*'PAYMENT RATIO_RAW'!AP$11</f>
        <v>0</v>
      </c>
      <c r="AZ36" s="1654"/>
      <c r="BA36" s="1654">
        <f t="shared" ref="BA36:BA38" si="181">+AY36-AZ36</f>
        <v>0</v>
      </c>
      <c r="BB36" s="1662"/>
      <c r="BC36" s="1626"/>
      <c r="BD36" s="1626"/>
      <c r="BE36" s="1660">
        <f t="shared" ref="BE36:BE39" si="182">+IFERROR(BF36/$I36,"-")</f>
        <v>0</v>
      </c>
      <c r="BF36" s="1654">
        <f>+$I36*'PAYMENT RATIO_RAW'!AW$11</f>
        <v>0</v>
      </c>
      <c r="BG36" s="1654"/>
      <c r="BH36" s="1678">
        <f t="shared" ref="BH36:BH39" si="183">+BF36-BG36</f>
        <v>0</v>
      </c>
      <c r="BI36" s="1662"/>
      <c r="BJ36" s="1626">
        <v>46203</v>
      </c>
      <c r="BK36" s="1626"/>
      <c r="BL36" s="1660">
        <f t="shared" ref="BL36:BL39" si="184">+IFERROR(BM36/$I36,"-")</f>
        <v>0.10000000000000002</v>
      </c>
      <c r="BM36" s="1654">
        <f>+$I36*'PAYMENT RATIO_RAW'!BD$11</f>
        <v>5237400</v>
      </c>
      <c r="BN36" s="1654"/>
      <c r="BO36" s="1654">
        <f t="shared" ref="BO36:BO39" si="185">+BM36-BN36</f>
        <v>5237400</v>
      </c>
      <c r="BP36" s="1662"/>
      <c r="BQ36" s="1588"/>
      <c r="BR36" s="1587" t="b">
        <f t="shared" ref="BR36" si="186">+P36+W36+AD36+AR36+AY36+BF36+BM36=I36</f>
        <v>1</v>
      </c>
      <c r="BS36" s="1587" t="b">
        <f t="shared" ref="BS36:BS39" si="187">+Q36+X36+AE36+AS36+AZ36+BG36+BN36=K36</f>
        <v>1</v>
      </c>
      <c r="BT36" s="1587" t="b">
        <f>+BF36+BF38+AY36+AY38+AR36+AR38+AD36+AD38+W36+W38+P36+P38+BM36+BM38=('PAYMENT RATIO_RAW'!$F$11+'PAYMENT RATIO_RAW'!$F$13)*D35*1.1/1000</f>
        <v>0</v>
      </c>
      <c r="BU36" s="401"/>
      <c r="BV36" s="401"/>
      <c r="BW36" s="401"/>
      <c r="BX36" s="401"/>
      <c r="BY36" s="401"/>
      <c r="BZ36" s="401"/>
      <c r="CA36" s="401"/>
      <c r="CB36" s="401"/>
      <c r="CC36" s="404"/>
      <c r="CD36" s="404"/>
    </row>
    <row r="37" spans="1:82">
      <c r="A37" s="1649"/>
      <c r="B37" s="2517"/>
      <c r="C37" s="2518"/>
      <c r="D37" s="2519"/>
      <c r="E37" s="2518"/>
      <c r="F37" s="1661" t="s">
        <v>127</v>
      </c>
      <c r="G37" s="1597">
        <f>+'PAYMENT RATIO_RAW'!F$12*'GM Batch2-APA'!$D$35/1000</f>
        <v>44891999.999999993</v>
      </c>
      <c r="H37" s="1597"/>
      <c r="I37" s="1597">
        <f>SUM(G37:G37)</f>
        <v>44891999.999999993</v>
      </c>
      <c r="J37" s="1661">
        <f t="shared" si="0"/>
        <v>0.39999999999999997</v>
      </c>
      <c r="K37" s="1654">
        <f t="shared" si="2"/>
        <v>17956799.999999996</v>
      </c>
      <c r="L37" s="1654">
        <f t="shared" si="171"/>
        <v>26935199.999999996</v>
      </c>
      <c r="M37" s="1626">
        <v>45807</v>
      </c>
      <c r="N37" s="1626">
        <v>45807</v>
      </c>
      <c r="O37" s="1660">
        <f t="shared" si="172"/>
        <v>0.39999999999999997</v>
      </c>
      <c r="P37" s="1654">
        <f>+$I37*'PAYMENT RATIO_RAW'!G$12</f>
        <v>17956799.999999996</v>
      </c>
      <c r="Q37" s="1654">
        <v>17956799.999999996</v>
      </c>
      <c r="R37" s="1654">
        <f t="shared" si="173"/>
        <v>0</v>
      </c>
      <c r="S37" s="1662"/>
      <c r="T37" s="1626">
        <v>46022</v>
      </c>
      <c r="U37" s="1626"/>
      <c r="V37" s="1660">
        <f t="shared" si="174"/>
        <v>0.19999999999999998</v>
      </c>
      <c r="W37" s="1654">
        <f>+$I37*'PAYMENT RATIO_RAW'!N$12</f>
        <v>8978399.9999999981</v>
      </c>
      <c r="X37" s="1654"/>
      <c r="Y37" s="1654">
        <f t="shared" si="175"/>
        <v>8978399.9999999981</v>
      </c>
      <c r="Z37" s="1662"/>
      <c r="AA37" s="1626">
        <v>46142</v>
      </c>
      <c r="AB37" s="1626"/>
      <c r="AC37" s="1660">
        <f t="shared" si="176"/>
        <v>0.3</v>
      </c>
      <c r="AD37" s="1654">
        <f>+'PAYMENT RATIO_RAW'!$U$12*I37</f>
        <v>13467599.999999998</v>
      </c>
      <c r="AE37" s="1654"/>
      <c r="AF37" s="1654">
        <f t="shared" si="177"/>
        <v>13467599.999999998</v>
      </c>
      <c r="AG37" s="1662"/>
      <c r="AH37" s="1626"/>
      <c r="AI37" s="1626"/>
      <c r="AJ37" s="1660">
        <f t="shared" si="178"/>
        <v>0</v>
      </c>
      <c r="AK37" s="1654">
        <f>+'PAYMENT RATIO_RAW'!$AB$12*I37</f>
        <v>0</v>
      </c>
      <c r="AL37" s="1654"/>
      <c r="AM37" s="1654">
        <f t="shared" si="179"/>
        <v>0</v>
      </c>
      <c r="AN37" s="1662"/>
      <c r="AO37" s="1626"/>
      <c r="AP37" s="1626"/>
      <c r="AQ37" s="1660"/>
      <c r="AR37" s="1654">
        <f>+$I37*'PAYMENT RATIO_RAW'!AI$12</f>
        <v>0</v>
      </c>
      <c r="AS37" s="1654"/>
      <c r="AT37" s="1654">
        <f t="shared" si="180"/>
        <v>0</v>
      </c>
      <c r="AU37" s="1662"/>
      <c r="AV37" s="1626"/>
      <c r="AW37" s="1626"/>
      <c r="AX37" s="1660"/>
      <c r="AY37" s="1654">
        <f>+$I37*'PAYMENT RATIO_RAW'!AP$12</f>
        <v>0</v>
      </c>
      <c r="AZ37" s="1654"/>
      <c r="BA37" s="1654">
        <f t="shared" si="181"/>
        <v>0</v>
      </c>
      <c r="BB37" s="1662"/>
      <c r="BC37" s="1626"/>
      <c r="BD37" s="1626"/>
      <c r="BE37" s="1660">
        <f t="shared" si="182"/>
        <v>0</v>
      </c>
      <c r="BF37" s="1654">
        <f>+$I37*'PAYMENT RATIO_RAW'!AW$12</f>
        <v>0</v>
      </c>
      <c r="BG37" s="1654"/>
      <c r="BH37" s="1678">
        <f t="shared" si="183"/>
        <v>0</v>
      </c>
      <c r="BI37" s="1662"/>
      <c r="BJ37" s="1626">
        <v>46203</v>
      </c>
      <c r="BK37" s="1626"/>
      <c r="BL37" s="1660">
        <f t="shared" si="184"/>
        <v>9.9999999999999992E-2</v>
      </c>
      <c r="BM37" s="1654">
        <f>+$I37*'PAYMENT RATIO_RAW'!BD$12</f>
        <v>4489199.9999999991</v>
      </c>
      <c r="BN37" s="1654"/>
      <c r="BO37" s="1654">
        <f t="shared" si="185"/>
        <v>4489199.9999999991</v>
      </c>
      <c r="BP37" s="1662"/>
      <c r="BQ37" s="1588"/>
      <c r="BR37" s="1587" t="b">
        <f>+P37+W37+AD37+AR37+AY37+BF37+BM37=I37</f>
        <v>1</v>
      </c>
      <c r="BS37" s="1587" t="b">
        <f t="shared" si="187"/>
        <v>1</v>
      </c>
      <c r="BT37" s="1587"/>
      <c r="BU37" s="401"/>
      <c r="BV37" s="401"/>
      <c r="BW37" s="401"/>
      <c r="BX37" s="401"/>
      <c r="BY37" s="401"/>
      <c r="BZ37" s="401"/>
      <c r="CA37" s="401"/>
      <c r="CB37" s="401"/>
      <c r="CC37" s="404"/>
      <c r="CD37" s="404"/>
    </row>
    <row r="38" spans="1:82">
      <c r="A38" s="1649"/>
      <c r="B38" s="2517"/>
      <c r="C38" s="2518"/>
      <c r="D38" s="2519"/>
      <c r="E38" s="2518"/>
      <c r="F38" s="1661" t="s">
        <v>128</v>
      </c>
      <c r="G38" s="1597">
        <f>+'PAYMENT RATIO_RAW'!F$13*'GM Batch2-APA'!$D$35/1000</f>
        <v>29927999.999999996</v>
      </c>
      <c r="H38" s="1597"/>
      <c r="I38" s="1597">
        <f>SUM(G38:G38)</f>
        <v>29927999.999999996</v>
      </c>
      <c r="J38" s="1661">
        <f t="shared" si="0"/>
        <v>0</v>
      </c>
      <c r="K38" s="1654">
        <f t="shared" si="2"/>
        <v>0</v>
      </c>
      <c r="L38" s="1654">
        <f t="shared" si="171"/>
        <v>29927999.999999996</v>
      </c>
      <c r="M38" s="1626"/>
      <c r="N38" s="1626"/>
      <c r="O38" s="1660">
        <f t="shared" si="172"/>
        <v>0</v>
      </c>
      <c r="P38" s="1654">
        <f>+$I38*'PAYMENT RATIO_RAW'!G$13</f>
        <v>0</v>
      </c>
      <c r="Q38" s="1654"/>
      <c r="R38" s="1654">
        <f t="shared" si="173"/>
        <v>0</v>
      </c>
      <c r="S38" s="2188">
        <f>+Q38/I38</f>
        <v>0</v>
      </c>
      <c r="T38" s="1626">
        <v>46022</v>
      </c>
      <c r="U38" s="1585"/>
      <c r="V38" s="1660">
        <f t="shared" si="174"/>
        <v>0</v>
      </c>
      <c r="W38" s="1654">
        <f>+$I38*'PAYMENT RATIO_RAW'!N$13</f>
        <v>0</v>
      </c>
      <c r="X38" s="1654"/>
      <c r="Y38" s="1654">
        <f t="shared" si="175"/>
        <v>0</v>
      </c>
      <c r="Z38" s="1662"/>
      <c r="AA38" s="1626">
        <v>46142</v>
      </c>
      <c r="AB38" s="1585"/>
      <c r="AC38" s="1660">
        <f t="shared" si="176"/>
        <v>0</v>
      </c>
      <c r="AD38" s="1654">
        <f>+'PAYMENT RATIO_RAW'!$U$13*I38</f>
        <v>0</v>
      </c>
      <c r="AE38" s="1654"/>
      <c r="AF38" s="1654">
        <f t="shared" si="177"/>
        <v>0</v>
      </c>
      <c r="AG38" s="1662"/>
      <c r="AH38" s="1585"/>
      <c r="AI38" s="1585"/>
      <c r="AJ38" s="1660">
        <f t="shared" si="178"/>
        <v>0</v>
      </c>
      <c r="AK38" s="1654">
        <f>+'PAYMENT RATIO_RAW'!$AB$13*I38</f>
        <v>0</v>
      </c>
      <c r="AL38" s="1654"/>
      <c r="AM38" s="1654">
        <f t="shared" si="179"/>
        <v>0</v>
      </c>
      <c r="AN38" s="1662"/>
      <c r="AO38" s="1626"/>
      <c r="AP38" s="1585"/>
      <c r="AQ38" s="1660"/>
      <c r="AR38" s="1654">
        <f>+$I38*'PAYMENT RATIO_RAW'!AI$13</f>
        <v>0</v>
      </c>
      <c r="AS38" s="1654"/>
      <c r="AT38" s="1654">
        <f t="shared" si="180"/>
        <v>0</v>
      </c>
      <c r="AU38" s="1662"/>
      <c r="AV38" s="1626"/>
      <c r="AW38" s="1585"/>
      <c r="AX38" s="1660"/>
      <c r="AY38" s="1654">
        <f>+$I38*'PAYMENT RATIO_RAW'!AP$13</f>
        <v>0</v>
      </c>
      <c r="AZ38" s="1654"/>
      <c r="BA38" s="1654">
        <f t="shared" si="181"/>
        <v>0</v>
      </c>
      <c r="BB38" s="1662"/>
      <c r="BC38" s="1626"/>
      <c r="BD38" s="1585"/>
      <c r="BE38" s="1660">
        <f t="shared" si="182"/>
        <v>0</v>
      </c>
      <c r="BF38" s="1654">
        <f>+$I38*'PAYMENT RATIO_RAW'!AW$13</f>
        <v>0</v>
      </c>
      <c r="BG38" s="1654"/>
      <c r="BH38" s="1678">
        <f t="shared" si="183"/>
        <v>0</v>
      </c>
      <c r="BI38" s="1662"/>
      <c r="BJ38" s="1626">
        <v>46203</v>
      </c>
      <c r="BK38" s="1626"/>
      <c r="BL38" s="1660">
        <f t="shared" si="184"/>
        <v>1</v>
      </c>
      <c r="BM38" s="1654">
        <f>+$I38*'PAYMENT RATIO_RAW'!BD$13</f>
        <v>29927999.999999996</v>
      </c>
      <c r="BN38" s="1654"/>
      <c r="BO38" s="1654">
        <f t="shared" si="185"/>
        <v>29927999.999999996</v>
      </c>
      <c r="BP38" s="1662"/>
      <c r="BQ38" s="1588"/>
      <c r="BR38" s="1587" t="b">
        <f t="shared" ref="BR38:BR39" si="188">+P38+W38+AD38+AR38+AY38+BF38+BM38=I38</f>
        <v>1</v>
      </c>
      <c r="BS38" s="1587" t="b">
        <f t="shared" si="187"/>
        <v>1</v>
      </c>
      <c r="BT38" s="1587"/>
      <c r="BU38" s="401"/>
      <c r="BV38" s="401"/>
      <c r="BW38" s="401"/>
      <c r="BX38" s="401"/>
      <c r="BY38" s="401"/>
      <c r="BZ38" s="401"/>
      <c r="CA38" s="401"/>
      <c r="CB38" s="401"/>
      <c r="CC38" s="404"/>
      <c r="CD38" s="404"/>
    </row>
    <row r="39" spans="1:82">
      <c r="A39" s="1649"/>
      <c r="B39" s="2517"/>
      <c r="C39" s="2518"/>
      <c r="D39" s="2519"/>
      <c r="E39" s="2518"/>
      <c r="F39" s="1627" t="s">
        <v>129</v>
      </c>
      <c r="G39" s="1680">
        <f>+'PAYMENT RATIO_RAW'!F$14*'GM Batch2-APA'!$D$35/1000</f>
        <v>0</v>
      </c>
      <c r="H39" s="1680"/>
      <c r="I39" s="1598">
        <f>SUM(G39:G39)</f>
        <v>0</v>
      </c>
      <c r="J39" s="1627" t="str">
        <f t="shared" si="0"/>
        <v>-</v>
      </c>
      <c r="K39" s="1655">
        <f t="shared" si="2"/>
        <v>0</v>
      </c>
      <c r="L39" s="1655">
        <f t="shared" si="171"/>
        <v>0</v>
      </c>
      <c r="M39" s="1630"/>
      <c r="N39" s="1630"/>
      <c r="O39" s="1682"/>
      <c r="P39" s="1683">
        <f>+$I39*'PAYMENT RATIO_RAW'!G$14</f>
        <v>0</v>
      </c>
      <c r="Q39" s="1683">
        <v>0</v>
      </c>
      <c r="R39" s="1683">
        <f t="shared" si="173"/>
        <v>0</v>
      </c>
      <c r="S39" s="1630"/>
      <c r="T39" s="1629"/>
      <c r="U39" s="1630"/>
      <c r="V39" s="1682"/>
      <c r="W39" s="1683">
        <f>+$I39*'PAYMENT RATIO_RAW'!N$14</f>
        <v>0</v>
      </c>
      <c r="X39" s="1683"/>
      <c r="Y39" s="1683">
        <f t="shared" si="175"/>
        <v>0</v>
      </c>
      <c r="Z39" s="1630"/>
      <c r="AA39" s="1629"/>
      <c r="AB39" s="1630"/>
      <c r="AC39" s="1682"/>
      <c r="AD39" s="1683">
        <f>+'PAYMENT RATIO_RAW'!$U$14*I39</f>
        <v>0</v>
      </c>
      <c r="AE39" s="1683"/>
      <c r="AF39" s="1683">
        <f t="shared" si="177"/>
        <v>0</v>
      </c>
      <c r="AG39" s="1630"/>
      <c r="AH39" s="1629"/>
      <c r="AI39" s="1630"/>
      <c r="AJ39" s="1682"/>
      <c r="AK39" s="1683">
        <f>+'PAYMENT RATIO_RAW'!$AB$14*I39</f>
        <v>0</v>
      </c>
      <c r="AL39" s="1683"/>
      <c r="AM39" s="1683"/>
      <c r="AN39" s="1630"/>
      <c r="AO39" s="1629"/>
      <c r="AP39" s="1630"/>
      <c r="AQ39" s="1682"/>
      <c r="AR39" s="1683">
        <f>+$I39*'PAYMENT RATIO_RAW'!AI$14</f>
        <v>0</v>
      </c>
      <c r="AS39" s="1683"/>
      <c r="AT39" s="1683"/>
      <c r="AU39" s="1630"/>
      <c r="AV39" s="1629"/>
      <c r="AW39" s="1630"/>
      <c r="AX39" s="1682"/>
      <c r="AY39" s="1683">
        <f>+$I39*'PAYMENT RATIO_RAW'!AP$14</f>
        <v>0</v>
      </c>
      <c r="AZ39" s="1683"/>
      <c r="BA39" s="1683"/>
      <c r="BB39" s="1630"/>
      <c r="BC39" s="1629"/>
      <c r="BD39" s="1630"/>
      <c r="BE39" s="1682" t="str">
        <f t="shared" si="182"/>
        <v>-</v>
      </c>
      <c r="BF39" s="1683">
        <f>+$I39*'PAYMENT RATIO_RAW'!AW$14</f>
        <v>0</v>
      </c>
      <c r="BG39" s="1683"/>
      <c r="BH39" s="1678">
        <f t="shared" si="183"/>
        <v>0</v>
      </c>
      <c r="BI39" s="1630"/>
      <c r="BJ39" s="1630"/>
      <c r="BK39" s="1630"/>
      <c r="BL39" s="1682" t="str">
        <f t="shared" si="184"/>
        <v>-</v>
      </c>
      <c r="BM39" s="1683">
        <f>+$I39*'PAYMENT RATIO_RAW'!BD$14</f>
        <v>0</v>
      </c>
      <c r="BN39" s="1683"/>
      <c r="BO39" s="1683">
        <f t="shared" si="185"/>
        <v>0</v>
      </c>
      <c r="BP39" s="1630"/>
      <c r="BQ39" s="1589"/>
      <c r="BR39" s="1591" t="b">
        <f t="shared" si="188"/>
        <v>1</v>
      </c>
      <c r="BS39" s="1592" t="b">
        <f t="shared" si="187"/>
        <v>1</v>
      </c>
      <c r="BT39" s="1592"/>
      <c r="BU39" s="401"/>
      <c r="BV39" s="401"/>
      <c r="BW39" s="401"/>
      <c r="BX39" s="401"/>
      <c r="BY39" s="401"/>
      <c r="BZ39" s="401"/>
      <c r="CA39" s="401"/>
      <c r="CB39" s="401"/>
      <c r="CC39" s="404"/>
      <c r="CD39" s="404"/>
    </row>
    <row r="40" spans="1:82">
      <c r="A40" s="1649"/>
      <c r="B40" s="2517"/>
      <c r="C40" s="2518"/>
      <c r="D40" s="2519"/>
      <c r="E40" s="2518"/>
      <c r="F40" s="419" t="s">
        <v>130</v>
      </c>
      <c r="G40" s="1628">
        <f>SUM(G35:G39)</f>
        <v>284316000</v>
      </c>
      <c r="H40" s="1628">
        <f>SUM(H35:H39)</f>
        <v>15712200</v>
      </c>
      <c r="I40" s="1628">
        <f t="shared" ref="I40" si="189">SUM(I35:I39)</f>
        <v>300028200</v>
      </c>
      <c r="J40" s="419">
        <f t="shared" si="0"/>
        <v>0.12967581047381546</v>
      </c>
      <c r="K40" s="1628">
        <f t="shared" ref="K40:L40" si="190">SUM(K35:K39)</f>
        <v>38906400</v>
      </c>
      <c r="L40" s="1628">
        <f t="shared" si="190"/>
        <v>261121800</v>
      </c>
      <c r="M40" s="419"/>
      <c r="N40" s="419"/>
      <c r="O40" s="1634">
        <f t="shared" ref="O40" si="191">+IFERROR(P40/$I40,"-")</f>
        <v>0.12967581047381546</v>
      </c>
      <c r="P40" s="1628">
        <f t="shared" ref="P40:Q40" si="192">SUM(P35:P39)</f>
        <v>38906400</v>
      </c>
      <c r="Q40" s="1628">
        <f t="shared" si="192"/>
        <v>38906400</v>
      </c>
      <c r="R40" s="1684">
        <f t="shared" ref="R40" si="193">+P40-Q40</f>
        <v>0</v>
      </c>
      <c r="S40" s="419"/>
      <c r="T40" s="1631"/>
      <c r="U40" s="419"/>
      <c r="V40" s="1634">
        <f t="shared" ref="V40" si="194">+IFERROR(W40/$I40,"-")</f>
        <v>6.4837905236907731E-2</v>
      </c>
      <c r="W40" s="1628">
        <f t="shared" ref="W40" si="195">SUM(W35:W39)</f>
        <v>19453200</v>
      </c>
      <c r="X40" s="1628">
        <f t="shared" ref="X40" si="196">SUM(X35:X39)</f>
        <v>0</v>
      </c>
      <c r="Y40" s="1684">
        <f t="shared" ref="Y40" si="197">+W40-X40</f>
        <v>19453200</v>
      </c>
      <c r="Z40" s="419"/>
      <c r="AA40" s="1631"/>
      <c r="AB40" s="419"/>
      <c r="AC40" s="1634">
        <f t="shared" ref="AC40" si="198">+IFERROR(AD40/$I40,"-")</f>
        <v>0.27007481296758107</v>
      </c>
      <c r="AD40" s="1628">
        <f t="shared" ref="AD40:AE40" si="199">SUM(AD35:AD39)</f>
        <v>81030060</v>
      </c>
      <c r="AE40" s="1628">
        <f t="shared" si="199"/>
        <v>0</v>
      </c>
      <c r="AF40" s="1684">
        <f t="shared" ref="AF40" si="200">+AD40-AE40</f>
        <v>81030060</v>
      </c>
      <c r="AG40" s="419"/>
      <c r="AH40" s="1631"/>
      <c r="AI40" s="419"/>
      <c r="AJ40" s="1634">
        <f t="shared" ref="AJ40" si="201">+IFERROR(AK40/$I40,"-")</f>
        <v>0.23042394014962594</v>
      </c>
      <c r="AK40" s="1628">
        <f t="shared" ref="AK40:AL40" si="202">SUM(AK35:AK39)</f>
        <v>69133680</v>
      </c>
      <c r="AL40" s="1628">
        <f t="shared" si="202"/>
        <v>0</v>
      </c>
      <c r="AM40" s="1684">
        <f t="shared" ref="AM40" si="203">+AK40-AL40</f>
        <v>69133680</v>
      </c>
      <c r="AN40" s="419"/>
      <c r="AO40" s="1631"/>
      <c r="AP40" s="419"/>
      <c r="AQ40" s="1634">
        <f t="shared" ref="AQ40" si="204">+IFERROR(AR40/$I40,"-")</f>
        <v>0</v>
      </c>
      <c r="AR40" s="1628">
        <f t="shared" ref="AR40" si="205">SUM(AR35:AR39)</f>
        <v>0</v>
      </c>
      <c r="AS40" s="1628">
        <f t="shared" ref="AS40" si="206">SUM(AS35:AS39)</f>
        <v>0</v>
      </c>
      <c r="AT40" s="1684">
        <f t="shared" ref="AT40" si="207">+AR40-AS40</f>
        <v>0</v>
      </c>
      <c r="AU40" s="419"/>
      <c r="AV40" s="1631"/>
      <c r="AW40" s="419"/>
      <c r="AX40" s="1634">
        <f t="shared" ref="AX40" si="208">+IFERROR(AY40/$I40,"-")</f>
        <v>0</v>
      </c>
      <c r="AY40" s="1628">
        <f t="shared" ref="AY40" si="209">SUM(AY35:AY39)</f>
        <v>0</v>
      </c>
      <c r="AZ40" s="1628">
        <f t="shared" ref="AZ40" si="210">SUM(AZ35:AZ39)</f>
        <v>0</v>
      </c>
      <c r="BA40" s="1684">
        <f t="shared" ref="BA40" si="211">+AY40-AZ40</f>
        <v>0</v>
      </c>
      <c r="BB40" s="419"/>
      <c r="BC40" s="1631"/>
      <c r="BD40" s="419"/>
      <c r="BE40" s="1634">
        <f t="shared" ref="BE40" si="212">+IFERROR(BF40/$I40,"-")</f>
        <v>0</v>
      </c>
      <c r="BF40" s="1628">
        <f t="shared" ref="BF40" si="213">SUM(BF35:BF39)</f>
        <v>0</v>
      </c>
      <c r="BG40" s="1628">
        <f t="shared" ref="BG40" si="214">SUM(BG35:BG39)</f>
        <v>0</v>
      </c>
      <c r="BH40" s="1684">
        <f t="shared" ref="BH40" si="215">+BF40-BG40</f>
        <v>0</v>
      </c>
      <c r="BI40" s="419"/>
      <c r="BJ40" s="419"/>
      <c r="BK40" s="419"/>
      <c r="BL40" s="1634">
        <f t="shared" si="16"/>
        <v>0.30498753117206984</v>
      </c>
      <c r="BM40" s="1628">
        <f t="shared" ref="BM40:BN40" si="216">SUM(BM35:BM39)</f>
        <v>91504860</v>
      </c>
      <c r="BN40" s="1628">
        <f t="shared" si="216"/>
        <v>0</v>
      </c>
      <c r="BO40" s="1684">
        <f t="shared" ref="BO40" si="217">+BM40-BN40</f>
        <v>91504860</v>
      </c>
      <c r="BP40" s="419"/>
      <c r="BQ40" s="1589"/>
      <c r="BR40" s="1632"/>
      <c r="BS40" s="1633"/>
      <c r="BT40" s="1633"/>
      <c r="BU40" s="401"/>
      <c r="BV40" s="401"/>
      <c r="BW40" s="401"/>
      <c r="BX40" s="401"/>
      <c r="BY40" s="401"/>
      <c r="BZ40" s="401"/>
      <c r="CA40" s="401"/>
      <c r="CB40" s="401"/>
      <c r="CC40" s="404"/>
      <c r="CD40" s="404"/>
    </row>
    <row r="41" spans="1:82" ht="13.9" customHeight="1">
      <c r="A41" s="1649"/>
      <c r="B41" s="2526">
        <v>6</v>
      </c>
      <c r="C41" s="2529" t="s">
        <v>225</v>
      </c>
      <c r="D41" s="2532">
        <v>299.27999999999997</v>
      </c>
      <c r="E41" s="2529" t="s">
        <v>124</v>
      </c>
      <c r="F41" s="1659" t="s">
        <v>125</v>
      </c>
      <c r="G41" s="1596">
        <f>+'PAYMENT RATIO_RAW'!F$10*'GM Batch2-APA'!$D$41/1000</f>
        <v>314244000</v>
      </c>
      <c r="H41" s="1596">
        <f>+G41*10%</f>
        <v>31424400</v>
      </c>
      <c r="I41" s="1596">
        <f>SUM(G41:H41)</f>
        <v>345668400</v>
      </c>
      <c r="J41" s="1676">
        <f t="shared" si="0"/>
        <v>0</v>
      </c>
      <c r="K41" s="1678">
        <f t="shared" si="2"/>
        <v>0</v>
      </c>
      <c r="L41" s="1678">
        <f>+I41-K41</f>
        <v>345668400</v>
      </c>
      <c r="M41" s="1586"/>
      <c r="N41" s="1586"/>
      <c r="O41" s="1677"/>
      <c r="P41" s="1654">
        <f>+$I41*'PAYMENT RATIO_RAW'!G$10</f>
        <v>0</v>
      </c>
      <c r="Q41" s="1678">
        <v>0</v>
      </c>
      <c r="R41" s="1678">
        <f>+P41-Q41</f>
        <v>0</v>
      </c>
      <c r="S41" s="1679"/>
      <c r="T41" s="1625"/>
      <c r="U41" s="1586"/>
      <c r="V41" s="1677"/>
      <c r="W41" s="1654">
        <f>+$I41*'PAYMENT RATIO_RAW'!N$10</f>
        <v>0</v>
      </c>
      <c r="X41" s="1678"/>
      <c r="Y41" s="1678">
        <f>+W41-X41</f>
        <v>0</v>
      </c>
      <c r="Z41" s="1679"/>
      <c r="AA41" s="1625">
        <v>46042</v>
      </c>
      <c r="AB41" s="1586"/>
      <c r="AC41" s="1677">
        <f>+IFERROR(AD41/$I41,"-")</f>
        <v>0.3</v>
      </c>
      <c r="AD41" s="1654">
        <f>+'PAYMENT RATIO_RAW'!$U$10*I41</f>
        <v>103700520</v>
      </c>
      <c r="AE41" s="1678"/>
      <c r="AF41" s="1678">
        <f>+AD41-AE41</f>
        <v>103700520</v>
      </c>
      <c r="AG41" s="1679"/>
      <c r="AH41" s="1625">
        <v>46081</v>
      </c>
      <c r="AI41" s="1585"/>
      <c r="AJ41" s="1677">
        <f>+IFERROR(AK41/$I41,"-")</f>
        <v>0.4</v>
      </c>
      <c r="AK41" s="1678">
        <f>+'PAYMENT RATIO_RAW'!$AB$10*I41</f>
        <v>138267360</v>
      </c>
      <c r="AL41" s="1678"/>
      <c r="AM41" s="1678">
        <f>+AK41-AL41</f>
        <v>138267360</v>
      </c>
      <c r="AN41" s="1679"/>
      <c r="AO41" s="1625">
        <f>+EDATE(AV41,-1)</f>
        <v>46111</v>
      </c>
      <c r="AP41" s="1586"/>
      <c r="AQ41" s="1677">
        <f>+IFERROR(AR41/$I41,"-")</f>
        <v>0</v>
      </c>
      <c r="AR41" s="1654">
        <f>+$I41*'PAYMENT RATIO_RAW'!AI$10</f>
        <v>0</v>
      </c>
      <c r="AS41" s="1678"/>
      <c r="AT41" s="1678">
        <f>+AR41-AS41</f>
        <v>0</v>
      </c>
      <c r="AU41" s="1679"/>
      <c r="AV41" s="1625">
        <f>+EDATE(BC41,-1)</f>
        <v>46142</v>
      </c>
      <c r="AW41" s="1586"/>
      <c r="AX41" s="1677">
        <f>+IFERROR(AY41/$I41,"-")</f>
        <v>0</v>
      </c>
      <c r="AY41" s="1654">
        <f>+$I41*'PAYMENT RATIO_RAW'!AP$10</f>
        <v>0</v>
      </c>
      <c r="AZ41" s="1678"/>
      <c r="BA41" s="1678">
        <f>+AY41-AZ41</f>
        <v>0</v>
      </c>
      <c r="BB41" s="1679"/>
      <c r="BC41" s="1625">
        <f>+EDATE(BJ41,-1)</f>
        <v>46172</v>
      </c>
      <c r="BD41" s="1586"/>
      <c r="BE41" s="1677">
        <f>+IFERROR(BF41/$I41,"-")</f>
        <v>0</v>
      </c>
      <c r="BF41" s="1654">
        <f>+$I41*'PAYMENT RATIO_RAW'!AW$10</f>
        <v>0</v>
      </c>
      <c r="BG41" s="1678"/>
      <c r="BH41" s="1678">
        <f>+BF41-BG41</f>
        <v>0</v>
      </c>
      <c r="BI41" s="1679"/>
      <c r="BJ41" s="1626">
        <v>46203</v>
      </c>
      <c r="BK41" s="1626"/>
      <c r="BL41" s="1677">
        <f>+IFERROR(BM41/$I41,"-")</f>
        <v>0.3</v>
      </c>
      <c r="BM41" s="1654">
        <f>+$I41*'PAYMENT RATIO_RAW'!BD$10</f>
        <v>103700520</v>
      </c>
      <c r="BN41" s="1678"/>
      <c r="BO41" s="1678">
        <f>+BM41-BN41</f>
        <v>103700520</v>
      </c>
      <c r="BP41" s="1679"/>
      <c r="BQ41" s="1588"/>
      <c r="BR41" s="1587" t="b">
        <f>+P41+W41+AD41+AK41+AR41+AY41+BF41+BM41=I41</f>
        <v>1</v>
      </c>
      <c r="BS41" s="1587" t="b">
        <f>+Q41+X41+AE41+AS41+AZ41+BG41+BN41=K41</f>
        <v>1</v>
      </c>
      <c r="BT41" s="1587"/>
      <c r="BU41" s="401"/>
      <c r="BV41" s="401"/>
      <c r="BW41" s="401"/>
      <c r="BX41" s="401"/>
      <c r="BY41" s="401"/>
      <c r="BZ41" s="401"/>
      <c r="CA41" s="401"/>
      <c r="CB41" s="401"/>
      <c r="CC41" s="404"/>
      <c r="CD41" s="404"/>
    </row>
    <row r="42" spans="1:82" ht="15.6" customHeight="1">
      <c r="A42" s="1649"/>
      <c r="B42" s="2527"/>
      <c r="C42" s="2530"/>
      <c r="D42" s="2533"/>
      <c r="E42" s="2530"/>
      <c r="F42" s="1661" t="s">
        <v>126</v>
      </c>
      <c r="G42" s="1597">
        <f>+'PAYMENT RATIO_RAW'!F$11*'GM Batch2-APA'!$D$41/1000</f>
        <v>104747999.99999999</v>
      </c>
      <c r="H42" s="1597"/>
      <c r="I42" s="1597">
        <f>SUM(G42:G42)</f>
        <v>104747999.99999999</v>
      </c>
      <c r="J42" s="1661">
        <f t="shared" si="0"/>
        <v>0.40000000000000008</v>
      </c>
      <c r="K42" s="1654">
        <f t="shared" si="2"/>
        <v>41899200</v>
      </c>
      <c r="L42" s="1654">
        <f>+I42-K42</f>
        <v>62848799.999999985</v>
      </c>
      <c r="M42" s="1626">
        <v>45807</v>
      </c>
      <c r="N42" s="1626">
        <v>45807</v>
      </c>
      <c r="O42" s="1660">
        <f t="shared" ref="O42:O44" si="218">+IFERROR(P42/$I42,"-")</f>
        <v>0.40000000000000008</v>
      </c>
      <c r="P42" s="1654">
        <f>+$I42*'PAYMENT RATIO_RAW'!G$11</f>
        <v>41899200</v>
      </c>
      <c r="Q42" s="1654">
        <v>41899200</v>
      </c>
      <c r="R42" s="1654">
        <f t="shared" ref="R42:R45" si="219">+P42-Q42</f>
        <v>0</v>
      </c>
      <c r="S42" s="1662"/>
      <c r="T42" s="1626">
        <v>46022</v>
      </c>
      <c r="U42" s="1626"/>
      <c r="V42" s="1660">
        <f t="shared" ref="V42:V44" si="220">+IFERROR(W42/$I42,"-")</f>
        <v>0.20000000000000004</v>
      </c>
      <c r="W42" s="1654">
        <f>+$I42*'PAYMENT RATIO_RAW'!N$11</f>
        <v>20949600</v>
      </c>
      <c r="X42" s="1654"/>
      <c r="Y42" s="1654">
        <f t="shared" ref="Y42:Y45" si="221">+W42-X42</f>
        <v>20949600</v>
      </c>
      <c r="Z42" s="1686"/>
      <c r="AA42" s="1626">
        <v>46142</v>
      </c>
      <c r="AB42" s="1626"/>
      <c r="AC42" s="1660">
        <f t="shared" ref="AC42:AC44" si="222">+IFERROR(AD42/$I42,"-")</f>
        <v>0.3</v>
      </c>
      <c r="AD42" s="1654">
        <f>+'PAYMENT RATIO_RAW'!$U$11*I42</f>
        <v>31424399.999999993</v>
      </c>
      <c r="AE42" s="1654"/>
      <c r="AF42" s="1654">
        <f t="shared" ref="AF42:AF45" si="223">+AD42-AE42</f>
        <v>31424399.999999993</v>
      </c>
      <c r="AG42" s="1662"/>
      <c r="AH42" s="1626"/>
      <c r="AI42" s="1626"/>
      <c r="AJ42" s="1660">
        <f t="shared" ref="AJ42:AJ44" si="224">+IFERROR(AK42/$I42,"-")</f>
        <v>0</v>
      </c>
      <c r="AK42" s="1654">
        <f>+'PAYMENT RATIO_RAW'!$AB$11*I42</f>
        <v>0</v>
      </c>
      <c r="AL42" s="1654"/>
      <c r="AM42" s="1654">
        <f t="shared" ref="AM42:AM44" si="225">+AK42-AL42</f>
        <v>0</v>
      </c>
      <c r="AN42" s="1662"/>
      <c r="AO42" s="1626"/>
      <c r="AP42" s="1626"/>
      <c r="AQ42" s="1660"/>
      <c r="AR42" s="1654">
        <f>+$I42*'PAYMENT RATIO_RAW'!AI$11</f>
        <v>0</v>
      </c>
      <c r="AS42" s="1654"/>
      <c r="AT42" s="1654">
        <f t="shared" ref="AT42:AT44" si="226">+AR42-AS42</f>
        <v>0</v>
      </c>
      <c r="AU42" s="1662"/>
      <c r="AV42" s="1626"/>
      <c r="AW42" s="1626"/>
      <c r="AX42" s="1660"/>
      <c r="AY42" s="1654">
        <f>+$I42*'PAYMENT RATIO_RAW'!AP$11</f>
        <v>0</v>
      </c>
      <c r="AZ42" s="1654"/>
      <c r="BA42" s="1654">
        <f t="shared" ref="BA42:BA44" si="227">+AY42-AZ42</f>
        <v>0</v>
      </c>
      <c r="BB42" s="1662"/>
      <c r="BC42" s="1626"/>
      <c r="BD42" s="1626"/>
      <c r="BE42" s="1660">
        <f t="shared" ref="BE42:BE45" si="228">+IFERROR(BF42/$I42,"-")</f>
        <v>0</v>
      </c>
      <c r="BF42" s="1654">
        <f>+$I42*'PAYMENT RATIO_RAW'!AW$11</f>
        <v>0</v>
      </c>
      <c r="BG42" s="1654"/>
      <c r="BH42" s="1678">
        <f t="shared" ref="BH42:BH45" si="229">+BF42-BG42</f>
        <v>0</v>
      </c>
      <c r="BI42" s="1662"/>
      <c r="BJ42" s="1626">
        <v>46203</v>
      </c>
      <c r="BK42" s="1626"/>
      <c r="BL42" s="1660">
        <f t="shared" ref="BL42:BL45" si="230">+IFERROR(BM42/$I42,"-")</f>
        <v>0.10000000000000002</v>
      </c>
      <c r="BM42" s="1654">
        <f>+$I42*'PAYMENT RATIO_RAW'!BD$11</f>
        <v>10474800</v>
      </c>
      <c r="BN42" s="1654"/>
      <c r="BO42" s="1654">
        <f t="shared" ref="BO42:BO45" si="231">+BM42-BN42</f>
        <v>10474800</v>
      </c>
      <c r="BP42" s="1662"/>
      <c r="BQ42" s="1588"/>
      <c r="BR42" s="1587" t="b">
        <f t="shared" ref="BR42" si="232">+P42+W42+AD42+AR42+AY42+BF42+BM42=I42</f>
        <v>1</v>
      </c>
      <c r="BS42" s="1587" t="b">
        <f t="shared" ref="BS42:BS45" si="233">+Q42+X42+AE42+AS42+AZ42+BG42+BN42=K42</f>
        <v>1</v>
      </c>
      <c r="BT42" s="1587" t="b">
        <f>+BF42+BF44+AY42+AY44+AR42+AR44+AD42+AD44+W42+W44+P42+P44+BM42+BM44=('PAYMENT RATIO_RAW'!$F$11+'PAYMENT RATIO_RAW'!$F$13)*D41*1.1/1000</f>
        <v>0</v>
      </c>
      <c r="BU42" s="401"/>
      <c r="BV42" s="401"/>
      <c r="BW42" s="401"/>
      <c r="BX42" s="401"/>
      <c r="BY42" s="401"/>
      <c r="BZ42" s="401"/>
      <c r="CA42" s="401"/>
      <c r="CB42" s="401"/>
      <c r="CC42" s="404"/>
      <c r="CD42" s="404"/>
    </row>
    <row r="43" spans="1:82" ht="13.9" customHeight="1">
      <c r="A43" s="1649"/>
      <c r="B43" s="2527"/>
      <c r="C43" s="2530"/>
      <c r="D43" s="2533"/>
      <c r="E43" s="2530"/>
      <c r="F43" s="1661" t="s">
        <v>127</v>
      </c>
      <c r="G43" s="1597">
        <f>+'PAYMENT RATIO_RAW'!F$12*'GM Batch2-APA'!$D$41/1000</f>
        <v>89783999.999999985</v>
      </c>
      <c r="H43" s="1597"/>
      <c r="I43" s="1597">
        <f>SUM(G43:G43)</f>
        <v>89783999.999999985</v>
      </c>
      <c r="J43" s="1661">
        <f t="shared" si="0"/>
        <v>0.39999999999999997</v>
      </c>
      <c r="K43" s="1654">
        <f t="shared" si="2"/>
        <v>35913599.999999993</v>
      </c>
      <c r="L43" s="1654">
        <f t="shared" ref="L43:L45" si="234">+I43-K43</f>
        <v>53870399.999999993</v>
      </c>
      <c r="M43" s="1626">
        <v>45807</v>
      </c>
      <c r="N43" s="1626">
        <v>45807</v>
      </c>
      <c r="O43" s="1660">
        <f t="shared" si="218"/>
        <v>0.39999999999999997</v>
      </c>
      <c r="P43" s="1654">
        <f>+$I43*'PAYMENT RATIO_RAW'!G$12</f>
        <v>35913599.999999993</v>
      </c>
      <c r="Q43" s="1654">
        <v>35913599.999999993</v>
      </c>
      <c r="R43" s="1654">
        <f t="shared" si="219"/>
        <v>0</v>
      </c>
      <c r="S43" s="1662"/>
      <c r="T43" s="1626">
        <v>46022</v>
      </c>
      <c r="U43" s="1626"/>
      <c r="V43" s="1660">
        <f t="shared" si="220"/>
        <v>0.19999999999999998</v>
      </c>
      <c r="W43" s="1654">
        <f>+$I43*'PAYMENT RATIO_RAW'!N$12</f>
        <v>17956799.999999996</v>
      </c>
      <c r="X43" s="1654"/>
      <c r="Y43" s="1654">
        <f t="shared" si="221"/>
        <v>17956799.999999996</v>
      </c>
      <c r="Z43" s="1662"/>
      <c r="AA43" s="1626">
        <v>46142</v>
      </c>
      <c r="AB43" s="1626"/>
      <c r="AC43" s="1660">
        <f t="shared" si="222"/>
        <v>0.3</v>
      </c>
      <c r="AD43" s="1654">
        <f>+'PAYMENT RATIO_RAW'!$U$12*I43</f>
        <v>26935199.999999996</v>
      </c>
      <c r="AE43" s="1654"/>
      <c r="AF43" s="1654">
        <f t="shared" si="223"/>
        <v>26935199.999999996</v>
      </c>
      <c r="AG43" s="1662"/>
      <c r="AH43" s="1626"/>
      <c r="AI43" s="1626"/>
      <c r="AJ43" s="1660">
        <f t="shared" si="224"/>
        <v>0</v>
      </c>
      <c r="AK43" s="1654">
        <f>+'PAYMENT RATIO_RAW'!$AB$12*I43</f>
        <v>0</v>
      </c>
      <c r="AL43" s="1654"/>
      <c r="AM43" s="1654">
        <f t="shared" si="225"/>
        <v>0</v>
      </c>
      <c r="AN43" s="1662"/>
      <c r="AO43" s="1626"/>
      <c r="AP43" s="1626"/>
      <c r="AQ43" s="1660"/>
      <c r="AR43" s="1654">
        <f>+$I43*'PAYMENT RATIO_RAW'!AI$12</f>
        <v>0</v>
      </c>
      <c r="AS43" s="1654"/>
      <c r="AT43" s="1654">
        <f t="shared" si="226"/>
        <v>0</v>
      </c>
      <c r="AU43" s="1662"/>
      <c r="AV43" s="1626"/>
      <c r="AW43" s="1626"/>
      <c r="AX43" s="1660"/>
      <c r="AY43" s="1654">
        <f>+$I43*'PAYMENT RATIO_RAW'!AP$12</f>
        <v>0</v>
      </c>
      <c r="AZ43" s="1654"/>
      <c r="BA43" s="1654">
        <f t="shared" si="227"/>
        <v>0</v>
      </c>
      <c r="BB43" s="1662"/>
      <c r="BC43" s="1626"/>
      <c r="BD43" s="1626"/>
      <c r="BE43" s="1660">
        <f t="shared" si="228"/>
        <v>0</v>
      </c>
      <c r="BF43" s="1654">
        <f>+$I43*'PAYMENT RATIO_RAW'!AW$12</f>
        <v>0</v>
      </c>
      <c r="BG43" s="1654"/>
      <c r="BH43" s="1678">
        <f t="shared" si="229"/>
        <v>0</v>
      </c>
      <c r="BI43" s="1662"/>
      <c r="BJ43" s="1626">
        <v>46203</v>
      </c>
      <c r="BK43" s="1626"/>
      <c r="BL43" s="1660">
        <f t="shared" si="230"/>
        <v>9.9999999999999992E-2</v>
      </c>
      <c r="BM43" s="1654">
        <f>+$I43*'PAYMENT RATIO_RAW'!BD$12</f>
        <v>8978399.9999999981</v>
      </c>
      <c r="BN43" s="1654"/>
      <c r="BO43" s="1654">
        <f t="shared" si="231"/>
        <v>8978399.9999999981</v>
      </c>
      <c r="BP43" s="1662"/>
      <c r="BQ43" s="1588"/>
      <c r="BR43" s="1587" t="b">
        <f>+P43+W43+AD43+AR43+AY43+BF43+BM43=I43</f>
        <v>1</v>
      </c>
      <c r="BS43" s="1587" t="b">
        <f t="shared" si="233"/>
        <v>1</v>
      </c>
      <c r="BT43" s="1587"/>
      <c r="BU43" s="401"/>
      <c r="BV43" s="401"/>
      <c r="BW43" s="401"/>
      <c r="BX43" s="401"/>
      <c r="BY43" s="401"/>
      <c r="BZ43" s="401"/>
      <c r="CA43" s="401"/>
      <c r="CB43" s="401"/>
      <c r="CC43" s="404"/>
      <c r="CD43" s="404"/>
    </row>
    <row r="44" spans="1:82">
      <c r="A44" s="1649"/>
      <c r="B44" s="2527"/>
      <c r="C44" s="2530"/>
      <c r="D44" s="2533"/>
      <c r="E44" s="2530"/>
      <c r="F44" s="1661" t="s">
        <v>128</v>
      </c>
      <c r="G44" s="1597">
        <f>+'PAYMENT RATIO_RAW'!F$13*'GM Batch2-APA'!$D$41/1000</f>
        <v>59855999.999999993</v>
      </c>
      <c r="H44" s="1597"/>
      <c r="I44" s="1597">
        <f>SUM(G44:G44)</f>
        <v>59855999.999999993</v>
      </c>
      <c r="J44" s="1661">
        <f t="shared" si="0"/>
        <v>0</v>
      </c>
      <c r="K44" s="1654">
        <f t="shared" si="2"/>
        <v>0</v>
      </c>
      <c r="L44" s="1654">
        <f t="shared" si="234"/>
        <v>59855999.999999993</v>
      </c>
      <c r="M44" s="1626"/>
      <c r="N44" s="1626"/>
      <c r="O44" s="1660">
        <f t="shared" si="218"/>
        <v>0</v>
      </c>
      <c r="P44" s="1654">
        <f>+$I44*'PAYMENT RATIO_RAW'!G$13</f>
        <v>0</v>
      </c>
      <c r="Q44" s="1654"/>
      <c r="R44" s="1654">
        <f t="shared" si="219"/>
        <v>0</v>
      </c>
      <c r="S44" s="2188">
        <f>+Q44/I44</f>
        <v>0</v>
      </c>
      <c r="T44" s="1626">
        <v>46022</v>
      </c>
      <c r="U44" s="1585"/>
      <c r="V44" s="1660">
        <f t="shared" si="220"/>
        <v>0</v>
      </c>
      <c r="W44" s="1654">
        <f>+$I44*'PAYMENT RATIO_RAW'!N$13</f>
        <v>0</v>
      </c>
      <c r="X44" s="1654"/>
      <c r="Y44" s="1654">
        <f t="shared" si="221"/>
        <v>0</v>
      </c>
      <c r="Z44" s="1662"/>
      <c r="AA44" s="1626">
        <v>46142</v>
      </c>
      <c r="AB44" s="1585"/>
      <c r="AC44" s="1660">
        <f t="shared" si="222"/>
        <v>0</v>
      </c>
      <c r="AD44" s="1654">
        <f>+'PAYMENT RATIO_RAW'!$U$13*I44</f>
        <v>0</v>
      </c>
      <c r="AE44" s="1654"/>
      <c r="AF44" s="1654">
        <f t="shared" si="223"/>
        <v>0</v>
      </c>
      <c r="AG44" s="1662"/>
      <c r="AH44" s="1585"/>
      <c r="AI44" s="1585"/>
      <c r="AJ44" s="1660">
        <f t="shared" si="224"/>
        <v>0</v>
      </c>
      <c r="AK44" s="1654">
        <f>+'PAYMENT RATIO_RAW'!$AB$13*I44</f>
        <v>0</v>
      </c>
      <c r="AL44" s="1654"/>
      <c r="AM44" s="1654">
        <f t="shared" si="225"/>
        <v>0</v>
      </c>
      <c r="AN44" s="1662"/>
      <c r="AO44" s="1626"/>
      <c r="AP44" s="1585"/>
      <c r="AQ44" s="1660"/>
      <c r="AR44" s="1654">
        <f>+$I44*'PAYMENT RATIO_RAW'!AI$13</f>
        <v>0</v>
      </c>
      <c r="AS44" s="1654"/>
      <c r="AT44" s="1654">
        <f t="shared" si="226"/>
        <v>0</v>
      </c>
      <c r="AU44" s="1662"/>
      <c r="AV44" s="1626"/>
      <c r="AW44" s="1585"/>
      <c r="AX44" s="1660"/>
      <c r="AY44" s="1654">
        <f>+$I44*'PAYMENT RATIO_RAW'!AP$13</f>
        <v>0</v>
      </c>
      <c r="AZ44" s="1654"/>
      <c r="BA44" s="1654">
        <f t="shared" si="227"/>
        <v>0</v>
      </c>
      <c r="BB44" s="1662"/>
      <c r="BC44" s="1626"/>
      <c r="BD44" s="1585"/>
      <c r="BE44" s="1660">
        <f t="shared" si="228"/>
        <v>0</v>
      </c>
      <c r="BF44" s="1654">
        <f>+$I44*'PAYMENT RATIO_RAW'!AW$13</f>
        <v>0</v>
      </c>
      <c r="BG44" s="1654"/>
      <c r="BH44" s="1678">
        <f t="shared" si="229"/>
        <v>0</v>
      </c>
      <c r="BI44" s="1662"/>
      <c r="BJ44" s="1626">
        <v>46203</v>
      </c>
      <c r="BK44" s="1626"/>
      <c r="BL44" s="1660">
        <f t="shared" si="230"/>
        <v>1</v>
      </c>
      <c r="BM44" s="1654">
        <f>+$I44*'PAYMENT RATIO_RAW'!BD$13</f>
        <v>59855999.999999993</v>
      </c>
      <c r="BN44" s="1654"/>
      <c r="BO44" s="1654">
        <f t="shared" si="231"/>
        <v>59855999.999999993</v>
      </c>
      <c r="BP44" s="1662"/>
      <c r="BQ44" s="1588"/>
      <c r="BR44" s="1587" t="b">
        <f t="shared" ref="BR44:BR45" si="235">+P44+W44+AD44+AR44+AY44+BF44+BM44=I44</f>
        <v>1</v>
      </c>
      <c r="BS44" s="1587" t="b">
        <f t="shared" si="233"/>
        <v>1</v>
      </c>
      <c r="BT44" s="1587"/>
      <c r="BU44" s="401"/>
      <c r="BV44" s="401"/>
      <c r="BW44" s="401"/>
      <c r="BX44" s="401"/>
      <c r="BY44" s="401"/>
      <c r="BZ44" s="401"/>
      <c r="CA44" s="401"/>
      <c r="CB44" s="401"/>
      <c r="CC44" s="404"/>
      <c r="CD44" s="404"/>
    </row>
    <row r="45" spans="1:82" ht="13.9" customHeight="1">
      <c r="A45" s="1649"/>
      <c r="B45" s="2527"/>
      <c r="C45" s="2530"/>
      <c r="D45" s="2533"/>
      <c r="E45" s="2530"/>
      <c r="F45" s="1627" t="s">
        <v>129</v>
      </c>
      <c r="G45" s="1680">
        <f>+'PAYMENT RATIO_RAW'!F$14*'GM Batch2-APA'!$D$41/1000</f>
        <v>0</v>
      </c>
      <c r="H45" s="1680"/>
      <c r="I45" s="1598">
        <f>SUM(G45:G45)</f>
        <v>0</v>
      </c>
      <c r="J45" s="1627" t="str">
        <f t="shared" si="0"/>
        <v>-</v>
      </c>
      <c r="K45" s="1655">
        <f t="shared" si="2"/>
        <v>0</v>
      </c>
      <c r="L45" s="1655">
        <f t="shared" si="234"/>
        <v>0</v>
      </c>
      <c r="M45" s="1630"/>
      <c r="N45" s="1630"/>
      <c r="O45" s="1682"/>
      <c r="P45" s="1683">
        <f>+$I45*'PAYMENT RATIO_RAW'!G$14</f>
        <v>0</v>
      </c>
      <c r="Q45" s="1683"/>
      <c r="R45" s="1683">
        <f t="shared" si="219"/>
        <v>0</v>
      </c>
      <c r="S45" s="1630"/>
      <c r="T45" s="1629"/>
      <c r="U45" s="1630"/>
      <c r="V45" s="1682"/>
      <c r="W45" s="1683">
        <f>+$I45*'PAYMENT RATIO_RAW'!N$14</f>
        <v>0</v>
      </c>
      <c r="X45" s="1683"/>
      <c r="Y45" s="1683">
        <f t="shared" si="221"/>
        <v>0</v>
      </c>
      <c r="Z45" s="1630"/>
      <c r="AA45" s="1629"/>
      <c r="AB45" s="1630"/>
      <c r="AC45" s="1682"/>
      <c r="AD45" s="1683">
        <f>+'PAYMENT RATIO_RAW'!$U$14*I45</f>
        <v>0</v>
      </c>
      <c r="AE45" s="1683"/>
      <c r="AF45" s="1683">
        <f t="shared" si="223"/>
        <v>0</v>
      </c>
      <c r="AG45" s="1630"/>
      <c r="AH45" s="1629"/>
      <c r="AI45" s="1630"/>
      <c r="AJ45" s="1682"/>
      <c r="AK45" s="1683">
        <f>+'PAYMENT RATIO_RAW'!$AB$14*I45</f>
        <v>0</v>
      </c>
      <c r="AL45" s="1683"/>
      <c r="AM45" s="1683"/>
      <c r="AN45" s="1630"/>
      <c r="AO45" s="1629"/>
      <c r="AP45" s="1630"/>
      <c r="AQ45" s="1682"/>
      <c r="AR45" s="1683">
        <f>+$I45*'PAYMENT RATIO_RAW'!AI$14</f>
        <v>0</v>
      </c>
      <c r="AS45" s="1683"/>
      <c r="AT45" s="1683"/>
      <c r="AU45" s="1630"/>
      <c r="AV45" s="1629"/>
      <c r="AW45" s="1630"/>
      <c r="AX45" s="1682"/>
      <c r="AY45" s="1683">
        <f>+$I45*'PAYMENT RATIO_RAW'!AP$14</f>
        <v>0</v>
      </c>
      <c r="AZ45" s="1683"/>
      <c r="BA45" s="1683"/>
      <c r="BB45" s="1630"/>
      <c r="BC45" s="1629"/>
      <c r="BD45" s="1630"/>
      <c r="BE45" s="1682" t="str">
        <f t="shared" si="228"/>
        <v>-</v>
      </c>
      <c r="BF45" s="1683">
        <f>+$I45*'PAYMENT RATIO_RAW'!AW$14</f>
        <v>0</v>
      </c>
      <c r="BG45" s="1683"/>
      <c r="BH45" s="1678">
        <f t="shared" si="229"/>
        <v>0</v>
      </c>
      <c r="BI45" s="1630"/>
      <c r="BJ45" s="1630"/>
      <c r="BK45" s="1630"/>
      <c r="BL45" s="1682" t="str">
        <f t="shared" si="230"/>
        <v>-</v>
      </c>
      <c r="BM45" s="1683">
        <f>+$I45*'PAYMENT RATIO_RAW'!BD$14</f>
        <v>0</v>
      </c>
      <c r="BN45" s="1683"/>
      <c r="BO45" s="1683">
        <f t="shared" si="231"/>
        <v>0</v>
      </c>
      <c r="BP45" s="1630"/>
      <c r="BQ45" s="1589"/>
      <c r="BR45" s="1591" t="b">
        <f t="shared" si="235"/>
        <v>1</v>
      </c>
      <c r="BS45" s="1592" t="b">
        <f t="shared" si="233"/>
        <v>1</v>
      </c>
      <c r="BT45" s="1592"/>
      <c r="BU45" s="401"/>
      <c r="BV45" s="401"/>
      <c r="BW45" s="401"/>
      <c r="BX45" s="401"/>
      <c r="BY45" s="401"/>
      <c r="BZ45" s="401"/>
      <c r="CA45" s="401"/>
      <c r="CB45" s="401"/>
      <c r="CC45" s="404"/>
      <c r="CD45" s="404"/>
    </row>
    <row r="46" spans="1:82" ht="13.9" customHeight="1">
      <c r="A46" s="1649"/>
      <c r="B46" s="2528"/>
      <c r="C46" s="2531"/>
      <c r="D46" s="2534"/>
      <c r="E46" s="2531"/>
      <c r="F46" s="419" t="s">
        <v>130</v>
      </c>
      <c r="G46" s="1628">
        <f>SUM(G41:G45)</f>
        <v>568632000</v>
      </c>
      <c r="H46" s="1628">
        <f>SUM(H41:H45)</f>
        <v>31424400</v>
      </c>
      <c r="I46" s="1628">
        <f t="shared" ref="I46" si="236">SUM(I41:I45)</f>
        <v>600056400</v>
      </c>
      <c r="J46" s="419">
        <f t="shared" si="0"/>
        <v>0.12967581047381546</v>
      </c>
      <c r="K46" s="1628">
        <f t="shared" ref="K46:L46" si="237">SUM(K41:K45)</f>
        <v>77812800</v>
      </c>
      <c r="L46" s="1628">
        <f t="shared" si="237"/>
        <v>522243600</v>
      </c>
      <c r="M46" s="419"/>
      <c r="N46" s="419"/>
      <c r="O46" s="1634">
        <f t="shared" ref="O46" si="238">+IFERROR(P46/$I46,"-")</f>
        <v>0.12967581047381546</v>
      </c>
      <c r="P46" s="1628">
        <f t="shared" ref="P46" si="239">SUM(P41:P45)</f>
        <v>77812800</v>
      </c>
      <c r="Q46" s="1628">
        <f t="shared" ref="Q46" si="240">SUM(Q41:Q45)</f>
        <v>77812800</v>
      </c>
      <c r="R46" s="1684">
        <f t="shared" ref="R46" si="241">+P46-Q46</f>
        <v>0</v>
      </c>
      <c r="S46" s="419"/>
      <c r="T46" s="1631"/>
      <c r="U46" s="419"/>
      <c r="V46" s="1634">
        <f t="shared" ref="V46" si="242">+IFERROR(W46/$I46,"-")</f>
        <v>6.4837905236907731E-2</v>
      </c>
      <c r="W46" s="1628">
        <f t="shared" ref="W46:X46" si="243">SUM(W41:W45)</f>
        <v>38906400</v>
      </c>
      <c r="X46" s="1628">
        <f t="shared" si="243"/>
        <v>0</v>
      </c>
      <c r="Y46" s="1684">
        <f t="shared" ref="Y46" si="244">+W46-X46</f>
        <v>38906400</v>
      </c>
      <c r="Z46" s="419"/>
      <c r="AA46" s="1631"/>
      <c r="AB46" s="419"/>
      <c r="AC46" s="1634">
        <f t="shared" ref="AC46" si="245">+IFERROR(AD46/$I46,"-")</f>
        <v>0.27007481296758107</v>
      </c>
      <c r="AD46" s="1628">
        <f t="shared" ref="AD46:AE46" si="246">SUM(AD41:AD45)</f>
        <v>162060120</v>
      </c>
      <c r="AE46" s="1628">
        <f t="shared" si="246"/>
        <v>0</v>
      </c>
      <c r="AF46" s="1684">
        <f t="shared" ref="AF46" si="247">+AD46-AE46</f>
        <v>162060120</v>
      </c>
      <c r="AG46" s="419"/>
      <c r="AH46" s="1631"/>
      <c r="AI46" s="419"/>
      <c r="AJ46" s="1634">
        <f t="shared" ref="AJ46" si="248">+IFERROR(AK46/$I46,"-")</f>
        <v>0.23042394014962594</v>
      </c>
      <c r="AK46" s="1628">
        <f t="shared" ref="AK46:AL46" si="249">SUM(AK41:AK45)</f>
        <v>138267360</v>
      </c>
      <c r="AL46" s="1628">
        <f t="shared" si="249"/>
        <v>0</v>
      </c>
      <c r="AM46" s="1684">
        <f t="shared" ref="AM46" si="250">+AK46-AL46</f>
        <v>138267360</v>
      </c>
      <c r="AN46" s="419"/>
      <c r="AO46" s="1631"/>
      <c r="AP46" s="419"/>
      <c r="AQ46" s="1634">
        <f t="shared" ref="AQ46" si="251">+IFERROR(AR46/$I46,"-")</f>
        <v>0</v>
      </c>
      <c r="AR46" s="1628">
        <f t="shared" ref="AR46" si="252">SUM(AR41:AR45)</f>
        <v>0</v>
      </c>
      <c r="AS46" s="1628">
        <f t="shared" ref="AS46" si="253">SUM(AS41:AS45)</f>
        <v>0</v>
      </c>
      <c r="AT46" s="1684">
        <f t="shared" ref="AT46" si="254">+AR46-AS46</f>
        <v>0</v>
      </c>
      <c r="AU46" s="419"/>
      <c r="AV46" s="1631"/>
      <c r="AW46" s="419"/>
      <c r="AX46" s="1634">
        <f t="shared" ref="AX46" si="255">+IFERROR(AY46/$I46,"-")</f>
        <v>0</v>
      </c>
      <c r="AY46" s="1628">
        <f t="shared" ref="AY46" si="256">SUM(AY41:AY45)</f>
        <v>0</v>
      </c>
      <c r="AZ46" s="1628">
        <f t="shared" ref="AZ46" si="257">SUM(AZ41:AZ45)</f>
        <v>0</v>
      </c>
      <c r="BA46" s="1684">
        <f t="shared" ref="BA46" si="258">+AY46-AZ46</f>
        <v>0</v>
      </c>
      <c r="BB46" s="419"/>
      <c r="BC46" s="1631"/>
      <c r="BD46" s="419"/>
      <c r="BE46" s="1634">
        <f t="shared" ref="BE46" si="259">+IFERROR(BF46/$I46,"-")</f>
        <v>0</v>
      </c>
      <c r="BF46" s="1628">
        <f t="shared" ref="BF46" si="260">SUM(BF41:BF45)</f>
        <v>0</v>
      </c>
      <c r="BG46" s="1628">
        <f t="shared" ref="BG46" si="261">SUM(BG41:BG45)</f>
        <v>0</v>
      </c>
      <c r="BH46" s="1684">
        <f t="shared" ref="BH46" si="262">+BF46-BG46</f>
        <v>0</v>
      </c>
      <c r="BI46" s="419"/>
      <c r="BJ46" s="419"/>
      <c r="BK46" s="419"/>
      <c r="BL46" s="1634">
        <f t="shared" si="16"/>
        <v>0.30498753117206984</v>
      </c>
      <c r="BM46" s="1628">
        <f t="shared" ref="BM46:BN46" si="263">SUM(BM41:BM45)</f>
        <v>183009720</v>
      </c>
      <c r="BN46" s="1628">
        <f t="shared" si="263"/>
        <v>0</v>
      </c>
      <c r="BO46" s="1684">
        <f t="shared" ref="BO46" si="264">+BM46-BN46</f>
        <v>183009720</v>
      </c>
      <c r="BP46" s="419"/>
      <c r="BQ46" s="1589"/>
      <c r="BR46" s="1632"/>
      <c r="BS46" s="1633"/>
      <c r="BT46" s="1633"/>
      <c r="BU46" s="401"/>
      <c r="BV46" s="401"/>
      <c r="BW46" s="401"/>
      <c r="BX46" s="401"/>
      <c r="BY46" s="401"/>
      <c r="BZ46" s="401"/>
      <c r="CA46" s="401"/>
      <c r="CB46" s="401"/>
      <c r="CC46" s="404"/>
      <c r="CD46" s="404"/>
    </row>
    <row r="47" spans="1:82" ht="16.5" customHeight="1">
      <c r="A47" s="1649"/>
      <c r="B47" s="2514" t="s">
        <v>130</v>
      </c>
      <c r="C47" s="2514"/>
      <c r="D47" s="2516">
        <f>+SUM(D11:D46)</f>
        <v>2398.92</v>
      </c>
      <c r="E47" s="2514"/>
      <c r="F47" s="1673" t="s">
        <v>125</v>
      </c>
      <c r="G47" s="1656">
        <f>+G11+G17+G23+G29+G35+G41</f>
        <v>2518866000</v>
      </c>
      <c r="H47" s="1656">
        <f>+G47*10%</f>
        <v>251886600</v>
      </c>
      <c r="I47" s="1656">
        <f>SUM(G47:H47)</f>
        <v>2770752600</v>
      </c>
      <c r="J47" s="1673">
        <f t="shared" si="0"/>
        <v>0</v>
      </c>
      <c r="K47" s="1656">
        <f t="shared" ref="K47:L47" si="265">+K11+K17+K23+K29+K35+K41</f>
        <v>0</v>
      </c>
      <c r="L47" s="1656">
        <f t="shared" si="265"/>
        <v>2770752600</v>
      </c>
      <c r="M47" s="1635"/>
      <c r="N47" s="1635"/>
      <c r="O47" s="1674">
        <f>+IFERROR(P47/$I47,"-")</f>
        <v>0</v>
      </c>
      <c r="P47" s="1656">
        <f t="shared" ref="P47:R47" si="266">+P11+P17+P23+P29+P35+P41</f>
        <v>0</v>
      </c>
      <c r="Q47" s="1656">
        <f t="shared" si="266"/>
        <v>0</v>
      </c>
      <c r="R47" s="1656">
        <f t="shared" si="266"/>
        <v>0</v>
      </c>
      <c r="S47" s="1675"/>
      <c r="T47" s="1635"/>
      <c r="U47" s="1635"/>
      <c r="V47" s="1674">
        <f>+IFERROR(W47/$I47,"-")</f>
        <v>0</v>
      </c>
      <c r="W47" s="1656">
        <f>+W11+W17+W23+W29+W35+W41</f>
        <v>0</v>
      </c>
      <c r="X47" s="1656">
        <f t="shared" ref="X47:Y47" si="267">+X11+X17+X23+X29+X35+X41</f>
        <v>0</v>
      </c>
      <c r="Y47" s="1656">
        <f t="shared" si="267"/>
        <v>0</v>
      </c>
      <c r="Z47" s="1675"/>
      <c r="AA47" s="1635"/>
      <c r="AB47" s="1635"/>
      <c r="AC47" s="1674">
        <f>+IFERROR(AD47/$I47,"-")</f>
        <v>0.3</v>
      </c>
      <c r="AD47" s="1656">
        <f>+AD11+AD17+AD23+AD29+AD35+AD41</f>
        <v>831225780</v>
      </c>
      <c r="AE47" s="1656">
        <f t="shared" ref="AE47:AF47" si="268">+AE11+AE17+AE23+AE29+AE35+AE41</f>
        <v>0</v>
      </c>
      <c r="AF47" s="1656">
        <f t="shared" si="268"/>
        <v>831225780</v>
      </c>
      <c r="AG47" s="1675"/>
      <c r="AH47" s="1635"/>
      <c r="AI47" s="1635"/>
      <c r="AJ47" s="1674">
        <f>+IFERROR(AK47/$I47,"-")</f>
        <v>0.4</v>
      </c>
      <c r="AK47" s="1656">
        <f>+AK11+AK17+AK23+AK29+AK35+AK41</f>
        <v>1108301040</v>
      </c>
      <c r="AL47" s="1656">
        <f t="shared" ref="AL47" si="269">+AL11+AL17+AL23+AL29+AL35+AL41</f>
        <v>0</v>
      </c>
      <c r="AM47" s="1656">
        <f>+AK47-AL47</f>
        <v>1108301040</v>
      </c>
      <c r="AN47" s="1675"/>
      <c r="AO47" s="1635"/>
      <c r="AP47" s="1635"/>
      <c r="AQ47" s="1674">
        <f>+IFERROR(AR47/$I47,"-")</f>
        <v>0</v>
      </c>
      <c r="AR47" s="1656">
        <f>+AR11+AR17+AR23+AR29+AR35+AR41</f>
        <v>0</v>
      </c>
      <c r="AS47" s="1656">
        <f t="shared" ref="AS47:AT47" si="270">+AS11+AS17+AS23+AS29+AS35+AS41</f>
        <v>0</v>
      </c>
      <c r="AT47" s="1656">
        <f t="shared" si="270"/>
        <v>0</v>
      </c>
      <c r="AU47" s="1675"/>
      <c r="AV47" s="1635"/>
      <c r="AW47" s="1635"/>
      <c r="AX47" s="1674">
        <f>+IFERROR(AY47/$I47,"-")</f>
        <v>0</v>
      </c>
      <c r="AY47" s="1656">
        <f>+AY11+AY17+AY23+AY29+AY35+AY41</f>
        <v>0</v>
      </c>
      <c r="AZ47" s="1656">
        <f t="shared" ref="AZ47:BA47" si="271">+AZ11+AZ17+AZ23+AZ29+AZ35+AZ41</f>
        <v>0</v>
      </c>
      <c r="BA47" s="1656">
        <f t="shared" si="271"/>
        <v>0</v>
      </c>
      <c r="BB47" s="1675"/>
      <c r="BC47" s="1635"/>
      <c r="BD47" s="1635"/>
      <c r="BE47" s="1674">
        <f>+IFERROR(BF47/$I47,"-")</f>
        <v>0</v>
      </c>
      <c r="BF47" s="1656">
        <f>+BF11+BF17+BF23+BF29+BF35+BF41</f>
        <v>0</v>
      </c>
      <c r="BG47" s="1656">
        <f t="shared" ref="BG47:BH47" si="272">+BG11+BG17+BG23+BG29+BG35+BG41</f>
        <v>0</v>
      </c>
      <c r="BH47" s="1656">
        <f t="shared" si="272"/>
        <v>0</v>
      </c>
      <c r="BI47" s="1675"/>
      <c r="BJ47" s="1635"/>
      <c r="BK47" s="1635"/>
      <c r="BL47" s="1674">
        <f>+IFERROR(BM47/$I47,"-")</f>
        <v>0.3</v>
      </c>
      <c r="BM47" s="1656">
        <f>+BM11+BM17+BM23+BM29+BM35+BM41</f>
        <v>831225780</v>
      </c>
      <c r="BN47" s="1656">
        <f t="shared" ref="BN47:BO47" si="273">+BN11+BN17+BN23+BN29+BN35+BN41</f>
        <v>0</v>
      </c>
      <c r="BO47" s="1656">
        <f t="shared" si="273"/>
        <v>831225780</v>
      </c>
      <c r="BP47" s="1675"/>
      <c r="BQ47" s="1588"/>
      <c r="BR47" s="1641" t="b">
        <f>+P47+W47+AD47+AK47+AR47+AY47+BF47+BM47=I47</f>
        <v>1</v>
      </c>
      <c r="BS47" s="1641" t="b">
        <f>+Q47+X47+AE47+AS47+AZ47+BG47+BN47=K47</f>
        <v>1</v>
      </c>
      <c r="BT47" s="1641"/>
      <c r="BU47" s="401"/>
      <c r="BV47" s="401"/>
      <c r="BW47" s="401"/>
      <c r="BX47" s="401"/>
      <c r="BY47" s="401"/>
      <c r="BZ47" s="401"/>
      <c r="CA47" s="401"/>
      <c r="CB47" s="401"/>
      <c r="CC47" s="404"/>
      <c r="CD47" s="404"/>
    </row>
    <row r="48" spans="1:82">
      <c r="A48" s="1649"/>
      <c r="B48" s="2514"/>
      <c r="C48" s="2514"/>
      <c r="D48" s="2516"/>
      <c r="E48" s="2514"/>
      <c r="F48" s="1665" t="s">
        <v>126</v>
      </c>
      <c r="G48" s="1656">
        <f t="shared" ref="G48:I51" si="274">+G12+G18+G24+G30+G36+G42</f>
        <v>839622000</v>
      </c>
      <c r="H48" s="1656"/>
      <c r="I48" s="1656">
        <f t="shared" si="274"/>
        <v>839622000</v>
      </c>
      <c r="J48" s="1665">
        <f t="shared" si="0"/>
        <v>0.47473363013356012</v>
      </c>
      <c r="K48" s="1656">
        <f t="shared" ref="K48:L48" si="275">+K12+K18+K24+K30+K36+K42</f>
        <v>398596800</v>
      </c>
      <c r="L48" s="1656">
        <f t="shared" si="275"/>
        <v>441025200</v>
      </c>
      <c r="M48" s="1636"/>
      <c r="N48" s="1636"/>
      <c r="O48" s="1664">
        <f t="shared" ref="O48:O52" si="276">+IFERROR(P48/$I48,"-")</f>
        <v>0.4</v>
      </c>
      <c r="P48" s="1656">
        <f t="shared" ref="P48:R48" si="277">+P12+P18+P24+P30+P36+P42</f>
        <v>335848800</v>
      </c>
      <c r="Q48" s="1656">
        <f t="shared" si="277"/>
        <v>398596800</v>
      </c>
      <c r="R48" s="1656">
        <f t="shared" si="277"/>
        <v>-62748000</v>
      </c>
      <c r="S48" s="1666"/>
      <c r="T48" s="1636"/>
      <c r="U48" s="1636"/>
      <c r="V48" s="1664">
        <f t="shared" ref="V48:V52" si="278">+IFERROR(W48/$I48,"-")</f>
        <v>0.2</v>
      </c>
      <c r="W48" s="1656">
        <f t="shared" ref="W48:Y48" si="279">+W12+W18+W24+W30+W36+W42</f>
        <v>167924400</v>
      </c>
      <c r="X48" s="1656">
        <f t="shared" si="279"/>
        <v>0</v>
      </c>
      <c r="Y48" s="1656">
        <f t="shared" si="279"/>
        <v>167924400</v>
      </c>
      <c r="Z48" s="1666"/>
      <c r="AA48" s="1636"/>
      <c r="AB48" s="1636"/>
      <c r="AC48" s="1664">
        <f t="shared" ref="AC48:AC52" si="280">+IFERROR(AD48/$I48,"-")</f>
        <v>0.3</v>
      </c>
      <c r="AD48" s="1656">
        <f t="shared" ref="AD48:AF48" si="281">+AD12+AD18+AD24+AD30+AD36+AD42</f>
        <v>251886600</v>
      </c>
      <c r="AE48" s="1656">
        <f t="shared" si="281"/>
        <v>0</v>
      </c>
      <c r="AF48" s="1656">
        <f t="shared" si="281"/>
        <v>251886600</v>
      </c>
      <c r="AG48" s="1666"/>
      <c r="AH48" s="1636"/>
      <c r="AI48" s="1636"/>
      <c r="AJ48" s="1664">
        <f t="shared" ref="AJ48:AJ52" si="282">+IFERROR(AK48/$I48,"-")</f>
        <v>0</v>
      </c>
      <c r="AK48" s="1656">
        <f t="shared" ref="AK48:AL48" si="283">+AK12+AK18+AK24+AK30+AK36+AK42</f>
        <v>0</v>
      </c>
      <c r="AL48" s="1656">
        <f t="shared" si="283"/>
        <v>0</v>
      </c>
      <c r="AM48" s="1657">
        <f t="shared" ref="AM48:AM52" si="284">+AK48-AL48</f>
        <v>0</v>
      </c>
      <c r="AN48" s="1666"/>
      <c r="AO48" s="1636"/>
      <c r="AP48" s="1636"/>
      <c r="AQ48" s="1664">
        <f t="shared" ref="AQ48:AQ52" si="285">+IFERROR(AR48/$I48,"-")</f>
        <v>0</v>
      </c>
      <c r="AR48" s="1656">
        <f t="shared" ref="AR48:AT48" si="286">+AR12+AR18+AR24+AR30+AR36+AR42</f>
        <v>0</v>
      </c>
      <c r="AS48" s="1656">
        <f t="shared" si="286"/>
        <v>0</v>
      </c>
      <c r="AT48" s="1656">
        <f t="shared" si="286"/>
        <v>0</v>
      </c>
      <c r="AU48" s="1666"/>
      <c r="AV48" s="1636"/>
      <c r="AW48" s="1636"/>
      <c r="AX48" s="1664">
        <f t="shared" ref="AX48:AX52" si="287">+IFERROR(AY48/$I48,"-")</f>
        <v>0</v>
      </c>
      <c r="AY48" s="1656">
        <f t="shared" ref="AY48:BA48" si="288">+AY12+AY18+AY24+AY30+AY36+AY42</f>
        <v>0</v>
      </c>
      <c r="AZ48" s="1656">
        <f t="shared" si="288"/>
        <v>0</v>
      </c>
      <c r="BA48" s="1656">
        <f t="shared" si="288"/>
        <v>0</v>
      </c>
      <c r="BB48" s="1666"/>
      <c r="BC48" s="1636"/>
      <c r="BD48" s="1636"/>
      <c r="BE48" s="1664">
        <f t="shared" ref="BE48:BE52" si="289">+IFERROR(BF48/$I48,"-")</f>
        <v>0</v>
      </c>
      <c r="BF48" s="1656">
        <f t="shared" ref="BF48:BH48" si="290">+BF12+BF18+BF24+BF30+BF36+BF42</f>
        <v>0</v>
      </c>
      <c r="BG48" s="1656">
        <f t="shared" si="290"/>
        <v>0</v>
      </c>
      <c r="BH48" s="1656">
        <f t="shared" si="290"/>
        <v>0</v>
      </c>
      <c r="BI48" s="1666"/>
      <c r="BJ48" s="1636"/>
      <c r="BK48" s="1636"/>
      <c r="BL48" s="1664">
        <f t="shared" ref="BL48:BL52" si="291">+IFERROR(BM48/$I48,"-")</f>
        <v>0.1</v>
      </c>
      <c r="BM48" s="1656">
        <f t="shared" ref="BM48:BO48" si="292">+BM12+BM18+BM24+BM30+BM36+BM42</f>
        <v>83962200</v>
      </c>
      <c r="BN48" s="1656">
        <f t="shared" si="292"/>
        <v>0</v>
      </c>
      <c r="BO48" s="1656">
        <f t="shared" si="292"/>
        <v>83962200</v>
      </c>
      <c r="BP48" s="1666"/>
      <c r="BQ48" s="1588"/>
      <c r="BR48" s="1641" t="b">
        <f t="shared" ref="BR48" si="293">+P48+W48+AD48+AR48+AY48+BF48+BM48=I48</f>
        <v>1</v>
      </c>
      <c r="BS48" s="1641" t="b">
        <f t="shared" ref="BS48:BS51" si="294">+Q48+X48+AE48+AS48+AZ48+BG48+BN48=K48</f>
        <v>1</v>
      </c>
      <c r="BT48" s="1641"/>
      <c r="BU48" s="401"/>
      <c r="BV48" s="401"/>
      <c r="BW48" s="401"/>
      <c r="BX48" s="401"/>
      <c r="BY48" s="401"/>
      <c r="BZ48" s="401"/>
      <c r="CA48" s="401"/>
      <c r="CB48" s="401"/>
      <c r="CC48" s="404"/>
      <c r="CD48" s="404"/>
    </row>
    <row r="49" spans="1:82">
      <c r="A49" s="1649"/>
      <c r="B49" s="2514"/>
      <c r="C49" s="2514"/>
      <c r="D49" s="2516"/>
      <c r="E49" s="2514"/>
      <c r="F49" s="1665" t="s">
        <v>127</v>
      </c>
      <c r="G49" s="1656">
        <f t="shared" si="274"/>
        <v>719676000</v>
      </c>
      <c r="H49" s="1656"/>
      <c r="I49" s="1656">
        <f t="shared" si="274"/>
        <v>719676000</v>
      </c>
      <c r="J49" s="1665">
        <f t="shared" si="0"/>
        <v>0.47473363013356012</v>
      </c>
      <c r="K49" s="1656">
        <f t="shared" ref="K49:L49" si="295">+K13+K19+K25+K31+K37+K43</f>
        <v>341654400</v>
      </c>
      <c r="L49" s="1656">
        <f t="shared" si="295"/>
        <v>378021600</v>
      </c>
      <c r="M49" s="1636"/>
      <c r="N49" s="1636"/>
      <c r="O49" s="1664">
        <f t="shared" si="276"/>
        <v>0.4</v>
      </c>
      <c r="P49" s="1656">
        <f t="shared" ref="P49:R49" si="296">+P13+P19+P25+P31+P37+P43</f>
        <v>287870400</v>
      </c>
      <c r="Q49" s="1656">
        <f t="shared" si="296"/>
        <v>341654400</v>
      </c>
      <c r="R49" s="1656">
        <f t="shared" si="296"/>
        <v>-53784000</v>
      </c>
      <c r="S49" s="1666"/>
      <c r="T49" s="1636"/>
      <c r="U49" s="1636"/>
      <c r="V49" s="1664">
        <f t="shared" si="278"/>
        <v>0.2</v>
      </c>
      <c r="W49" s="1656">
        <f t="shared" ref="W49:Y49" si="297">+W13+W19+W25+W31+W37+W43</f>
        <v>143935200</v>
      </c>
      <c r="X49" s="1656">
        <f t="shared" si="297"/>
        <v>0</v>
      </c>
      <c r="Y49" s="1656">
        <f t="shared" si="297"/>
        <v>143935200</v>
      </c>
      <c r="Z49" s="1666"/>
      <c r="AA49" s="1636"/>
      <c r="AB49" s="1636"/>
      <c r="AC49" s="1664">
        <f t="shared" si="280"/>
        <v>0.3</v>
      </c>
      <c r="AD49" s="1656">
        <f t="shared" ref="AD49:AF49" si="298">+AD13+AD19+AD25+AD31+AD37+AD43</f>
        <v>215902800</v>
      </c>
      <c r="AE49" s="1656">
        <f t="shared" si="298"/>
        <v>0</v>
      </c>
      <c r="AF49" s="1656">
        <f t="shared" si="298"/>
        <v>215902800</v>
      </c>
      <c r="AG49" s="1666"/>
      <c r="AH49" s="1636"/>
      <c r="AI49" s="1636"/>
      <c r="AJ49" s="1664">
        <f t="shared" si="282"/>
        <v>0</v>
      </c>
      <c r="AK49" s="1656">
        <f t="shared" ref="AK49:AL49" si="299">+AK13+AK19+AK25+AK31+AK37+AK43</f>
        <v>0</v>
      </c>
      <c r="AL49" s="1656">
        <f t="shared" si="299"/>
        <v>0</v>
      </c>
      <c r="AM49" s="1657">
        <f t="shared" si="284"/>
        <v>0</v>
      </c>
      <c r="AN49" s="1666"/>
      <c r="AO49" s="1636"/>
      <c r="AP49" s="1636"/>
      <c r="AQ49" s="1664">
        <f t="shared" si="285"/>
        <v>0</v>
      </c>
      <c r="AR49" s="1656">
        <f t="shared" ref="AR49:AT49" si="300">+AR13+AR19+AR25+AR31+AR37+AR43</f>
        <v>0</v>
      </c>
      <c r="AS49" s="1656">
        <f t="shared" si="300"/>
        <v>0</v>
      </c>
      <c r="AT49" s="1656">
        <f t="shared" si="300"/>
        <v>0</v>
      </c>
      <c r="AU49" s="1666"/>
      <c r="AV49" s="1636"/>
      <c r="AW49" s="1636"/>
      <c r="AX49" s="1664">
        <f t="shared" si="287"/>
        <v>0</v>
      </c>
      <c r="AY49" s="1656">
        <f t="shared" ref="AY49:BA49" si="301">+AY13+AY19+AY25+AY31+AY37+AY43</f>
        <v>0</v>
      </c>
      <c r="AZ49" s="1656">
        <f t="shared" si="301"/>
        <v>0</v>
      </c>
      <c r="BA49" s="1656">
        <f t="shared" si="301"/>
        <v>0</v>
      </c>
      <c r="BB49" s="1666"/>
      <c r="BC49" s="1636"/>
      <c r="BD49" s="1636"/>
      <c r="BE49" s="1664">
        <f t="shared" si="289"/>
        <v>0</v>
      </c>
      <c r="BF49" s="1656">
        <f t="shared" ref="BF49:BH49" si="302">+BF13+BF19+BF25+BF31+BF37+BF43</f>
        <v>0</v>
      </c>
      <c r="BG49" s="1656">
        <f t="shared" si="302"/>
        <v>0</v>
      </c>
      <c r="BH49" s="1656">
        <f t="shared" si="302"/>
        <v>0</v>
      </c>
      <c r="BI49" s="1666"/>
      <c r="BJ49" s="1636"/>
      <c r="BK49" s="1636"/>
      <c r="BL49" s="1664">
        <f t="shared" si="291"/>
        <v>0.1</v>
      </c>
      <c r="BM49" s="1656">
        <f t="shared" ref="BM49:BO49" si="303">+BM13+BM19+BM25+BM31+BM37+BM43</f>
        <v>71967600</v>
      </c>
      <c r="BN49" s="1656">
        <f t="shared" si="303"/>
        <v>0</v>
      </c>
      <c r="BO49" s="1656">
        <f t="shared" si="303"/>
        <v>71967600</v>
      </c>
      <c r="BP49" s="1666"/>
      <c r="BQ49" s="1588"/>
      <c r="BR49" s="1641" t="b">
        <f>+P49+W49+AD49+AR49+AY49+BF49+BM49=I49</f>
        <v>1</v>
      </c>
      <c r="BS49" s="1641" t="b">
        <f t="shared" si="294"/>
        <v>1</v>
      </c>
      <c r="BT49" s="1641"/>
      <c r="BU49" s="401"/>
      <c r="BV49" s="401"/>
      <c r="BW49" s="401"/>
      <c r="BX49" s="401"/>
      <c r="BY49" s="401"/>
      <c r="BZ49" s="401"/>
      <c r="CA49" s="401"/>
      <c r="CB49" s="401"/>
      <c r="CC49" s="404"/>
      <c r="CD49" s="404"/>
    </row>
    <row r="50" spans="1:82" ht="16.5" customHeight="1">
      <c r="A50" s="1649"/>
      <c r="B50" s="2514"/>
      <c r="C50" s="2514"/>
      <c r="D50" s="2516"/>
      <c r="E50" s="2514"/>
      <c r="F50" s="1665" t="s">
        <v>128</v>
      </c>
      <c r="G50" s="1656">
        <f>+G14+G20+G26+G32+G38+G44</f>
        <v>479784000</v>
      </c>
      <c r="H50" s="1656"/>
      <c r="I50" s="1656">
        <f t="shared" si="274"/>
        <v>479784000</v>
      </c>
      <c r="J50" s="1665">
        <f t="shared" si="0"/>
        <v>0</v>
      </c>
      <c r="K50" s="1656">
        <f t="shared" ref="K50:L50" si="304">+K14+K20+K26+K32+K38+K44</f>
        <v>0</v>
      </c>
      <c r="L50" s="1656">
        <f t="shared" si="304"/>
        <v>479784000</v>
      </c>
      <c r="M50" s="1636"/>
      <c r="N50" s="1636"/>
      <c r="O50" s="1664">
        <f t="shared" si="276"/>
        <v>0</v>
      </c>
      <c r="P50" s="1656">
        <f t="shared" ref="P50:R50" si="305">+P14+P20+P26+P32+P38+P44</f>
        <v>0</v>
      </c>
      <c r="Q50" s="1656">
        <f t="shared" si="305"/>
        <v>0</v>
      </c>
      <c r="R50" s="1656">
        <f t="shared" si="305"/>
        <v>0</v>
      </c>
      <c r="S50" s="1666"/>
      <c r="T50" s="1636"/>
      <c r="U50" s="1636"/>
      <c r="V50" s="1664">
        <f t="shared" si="278"/>
        <v>0</v>
      </c>
      <c r="W50" s="1656">
        <f t="shared" ref="W50:Y50" si="306">+W14+W20+W26+W32+W38+W44</f>
        <v>0</v>
      </c>
      <c r="X50" s="1656">
        <f t="shared" si="306"/>
        <v>0</v>
      </c>
      <c r="Y50" s="1656">
        <f t="shared" si="306"/>
        <v>0</v>
      </c>
      <c r="Z50" s="1666"/>
      <c r="AA50" s="1636"/>
      <c r="AB50" s="1636"/>
      <c r="AC50" s="1664">
        <f t="shared" si="280"/>
        <v>0</v>
      </c>
      <c r="AD50" s="1656">
        <f t="shared" ref="AD50:AF50" si="307">+AD14+AD20+AD26+AD32+AD38+AD44</f>
        <v>0</v>
      </c>
      <c r="AE50" s="1656">
        <f t="shared" si="307"/>
        <v>0</v>
      </c>
      <c r="AF50" s="1656">
        <f t="shared" si="307"/>
        <v>0</v>
      </c>
      <c r="AG50" s="1666"/>
      <c r="AH50" s="1636"/>
      <c r="AI50" s="1636"/>
      <c r="AJ50" s="1664">
        <f t="shared" si="282"/>
        <v>0</v>
      </c>
      <c r="AK50" s="1656">
        <f t="shared" ref="AK50:AL50" si="308">+AK14+AK20+AK26+AK32+AK38+AK44</f>
        <v>0</v>
      </c>
      <c r="AL50" s="1656">
        <f t="shared" si="308"/>
        <v>0</v>
      </c>
      <c r="AM50" s="1657">
        <f t="shared" si="284"/>
        <v>0</v>
      </c>
      <c r="AN50" s="1666"/>
      <c r="AO50" s="1636"/>
      <c r="AP50" s="1636"/>
      <c r="AQ50" s="1664">
        <f t="shared" si="285"/>
        <v>0</v>
      </c>
      <c r="AR50" s="1656">
        <f t="shared" ref="AR50:AT50" si="309">+AR14+AR20+AR26+AR32+AR38+AR44</f>
        <v>0</v>
      </c>
      <c r="AS50" s="1656">
        <f t="shared" si="309"/>
        <v>0</v>
      </c>
      <c r="AT50" s="1656">
        <f t="shared" si="309"/>
        <v>0</v>
      </c>
      <c r="AU50" s="1666"/>
      <c r="AV50" s="1636"/>
      <c r="AW50" s="1636"/>
      <c r="AX50" s="1664">
        <f t="shared" si="287"/>
        <v>0</v>
      </c>
      <c r="AY50" s="1656">
        <f t="shared" ref="AY50:BA50" si="310">+AY14+AY20+AY26+AY32+AY38+AY44</f>
        <v>0</v>
      </c>
      <c r="AZ50" s="1656">
        <f t="shared" si="310"/>
        <v>0</v>
      </c>
      <c r="BA50" s="1656">
        <f t="shared" si="310"/>
        <v>0</v>
      </c>
      <c r="BB50" s="1666"/>
      <c r="BC50" s="1636"/>
      <c r="BD50" s="1636"/>
      <c r="BE50" s="1664">
        <f t="shared" si="289"/>
        <v>0</v>
      </c>
      <c r="BF50" s="1656">
        <f t="shared" ref="BF50:BH50" si="311">+BF14+BF20+BF26+BF32+BF38+BF44</f>
        <v>0</v>
      </c>
      <c r="BG50" s="1656">
        <f t="shared" si="311"/>
        <v>0</v>
      </c>
      <c r="BH50" s="1656">
        <f t="shared" si="311"/>
        <v>0</v>
      </c>
      <c r="BI50" s="1666"/>
      <c r="BJ50" s="1636"/>
      <c r="BK50" s="1636"/>
      <c r="BL50" s="1664">
        <f t="shared" si="291"/>
        <v>1</v>
      </c>
      <c r="BM50" s="1656">
        <f t="shared" ref="BM50:BO50" si="312">+BM14+BM20+BM26+BM32+BM38+BM44</f>
        <v>479784000</v>
      </c>
      <c r="BN50" s="1656">
        <f t="shared" si="312"/>
        <v>0</v>
      </c>
      <c r="BO50" s="1656">
        <f t="shared" si="312"/>
        <v>479784000</v>
      </c>
      <c r="BP50" s="1666"/>
      <c r="BQ50" s="1588"/>
      <c r="BR50" s="1641" t="b">
        <f t="shared" ref="BR50:BR51" si="313">+P50+W50+AD50+AR50+AY50+BF50+BM50=I50</f>
        <v>1</v>
      </c>
      <c r="BS50" s="1641" t="b">
        <f t="shared" si="294"/>
        <v>1</v>
      </c>
      <c r="BT50" s="1641"/>
      <c r="BU50" s="401"/>
      <c r="BV50" s="401"/>
      <c r="BW50" s="401"/>
      <c r="BX50" s="401"/>
      <c r="BY50" s="401"/>
      <c r="BZ50" s="401"/>
      <c r="CA50" s="401"/>
      <c r="CB50" s="401"/>
      <c r="CC50" s="404"/>
      <c r="CD50" s="404"/>
    </row>
    <row r="51" spans="1:82" ht="16.5" customHeight="1">
      <c r="A51" s="1649"/>
      <c r="B51" s="2514"/>
      <c r="C51" s="2514"/>
      <c r="D51" s="2516"/>
      <c r="E51" s="2514"/>
      <c r="F51" s="1667" t="s">
        <v>129</v>
      </c>
      <c r="G51" s="1656">
        <f t="shared" si="274"/>
        <v>0</v>
      </c>
      <c r="H51" s="1656"/>
      <c r="I51" s="1656">
        <f t="shared" si="274"/>
        <v>0</v>
      </c>
      <c r="J51" s="1667" t="str">
        <f t="shared" si="0"/>
        <v>-</v>
      </c>
      <c r="K51" s="1656">
        <f t="shared" ref="K51:L51" si="314">+K15+K21+K27+K33+K39+K45</f>
        <v>0</v>
      </c>
      <c r="L51" s="1656">
        <f t="shared" si="314"/>
        <v>0</v>
      </c>
      <c r="M51" s="1667"/>
      <c r="N51" s="1667"/>
      <c r="O51" s="1668" t="str">
        <f t="shared" si="276"/>
        <v>-</v>
      </c>
      <c r="P51" s="1656">
        <f t="shared" ref="P51:R51" si="315">+P15+P21+P27+P33+P39+P45</f>
        <v>0</v>
      </c>
      <c r="Q51" s="1656">
        <f t="shared" si="315"/>
        <v>0</v>
      </c>
      <c r="R51" s="1656">
        <f t="shared" si="315"/>
        <v>0</v>
      </c>
      <c r="S51" s="1667"/>
      <c r="T51" s="1667"/>
      <c r="U51" s="1667"/>
      <c r="V51" s="1668" t="str">
        <f t="shared" si="278"/>
        <v>-</v>
      </c>
      <c r="W51" s="1656">
        <f t="shared" ref="W51:Y51" si="316">+W15+W21+W27+W33+W39+W45</f>
        <v>0</v>
      </c>
      <c r="X51" s="1656">
        <f t="shared" si="316"/>
        <v>0</v>
      </c>
      <c r="Y51" s="1656">
        <f t="shared" si="316"/>
        <v>0</v>
      </c>
      <c r="Z51" s="1667"/>
      <c r="AA51" s="1667"/>
      <c r="AB51" s="1667"/>
      <c r="AC51" s="1668" t="str">
        <f t="shared" si="280"/>
        <v>-</v>
      </c>
      <c r="AD51" s="1656">
        <f t="shared" ref="AD51:AF51" si="317">+AD15+AD21+AD27+AD33+AD39+AD45</f>
        <v>0</v>
      </c>
      <c r="AE51" s="1656">
        <f t="shared" si="317"/>
        <v>0</v>
      </c>
      <c r="AF51" s="1656">
        <f t="shared" si="317"/>
        <v>0</v>
      </c>
      <c r="AG51" s="1667"/>
      <c r="AH51" s="1667"/>
      <c r="AI51" s="1667"/>
      <c r="AJ51" s="1668" t="str">
        <f t="shared" si="282"/>
        <v>-</v>
      </c>
      <c r="AK51" s="1656">
        <f t="shared" ref="AK51:AL51" si="318">+AK15+AK21+AK27+AK33+AK39+AK45</f>
        <v>0</v>
      </c>
      <c r="AL51" s="1656">
        <f t="shared" si="318"/>
        <v>0</v>
      </c>
      <c r="AM51" s="1658">
        <f t="shared" si="284"/>
        <v>0</v>
      </c>
      <c r="AN51" s="1667"/>
      <c r="AO51" s="1667"/>
      <c r="AP51" s="1667"/>
      <c r="AQ51" s="1668" t="str">
        <f t="shared" si="285"/>
        <v>-</v>
      </c>
      <c r="AR51" s="1656">
        <f t="shared" ref="AR51:AT51" si="319">+AR15+AR21+AR27+AR33+AR39+AR45</f>
        <v>0</v>
      </c>
      <c r="AS51" s="1656">
        <f t="shared" si="319"/>
        <v>0</v>
      </c>
      <c r="AT51" s="1656">
        <f t="shared" si="319"/>
        <v>0</v>
      </c>
      <c r="AU51" s="1667"/>
      <c r="AV51" s="1667"/>
      <c r="AW51" s="1667"/>
      <c r="AX51" s="1668" t="str">
        <f t="shared" si="287"/>
        <v>-</v>
      </c>
      <c r="AY51" s="1656">
        <f t="shared" ref="AY51:BA51" si="320">+AY15+AY21+AY27+AY33+AY39+AY45</f>
        <v>0</v>
      </c>
      <c r="AZ51" s="1656">
        <f t="shared" si="320"/>
        <v>0</v>
      </c>
      <c r="BA51" s="1656">
        <f t="shared" si="320"/>
        <v>0</v>
      </c>
      <c r="BB51" s="1667"/>
      <c r="BC51" s="1667"/>
      <c r="BD51" s="1667"/>
      <c r="BE51" s="1668" t="str">
        <f t="shared" si="289"/>
        <v>-</v>
      </c>
      <c r="BF51" s="1656">
        <f t="shared" ref="BF51:BH51" si="321">+BF15+BF21+BF27+BF33+BF39+BF45</f>
        <v>0</v>
      </c>
      <c r="BG51" s="1656">
        <f t="shared" si="321"/>
        <v>0</v>
      </c>
      <c r="BH51" s="1656">
        <f t="shared" si="321"/>
        <v>0</v>
      </c>
      <c r="BI51" s="1667"/>
      <c r="BJ51" s="1667"/>
      <c r="BK51" s="1667"/>
      <c r="BL51" s="1668" t="str">
        <f t="shared" si="291"/>
        <v>-</v>
      </c>
      <c r="BM51" s="1656">
        <f t="shared" ref="BM51:BO51" si="322">+BM15+BM21+BM27+BM33+BM39+BM45</f>
        <v>0</v>
      </c>
      <c r="BN51" s="1656">
        <f t="shared" si="322"/>
        <v>0</v>
      </c>
      <c r="BO51" s="1656">
        <f t="shared" si="322"/>
        <v>0</v>
      </c>
      <c r="BP51" s="1667"/>
      <c r="BQ51" s="1589"/>
      <c r="BR51" s="1642" t="b">
        <f t="shared" si="313"/>
        <v>1</v>
      </c>
      <c r="BS51" s="1643" t="b">
        <f t="shared" si="294"/>
        <v>1</v>
      </c>
      <c r="BT51" s="1643"/>
      <c r="BU51" s="401"/>
      <c r="BV51" s="401"/>
      <c r="BW51" s="401"/>
      <c r="BX51" s="401"/>
      <c r="BY51" s="401"/>
      <c r="BZ51" s="401"/>
      <c r="CA51" s="401"/>
      <c r="CB51" s="401"/>
      <c r="CC51" s="404"/>
      <c r="CD51" s="404"/>
    </row>
    <row r="52" spans="1:82">
      <c r="A52" s="1649"/>
      <c r="B52" s="2525"/>
      <c r="C52" s="2525"/>
      <c r="D52" s="2525"/>
      <c r="E52" s="2525"/>
      <c r="F52" s="1640" t="s">
        <v>130</v>
      </c>
      <c r="G52" s="1637">
        <f>SUM(G47:G51)</f>
        <v>4557948000</v>
      </c>
      <c r="H52" s="1637">
        <f>SUM(H47:H51)</f>
        <v>251886600</v>
      </c>
      <c r="I52" s="1637">
        <f t="shared" ref="I52" si="323">SUM(I47:I51)</f>
        <v>4809834600</v>
      </c>
      <c r="J52" s="1640">
        <f t="shared" si="0"/>
        <v>0.15390367061686486</v>
      </c>
      <c r="K52" s="1637">
        <f t="shared" ref="K52" si="324">SUM(K47:K51)</f>
        <v>740251200</v>
      </c>
      <c r="L52" s="1637">
        <f t="shared" ref="L52" si="325">SUM(L47:L51)</f>
        <v>4069583400</v>
      </c>
      <c r="M52" s="1638"/>
      <c r="N52" s="1640"/>
      <c r="O52" s="1639">
        <f t="shared" si="276"/>
        <v>0.12967581047381546</v>
      </c>
      <c r="P52" s="1637">
        <f t="shared" ref="P52:Q52" si="326">SUM(P47:P51)</f>
        <v>623719200</v>
      </c>
      <c r="Q52" s="1637">
        <f t="shared" si="326"/>
        <v>740251200</v>
      </c>
      <c r="R52" s="1669">
        <f t="shared" si="5"/>
        <v>-116532000</v>
      </c>
      <c r="S52" s="1640"/>
      <c r="T52" s="1638"/>
      <c r="U52" s="1640"/>
      <c r="V52" s="1639">
        <f t="shared" si="278"/>
        <v>6.4837905236907731E-2</v>
      </c>
      <c r="W52" s="1637">
        <f t="shared" ref="W52:X52" si="327">SUM(W47:W51)</f>
        <v>311859600</v>
      </c>
      <c r="X52" s="1637">
        <f t="shared" si="327"/>
        <v>0</v>
      </c>
      <c r="Y52" s="1669">
        <f t="shared" ref="Y52" si="328">+W52-X52</f>
        <v>311859600</v>
      </c>
      <c r="Z52" s="1640"/>
      <c r="AA52" s="1638"/>
      <c r="AB52" s="1640"/>
      <c r="AC52" s="1639">
        <f t="shared" si="280"/>
        <v>0.27007481296758107</v>
      </c>
      <c r="AD52" s="1637">
        <f t="shared" ref="AD52:AE52" si="329">SUM(AD47:AD51)</f>
        <v>1299015180</v>
      </c>
      <c r="AE52" s="1637">
        <f t="shared" si="329"/>
        <v>0</v>
      </c>
      <c r="AF52" s="1669">
        <f t="shared" ref="AF52" si="330">+AD52-AE52</f>
        <v>1299015180</v>
      </c>
      <c r="AG52" s="1640"/>
      <c r="AH52" s="1638"/>
      <c r="AI52" s="1640"/>
      <c r="AJ52" s="1639">
        <f t="shared" si="282"/>
        <v>0.23042394014962594</v>
      </c>
      <c r="AK52" s="1637">
        <f t="shared" ref="AK52:AL52" si="331">SUM(AK47:AK51)</f>
        <v>1108301040</v>
      </c>
      <c r="AL52" s="1637">
        <f t="shared" si="331"/>
        <v>0</v>
      </c>
      <c r="AM52" s="1669">
        <f t="shared" si="284"/>
        <v>1108301040</v>
      </c>
      <c r="AN52" s="1640"/>
      <c r="AO52" s="1638"/>
      <c r="AP52" s="1640"/>
      <c r="AQ52" s="1639">
        <f t="shared" si="285"/>
        <v>0</v>
      </c>
      <c r="AR52" s="1637">
        <f t="shared" ref="AR52:AS52" si="332">SUM(AR47:AR51)</f>
        <v>0</v>
      </c>
      <c r="AS52" s="1637">
        <f t="shared" si="332"/>
        <v>0</v>
      </c>
      <c r="AT52" s="1669">
        <f t="shared" ref="AT52" si="333">+AR52-AS52</f>
        <v>0</v>
      </c>
      <c r="AU52" s="1640"/>
      <c r="AV52" s="1638"/>
      <c r="AW52" s="1640"/>
      <c r="AX52" s="1639">
        <f t="shared" si="287"/>
        <v>0</v>
      </c>
      <c r="AY52" s="1637">
        <f t="shared" ref="AY52:AZ52" si="334">SUM(AY47:AY51)</f>
        <v>0</v>
      </c>
      <c r="AZ52" s="1637">
        <f t="shared" si="334"/>
        <v>0</v>
      </c>
      <c r="BA52" s="1669">
        <f t="shared" ref="BA52" si="335">+AY52-AZ52</f>
        <v>0</v>
      </c>
      <c r="BB52" s="1640"/>
      <c r="BC52" s="1638"/>
      <c r="BD52" s="1640"/>
      <c r="BE52" s="1639">
        <f t="shared" si="289"/>
        <v>0</v>
      </c>
      <c r="BF52" s="1637">
        <f t="shared" ref="BF52:BG52" si="336">SUM(BF47:BF51)</f>
        <v>0</v>
      </c>
      <c r="BG52" s="1637">
        <f t="shared" si="336"/>
        <v>0</v>
      </c>
      <c r="BH52" s="1669">
        <f t="shared" ref="BH52" si="337">+BF52-BG52</f>
        <v>0</v>
      </c>
      <c r="BI52" s="1640"/>
      <c r="BJ52" s="1638"/>
      <c r="BK52" s="1640"/>
      <c r="BL52" s="1639">
        <f t="shared" si="291"/>
        <v>0.30498753117206984</v>
      </c>
      <c r="BM52" s="1637">
        <f t="shared" ref="BM52:BN52" si="338">SUM(BM47:BM51)</f>
        <v>1466939580</v>
      </c>
      <c r="BN52" s="1637">
        <f t="shared" si="338"/>
        <v>0</v>
      </c>
      <c r="BO52" s="1669">
        <f t="shared" ref="BO52" si="339">+BM52-BN52</f>
        <v>1466939580</v>
      </c>
      <c r="BP52" s="1640"/>
      <c r="BQ52" s="1589"/>
      <c r="BR52" s="1644"/>
      <c r="BS52" s="1645"/>
      <c r="BT52" s="1645"/>
      <c r="BU52" s="401"/>
      <c r="BV52" s="401"/>
      <c r="BW52" s="401"/>
      <c r="BX52" s="401"/>
      <c r="BY52" s="401"/>
      <c r="BZ52" s="401"/>
      <c r="CA52" s="401"/>
      <c r="CB52" s="401"/>
      <c r="CC52" s="404"/>
      <c r="CD52" s="404"/>
    </row>
    <row r="53" spans="1:82">
      <c r="B53" s="1767"/>
      <c r="C53" s="1767"/>
      <c r="D53" s="1767"/>
      <c r="E53" s="1767"/>
      <c r="G53" s="1651"/>
      <c r="H53" s="1651"/>
    </row>
    <row r="54" spans="1:82">
      <c r="G54" s="1651"/>
      <c r="H54" s="1651"/>
    </row>
    <row r="56" spans="1:82">
      <c r="D56" s="1616"/>
    </row>
    <row r="59" spans="1:82">
      <c r="W59" s="1616"/>
      <c r="Y59" s="1616"/>
      <c r="AA59" s="1616"/>
      <c r="AC59" s="1616"/>
      <c r="AH59" s="1616"/>
      <c r="AJ59" s="1616"/>
      <c r="AO59" s="1616"/>
      <c r="AQ59" s="1616"/>
      <c r="AV59" s="1616"/>
      <c r="AX59" s="1616"/>
      <c r="BC59" s="1616"/>
      <c r="BE59" s="1616"/>
      <c r="BJ59" s="1616"/>
      <c r="BL59" s="1616"/>
      <c r="BR59" s="1616"/>
      <c r="BS59" s="1652"/>
      <c r="BV59" s="1652"/>
    </row>
  </sheetData>
  <mergeCells count="46">
    <mergeCell ref="B8:C8"/>
    <mergeCell ref="B9:B10"/>
    <mergeCell ref="C9:C10"/>
    <mergeCell ref="D9:D10"/>
    <mergeCell ref="E9:E10"/>
    <mergeCell ref="B17:B22"/>
    <mergeCell ref="C17:C22"/>
    <mergeCell ref="D17:D22"/>
    <mergeCell ref="E17:E22"/>
    <mergeCell ref="AA9:AG9"/>
    <mergeCell ref="G9:G10"/>
    <mergeCell ref="I9:I10"/>
    <mergeCell ref="J9:L9"/>
    <mergeCell ref="M9:S9"/>
    <mergeCell ref="T9:Z9"/>
    <mergeCell ref="F9:F10"/>
    <mergeCell ref="BR9:BT10"/>
    <mergeCell ref="B11:B16"/>
    <mergeCell ref="C11:C16"/>
    <mergeCell ref="D11:D16"/>
    <mergeCell ref="E11:E16"/>
    <mergeCell ref="AH9:AN9"/>
    <mergeCell ref="AO9:AU9"/>
    <mergeCell ref="AV9:BB9"/>
    <mergeCell ref="BC9:BI9"/>
    <mergeCell ref="BJ9:BP9"/>
    <mergeCell ref="H9:H10"/>
    <mergeCell ref="B23:B28"/>
    <mergeCell ref="C23:C28"/>
    <mergeCell ref="D23:D28"/>
    <mergeCell ref="E23:E28"/>
    <mergeCell ref="B29:B34"/>
    <mergeCell ref="C29:C34"/>
    <mergeCell ref="D29:D34"/>
    <mergeCell ref="E29:E34"/>
    <mergeCell ref="B47:C52"/>
    <mergeCell ref="D47:D52"/>
    <mergeCell ref="E47:E52"/>
    <mergeCell ref="B35:B40"/>
    <mergeCell ref="C35:C40"/>
    <mergeCell ref="D35:D40"/>
    <mergeCell ref="E35:E40"/>
    <mergeCell ref="B41:B46"/>
    <mergeCell ref="C41:C46"/>
    <mergeCell ref="D41:D46"/>
    <mergeCell ref="E41:E46"/>
  </mergeCells>
  <phoneticPr fontId="19" type="noConversion"/>
  <printOptions horizontalCentered="1"/>
  <pageMargins left="0" right="0" top="0.39370078740157483" bottom="0" header="0" footer="0"/>
  <pageSetup paperSize="8" scale="2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44EF-E775-4418-AB23-3727EC0F49EF}">
  <sheetPr>
    <tabColor rgb="FF00B050"/>
    <pageSetUpPr fitToPage="1"/>
  </sheetPr>
  <dimension ref="A1:CD47"/>
  <sheetViews>
    <sheetView showGridLines="0" zoomScale="85" zoomScaleNormal="85" zoomScaleSheetLayoutView="55" workbookViewId="0">
      <pane xSplit="9" ySplit="10" topLeftCell="J11" activePane="bottomRight" state="frozen"/>
      <selection activeCell="B4" sqref="B4:E19"/>
      <selection pane="topRight" activeCell="B4" sqref="B4:E19"/>
      <selection pane="bottomLeft" activeCell="B4" sqref="B4:E19"/>
      <selection pane="bottomRight" activeCell="B4" sqref="B4:E19"/>
    </sheetView>
  </sheetViews>
  <sheetFormatPr defaultColWidth="9" defaultRowHeight="12.75" outlineLevelCol="1"/>
  <cols>
    <col min="1" max="1" width="1.625" style="1600" customWidth="1"/>
    <col min="2" max="2" width="4.875" style="1600" customWidth="1"/>
    <col min="3" max="3" width="17.625" style="1600" customWidth="1"/>
    <col min="4" max="4" width="12.625" style="1600" customWidth="1"/>
    <col min="5" max="5" width="12.375" style="1600" customWidth="1"/>
    <col min="6" max="6" width="17" style="1600" customWidth="1"/>
    <col min="7" max="9" width="11.625" style="1600" customWidth="1"/>
    <col min="10" max="10" width="6.625" style="1600" customWidth="1"/>
    <col min="11" max="12" width="11.625" style="1600" customWidth="1"/>
    <col min="13" max="14" width="10.125" style="1600" customWidth="1"/>
    <col min="15" max="15" width="6.625" style="1600" customWidth="1"/>
    <col min="16" max="18" width="11.625" style="1600" customWidth="1"/>
    <col min="19" max="19" width="9.75" style="1600" bestFit="1" customWidth="1"/>
    <col min="20" max="21" width="10.125" style="1600" customWidth="1"/>
    <col min="22" max="22" width="6.625" style="1600" customWidth="1"/>
    <col min="23" max="25" width="11.625" style="1600" customWidth="1"/>
    <col min="26" max="26" width="12.125" style="1600" customWidth="1"/>
    <col min="27" max="28" width="10.125" style="1600" customWidth="1"/>
    <col min="29" max="29" width="6.625" style="1600" customWidth="1"/>
    <col min="30" max="32" width="11.625" style="1600" customWidth="1"/>
    <col min="33" max="33" width="12.125" style="1600" customWidth="1"/>
    <col min="34" max="35" width="10.125" style="1600" customWidth="1" outlineLevel="1"/>
    <col min="36" max="36" width="6.625" style="1600" customWidth="1" outlineLevel="1"/>
    <col min="37" max="39" width="11.625" style="1600" customWidth="1" outlineLevel="1"/>
    <col min="40" max="40" width="12.125" style="1600" customWidth="1" outlineLevel="1"/>
    <col min="41" max="42" width="10.125" style="1600" customWidth="1"/>
    <col min="43" max="43" width="6.625" style="1600" customWidth="1"/>
    <col min="44" max="46" width="11.625" style="1600" customWidth="1"/>
    <col min="47" max="47" width="12.125" style="1600" customWidth="1"/>
    <col min="48" max="49" width="10.125" style="1600" customWidth="1"/>
    <col min="50" max="50" width="6.625" style="1600" customWidth="1"/>
    <col min="51" max="53" width="11.625" style="1600" customWidth="1"/>
    <col min="54" max="54" width="12.125" style="1600" customWidth="1"/>
    <col min="55" max="56" width="10.125" style="1600" customWidth="1"/>
    <col min="57" max="57" width="6.625" style="1600" customWidth="1"/>
    <col min="58" max="60" width="11.625" style="1600" customWidth="1"/>
    <col min="61" max="61" width="12.125" style="1600" customWidth="1"/>
    <col min="62" max="63" width="10.125" style="1600" customWidth="1"/>
    <col min="64" max="64" width="6.625" style="1600" customWidth="1"/>
    <col min="65" max="67" width="11.625" style="1600" customWidth="1"/>
    <col min="68" max="68" width="12.125" style="1600" customWidth="1"/>
    <col min="69" max="69" width="1.625" style="1600" customWidth="1"/>
    <col min="70" max="72" width="9.625" style="1600" customWidth="1"/>
    <col min="73" max="73" width="12.125" style="1600" customWidth="1"/>
    <col min="74" max="74" width="1.625" style="1600" customWidth="1"/>
    <col min="75" max="76" width="13.625" style="1600" customWidth="1"/>
    <col min="77" max="77" width="12.125" style="1600" customWidth="1"/>
    <col min="78" max="78" width="15" style="1600" bestFit="1" customWidth="1"/>
    <col min="79" max="16384" width="9" style="1600"/>
  </cols>
  <sheetData>
    <row r="1" spans="1:82" s="1599" customFormat="1">
      <c r="BV1" s="1600"/>
      <c r="BY1" s="1600"/>
    </row>
    <row r="2" spans="1:82" s="1599" customFormat="1">
      <c r="B2" s="1599" t="s">
        <v>181</v>
      </c>
      <c r="BV2" s="1600"/>
      <c r="BY2" s="1600"/>
    </row>
    <row r="3" spans="1:82" s="1599" customFormat="1">
      <c r="B3" s="1599" t="s">
        <v>182</v>
      </c>
      <c r="BV3" s="1600"/>
      <c r="BY3" s="1600"/>
    </row>
    <row r="4" spans="1:82" s="1599" customFormat="1">
      <c r="B4" s="1599" t="s">
        <v>184</v>
      </c>
      <c r="BV4" s="1600"/>
      <c r="BY4" s="1600"/>
    </row>
    <row r="5" spans="1:82" s="1599" customFormat="1">
      <c r="B5" s="1599" t="s">
        <v>186</v>
      </c>
      <c r="BV5" s="1600"/>
      <c r="BY5" s="1600"/>
    </row>
    <row r="6" spans="1:82" s="1599" customFormat="1">
      <c r="B6" s="1599" t="s">
        <v>188</v>
      </c>
      <c r="BV6" s="1600"/>
      <c r="BY6" s="1600"/>
    </row>
    <row r="7" spans="1:82" s="1599" customFormat="1">
      <c r="B7" s="1599" t="s">
        <v>190</v>
      </c>
      <c r="BV7" s="1600"/>
      <c r="BY7" s="1600"/>
    </row>
    <row r="8" spans="1:82">
      <c r="A8" s="401"/>
      <c r="B8" s="2522"/>
      <c r="C8" s="2522"/>
      <c r="D8" s="1601"/>
      <c r="E8" s="1601"/>
      <c r="F8" s="401"/>
      <c r="G8" s="1648"/>
      <c r="H8" s="1648"/>
      <c r="I8" s="1648"/>
      <c r="J8" s="401"/>
      <c r="K8" s="401"/>
      <c r="L8" s="401"/>
      <c r="M8" s="401"/>
      <c r="N8" s="401"/>
      <c r="O8" s="401"/>
      <c r="P8" s="401"/>
      <c r="Q8" s="401"/>
      <c r="R8" s="401"/>
      <c r="S8" s="401"/>
      <c r="T8" s="401"/>
      <c r="U8" s="401"/>
      <c r="V8" s="401"/>
      <c r="W8" s="401"/>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c r="BK8" s="401"/>
      <c r="BL8" s="401"/>
      <c r="BM8" s="401"/>
      <c r="BN8" s="401"/>
      <c r="BO8" s="401"/>
      <c r="BP8" s="401"/>
      <c r="BQ8" s="404"/>
      <c r="BR8" s="401"/>
      <c r="BS8" s="401"/>
      <c r="BT8" s="401"/>
      <c r="BU8" s="401"/>
      <c r="BV8" s="401"/>
      <c r="BW8" s="401"/>
      <c r="BX8" s="401"/>
      <c r="BY8" s="401"/>
      <c r="BZ8" s="401"/>
      <c r="CA8" s="401"/>
      <c r="CB8" s="401"/>
      <c r="CC8" s="401"/>
      <c r="CD8" s="401"/>
    </row>
    <row r="9" spans="1:82" ht="28.15" customHeight="1">
      <c r="A9" s="401"/>
      <c r="B9" s="2375" t="s">
        <v>98</v>
      </c>
      <c r="C9" s="2375" t="s">
        <v>99</v>
      </c>
      <c r="D9" s="2373" t="s">
        <v>100</v>
      </c>
      <c r="E9" s="2523" t="s">
        <v>101</v>
      </c>
      <c r="F9" s="2373" t="s">
        <v>102</v>
      </c>
      <c r="G9" s="2373" t="s">
        <v>103</v>
      </c>
      <c r="H9" s="2373" t="s">
        <v>104</v>
      </c>
      <c r="I9" s="2373" t="s">
        <v>218</v>
      </c>
      <c r="J9" s="2521" t="s">
        <v>106</v>
      </c>
      <c r="K9" s="2521"/>
      <c r="L9" s="2521"/>
      <c r="M9" s="2521" t="s">
        <v>107</v>
      </c>
      <c r="N9" s="2521"/>
      <c r="O9" s="2521"/>
      <c r="P9" s="2521"/>
      <c r="Q9" s="2521"/>
      <c r="R9" s="2521"/>
      <c r="S9" s="2521"/>
      <c r="T9" s="2521" t="s">
        <v>108</v>
      </c>
      <c r="U9" s="2521"/>
      <c r="V9" s="2521"/>
      <c r="W9" s="2521"/>
      <c r="X9" s="2521"/>
      <c r="Y9" s="2521"/>
      <c r="Z9" s="2521"/>
      <c r="AA9" s="2547" t="s">
        <v>109</v>
      </c>
      <c r="AB9" s="2548"/>
      <c r="AC9" s="2548"/>
      <c r="AD9" s="2548"/>
      <c r="AE9" s="2548"/>
      <c r="AF9" s="2548"/>
      <c r="AG9" s="2549"/>
      <c r="AH9" s="2547" t="s">
        <v>110</v>
      </c>
      <c r="AI9" s="2548"/>
      <c r="AJ9" s="2548"/>
      <c r="AK9" s="2548"/>
      <c r="AL9" s="2548"/>
      <c r="AM9" s="2548"/>
      <c r="AN9" s="2549"/>
      <c r="AO9" s="2547" t="s">
        <v>111</v>
      </c>
      <c r="AP9" s="2548"/>
      <c r="AQ9" s="2548"/>
      <c r="AR9" s="2548"/>
      <c r="AS9" s="2548"/>
      <c r="AT9" s="2548"/>
      <c r="AU9" s="2549"/>
      <c r="AV9" s="2547" t="s">
        <v>112</v>
      </c>
      <c r="AW9" s="2548"/>
      <c r="AX9" s="2548"/>
      <c r="AY9" s="2548"/>
      <c r="AZ9" s="2548"/>
      <c r="BA9" s="2548"/>
      <c r="BB9" s="2549"/>
      <c r="BC9" s="2547" t="s">
        <v>113</v>
      </c>
      <c r="BD9" s="2548"/>
      <c r="BE9" s="2548"/>
      <c r="BF9" s="2548"/>
      <c r="BG9" s="2548"/>
      <c r="BH9" s="2548"/>
      <c r="BI9" s="2549"/>
      <c r="BJ9" s="2547" t="s">
        <v>209</v>
      </c>
      <c r="BK9" s="2548"/>
      <c r="BL9" s="2548"/>
      <c r="BM9" s="2548"/>
      <c r="BN9" s="2548"/>
      <c r="BO9" s="2548"/>
      <c r="BP9" s="2549"/>
      <c r="BQ9" s="1646"/>
      <c r="BR9" s="2521" t="s">
        <v>114</v>
      </c>
      <c r="BS9" s="2521"/>
      <c r="BT9" s="2521"/>
      <c r="BU9" s="401"/>
      <c r="BV9" s="401"/>
      <c r="BW9" s="401"/>
      <c r="BX9" s="401"/>
      <c r="BY9" s="401"/>
      <c r="BZ9" s="401"/>
      <c r="CA9" s="401"/>
      <c r="CB9" s="401"/>
      <c r="CC9" s="404"/>
      <c r="CD9" s="404"/>
    </row>
    <row r="10" spans="1:82" ht="42" customHeight="1">
      <c r="A10" s="401"/>
      <c r="B10" s="2376"/>
      <c r="C10" s="2376"/>
      <c r="D10" s="2374"/>
      <c r="E10" s="2524"/>
      <c r="F10" s="2374"/>
      <c r="G10" s="2374"/>
      <c r="H10" s="2374"/>
      <c r="I10" s="2374"/>
      <c r="J10" s="1590" t="s">
        <v>115</v>
      </c>
      <c r="K10" s="1590" t="s">
        <v>116</v>
      </c>
      <c r="L10" s="1590" t="s">
        <v>117</v>
      </c>
      <c r="M10" s="1590" t="s">
        <v>219</v>
      </c>
      <c r="N10" s="1590" t="s">
        <v>119</v>
      </c>
      <c r="O10" s="1590" t="s">
        <v>115</v>
      </c>
      <c r="P10" s="1590" t="s">
        <v>120</v>
      </c>
      <c r="Q10" s="1590" t="s">
        <v>121</v>
      </c>
      <c r="R10" s="1590" t="s">
        <v>122</v>
      </c>
      <c r="S10" s="1590" t="s">
        <v>123</v>
      </c>
      <c r="T10" s="1590" t="s">
        <v>118</v>
      </c>
      <c r="U10" s="1590" t="s">
        <v>119</v>
      </c>
      <c r="V10" s="1590" t="s">
        <v>115</v>
      </c>
      <c r="W10" s="1590" t="s">
        <v>120</v>
      </c>
      <c r="X10" s="1590" t="s">
        <v>121</v>
      </c>
      <c r="Y10" s="1590" t="s">
        <v>122</v>
      </c>
      <c r="Z10" s="1590" t="s">
        <v>123</v>
      </c>
      <c r="AA10" s="1590" t="s">
        <v>118</v>
      </c>
      <c r="AB10" s="1590" t="s">
        <v>119</v>
      </c>
      <c r="AC10" s="1590" t="s">
        <v>115</v>
      </c>
      <c r="AD10" s="1590" t="s">
        <v>120</v>
      </c>
      <c r="AE10" s="1590" t="s">
        <v>121</v>
      </c>
      <c r="AF10" s="1590" t="s">
        <v>122</v>
      </c>
      <c r="AG10" s="1590" t="s">
        <v>123</v>
      </c>
      <c r="AH10" s="1590" t="s">
        <v>118</v>
      </c>
      <c r="AI10" s="1590" t="s">
        <v>119</v>
      </c>
      <c r="AJ10" s="1590" t="s">
        <v>115</v>
      </c>
      <c r="AK10" s="1590" t="s">
        <v>120</v>
      </c>
      <c r="AL10" s="1590" t="s">
        <v>121</v>
      </c>
      <c r="AM10" s="1590" t="s">
        <v>122</v>
      </c>
      <c r="AN10" s="1590" t="s">
        <v>123</v>
      </c>
      <c r="AO10" s="1590" t="s">
        <v>118</v>
      </c>
      <c r="AP10" s="1590" t="s">
        <v>119</v>
      </c>
      <c r="AQ10" s="1590" t="s">
        <v>115</v>
      </c>
      <c r="AR10" s="1590" t="s">
        <v>120</v>
      </c>
      <c r="AS10" s="1590" t="s">
        <v>121</v>
      </c>
      <c r="AT10" s="1590" t="s">
        <v>122</v>
      </c>
      <c r="AU10" s="1590" t="s">
        <v>123</v>
      </c>
      <c r="AV10" s="1590" t="s">
        <v>118</v>
      </c>
      <c r="AW10" s="1590" t="s">
        <v>119</v>
      </c>
      <c r="AX10" s="1590" t="s">
        <v>115</v>
      </c>
      <c r="AY10" s="1590" t="s">
        <v>120</v>
      </c>
      <c r="AZ10" s="1590" t="s">
        <v>121</v>
      </c>
      <c r="BA10" s="1590" t="s">
        <v>122</v>
      </c>
      <c r="BB10" s="1590" t="s">
        <v>123</v>
      </c>
      <c r="BC10" s="1590" t="s">
        <v>118</v>
      </c>
      <c r="BD10" s="1590" t="s">
        <v>119</v>
      </c>
      <c r="BE10" s="1590" t="s">
        <v>115</v>
      </c>
      <c r="BF10" s="1590" t="s">
        <v>120</v>
      </c>
      <c r="BG10" s="1590" t="s">
        <v>121</v>
      </c>
      <c r="BH10" s="1590" t="s">
        <v>122</v>
      </c>
      <c r="BI10" s="1590" t="s">
        <v>123</v>
      </c>
      <c r="BJ10" s="1590" t="s">
        <v>118</v>
      </c>
      <c r="BK10" s="1590" t="s">
        <v>119</v>
      </c>
      <c r="BL10" s="1590" t="s">
        <v>115</v>
      </c>
      <c r="BM10" s="1590" t="s">
        <v>120</v>
      </c>
      <c r="BN10" s="1590" t="s">
        <v>121</v>
      </c>
      <c r="BO10" s="1590" t="s">
        <v>122</v>
      </c>
      <c r="BP10" s="1590" t="s">
        <v>123</v>
      </c>
      <c r="BQ10" s="1647"/>
      <c r="BR10" s="2521"/>
      <c r="BS10" s="2521"/>
      <c r="BT10" s="2521"/>
      <c r="BU10" s="401"/>
      <c r="BV10" s="401"/>
      <c r="BW10" s="401"/>
      <c r="BX10" s="401"/>
      <c r="BY10" s="401"/>
      <c r="BZ10" s="401"/>
      <c r="CA10" s="401"/>
      <c r="CB10" s="401"/>
      <c r="CC10" s="404"/>
      <c r="CD10" s="404"/>
    </row>
    <row r="11" spans="1:82" ht="13.5" customHeight="1">
      <c r="A11" s="1649"/>
      <c r="B11" s="2517">
        <v>1</v>
      </c>
      <c r="C11" s="2520" t="s">
        <v>226</v>
      </c>
      <c r="D11" s="2518">
        <v>993.6</v>
      </c>
      <c r="E11" s="2518" t="s">
        <v>124</v>
      </c>
      <c r="F11" s="1659" t="s">
        <v>125</v>
      </c>
      <c r="G11" s="1596">
        <f>+'PAYMENT RATIO_RAW'!F$15*'GM Batch2-SPA'!$D$11/1000</f>
        <v>1043280000</v>
      </c>
      <c r="H11" s="1596">
        <f>+G11*10%</f>
        <v>104328000</v>
      </c>
      <c r="I11" s="1596">
        <f>SUM(G11:H11)</f>
        <v>1147608000</v>
      </c>
      <c r="J11" s="1676">
        <f t="shared" ref="J11:J40" si="0">+IFERROR(K11/I11,"-")</f>
        <v>0</v>
      </c>
      <c r="K11" s="1670">
        <f>+IFERROR(Q11+X11+AE11+AS11+AZ11+BG11+BN11,"-")</f>
        <v>0</v>
      </c>
      <c r="L11" s="1670">
        <f>+I11-K11</f>
        <v>1147608000</v>
      </c>
      <c r="M11" s="1586"/>
      <c r="N11" s="1586"/>
      <c r="O11" s="1660">
        <f t="shared" ref="O11:O14" si="1">+IFERROR(P11/$I11,"-")</f>
        <v>0</v>
      </c>
      <c r="P11" s="1654">
        <f>+$I11*'PAYMENT RATIO_RAW'!G$15</f>
        <v>0</v>
      </c>
      <c r="Q11" s="1678"/>
      <c r="R11" s="1678">
        <f>+P11-Q11</f>
        <v>0</v>
      </c>
      <c r="S11" s="1679"/>
      <c r="T11" s="1625"/>
      <c r="U11" s="1586"/>
      <c r="V11" s="1677"/>
      <c r="W11" s="1654">
        <f>+$I11*'PAYMENT RATIO_RAW'!N$15</f>
        <v>0</v>
      </c>
      <c r="X11" s="1678"/>
      <c r="Y11" s="1678">
        <f>+W11-X11</f>
        <v>0</v>
      </c>
      <c r="Z11" s="1679"/>
      <c r="AA11" s="1625">
        <f>+EDATE(AH11,-1)</f>
        <v>46254</v>
      </c>
      <c r="AB11" s="1586"/>
      <c r="AC11" s="1677">
        <f>+IFERROR(AD11/$I11,"-")</f>
        <v>0.3</v>
      </c>
      <c r="AD11" s="1654">
        <f>+'PAYMENT RATIO_RAW'!$U$15*I11</f>
        <v>344282400</v>
      </c>
      <c r="AE11" s="1678"/>
      <c r="AF11" s="1678">
        <f>+AD11-AE11</f>
        <v>344282400</v>
      </c>
      <c r="AG11" s="1679"/>
      <c r="AH11" s="1625">
        <f>+EDATE(AO11,-1)</f>
        <v>46285</v>
      </c>
      <c r="AI11" s="1585"/>
      <c r="AJ11" s="1677">
        <f>+IFERROR(AK11/$I11,"-")</f>
        <v>0.4</v>
      </c>
      <c r="AK11" s="1654">
        <f>+'PAYMENT RATIO_RAW'!$AB$15*I11</f>
        <v>459043200</v>
      </c>
      <c r="AL11" s="1678"/>
      <c r="AM11" s="1678">
        <f>+AK11-AL11</f>
        <v>459043200</v>
      </c>
      <c r="AN11" s="1679"/>
      <c r="AO11" s="1625">
        <f>+EDATE(AV11,-1)</f>
        <v>46315</v>
      </c>
      <c r="AP11" s="1586"/>
      <c r="AQ11" s="1677">
        <f>+IFERROR(AR11/$I11,"-")</f>
        <v>0</v>
      </c>
      <c r="AR11" s="1654">
        <f>+$I11*'PAYMENT RATIO_RAW'!AI$15</f>
        <v>0</v>
      </c>
      <c r="AS11" s="1678"/>
      <c r="AT11" s="1678">
        <f>+AR11-AS11</f>
        <v>0</v>
      </c>
      <c r="AU11" s="1679"/>
      <c r="AV11" s="1625">
        <f>+EDATE(BC11,-1)</f>
        <v>46346</v>
      </c>
      <c r="AW11" s="1586"/>
      <c r="AX11" s="1677">
        <f>+IFERROR(AY11/$I11,"-")</f>
        <v>0</v>
      </c>
      <c r="AY11" s="1654">
        <f>+$I11*'PAYMENT RATIO_RAW'!AP$15</f>
        <v>0</v>
      </c>
      <c r="AZ11" s="1678"/>
      <c r="BA11" s="1678">
        <f>+AY11-AZ11</f>
        <v>0</v>
      </c>
      <c r="BB11" s="1679"/>
      <c r="BC11" s="1625">
        <f>+EDATE(BJ11,-1)</f>
        <v>46376</v>
      </c>
      <c r="BD11" s="1586"/>
      <c r="BE11" s="1677">
        <f>+IFERROR(BF11/$I11,"-")</f>
        <v>0</v>
      </c>
      <c r="BF11" s="1654">
        <f>+$I11*'PAYMENT RATIO_RAW'!AW$15</f>
        <v>0</v>
      </c>
      <c r="BG11" s="1678"/>
      <c r="BH11" s="1678">
        <f>+BF11-BG11</f>
        <v>0</v>
      </c>
      <c r="BI11" s="1679"/>
      <c r="BJ11" s="1625">
        <v>46407</v>
      </c>
      <c r="BK11" s="1586"/>
      <c r="BL11" s="1677">
        <f>+IFERROR(BM11/$I11,"-")</f>
        <v>0.3</v>
      </c>
      <c r="BM11" s="1654">
        <f>+'PAYMENT RATIO_RAW'!$BD$15*I11</f>
        <v>344282400</v>
      </c>
      <c r="BN11" s="1678"/>
      <c r="BO11" s="1678">
        <f>+BM11-BN11</f>
        <v>344282400</v>
      </c>
      <c r="BP11" s="1679"/>
      <c r="BQ11" s="1588"/>
      <c r="BR11" s="1587" t="b">
        <f>+P11+W11+AD11+AK11+AR11+AY11+BF11+BM11=I11</f>
        <v>1</v>
      </c>
      <c r="BS11" s="1587" t="b">
        <f>+Q11+X11+AE11+AS11+AZ11+BG11+BN11=K11</f>
        <v>1</v>
      </c>
      <c r="BT11" s="1587"/>
      <c r="BU11" s="401"/>
      <c r="BV11" s="401"/>
      <c r="BW11" s="401"/>
      <c r="BX11" s="401"/>
      <c r="BY11" s="401"/>
      <c r="BZ11" s="401"/>
      <c r="CA11" s="401"/>
      <c r="CB11" s="401"/>
      <c r="CC11" s="404"/>
      <c r="CD11" s="404"/>
    </row>
    <row r="12" spans="1:82" ht="13.5" customHeight="1">
      <c r="A12" s="1649"/>
      <c r="B12" s="2517"/>
      <c r="C12" s="2520"/>
      <c r="D12" s="2518"/>
      <c r="E12" s="2518"/>
      <c r="F12" s="1661" t="s">
        <v>126</v>
      </c>
      <c r="G12" s="2543">
        <v>223820970</v>
      </c>
      <c r="H12" s="2543"/>
      <c r="I12" s="2543">
        <f>SUM(G12:H13)</f>
        <v>223820970</v>
      </c>
      <c r="J12" s="2550">
        <f t="shared" si="0"/>
        <v>1</v>
      </c>
      <c r="K12" s="2543">
        <f>+IFERROR(Q12+X12+AE12+AS12+AZ12+BG12+BN12,"-")</f>
        <v>223820970</v>
      </c>
      <c r="L12" s="2543">
        <f>+I12-K12</f>
        <v>0</v>
      </c>
      <c r="M12" s="2541">
        <v>45863</v>
      </c>
      <c r="N12" s="2541">
        <v>45863</v>
      </c>
      <c r="O12" s="2545">
        <f t="shared" si="1"/>
        <v>1</v>
      </c>
      <c r="P12" s="2543">
        <f>+I12</f>
        <v>223820970</v>
      </c>
      <c r="Q12" s="2543">
        <v>223820970</v>
      </c>
      <c r="R12" s="2543">
        <f>+P12-Q12</f>
        <v>0</v>
      </c>
      <c r="S12" s="2543"/>
      <c r="T12" s="2541"/>
      <c r="U12" s="2541"/>
      <c r="V12" s="2545">
        <f t="shared" ref="V12" si="2">+IFERROR(W12/$I12,"-")</f>
        <v>0</v>
      </c>
      <c r="W12" s="2543"/>
      <c r="X12" s="2543"/>
      <c r="Y12" s="2543"/>
      <c r="Z12" s="2543"/>
      <c r="AA12" s="2541"/>
      <c r="AB12" s="2541"/>
      <c r="AC12" s="2545">
        <f t="shared" ref="AC12" si="3">+IFERROR(AD12/$I12,"-")</f>
        <v>0</v>
      </c>
      <c r="AD12" s="2543"/>
      <c r="AE12" s="2543"/>
      <c r="AF12" s="2543"/>
      <c r="AG12" s="2543"/>
      <c r="AH12" s="2541"/>
      <c r="AI12" s="2541"/>
      <c r="AJ12" s="2545">
        <f t="shared" ref="AJ12" si="4">+IFERROR(AK12/$I12,"-")</f>
        <v>0</v>
      </c>
      <c r="AK12" s="2543">
        <f>+AD12</f>
        <v>0</v>
      </c>
      <c r="AL12" s="2543"/>
      <c r="AM12" s="2543"/>
      <c r="AN12" s="2543"/>
      <c r="AO12" s="2541"/>
      <c r="AP12" s="2541"/>
      <c r="AQ12" s="2545">
        <f t="shared" ref="AQ12" si="5">+IFERROR(AR12/$I12,"-")</f>
        <v>0</v>
      </c>
      <c r="AR12" s="2543">
        <f>+AK12</f>
        <v>0</v>
      </c>
      <c r="AS12" s="2543"/>
      <c r="AT12" s="2543"/>
      <c r="AU12" s="2543"/>
      <c r="AV12" s="2541"/>
      <c r="AW12" s="2541"/>
      <c r="AX12" s="2545">
        <f t="shared" ref="AX12" si="6">+IFERROR(AY12/$I12,"-")</f>
        <v>0</v>
      </c>
      <c r="AY12" s="2543">
        <f>+AR12</f>
        <v>0</v>
      </c>
      <c r="AZ12" s="2543"/>
      <c r="BA12" s="2543"/>
      <c r="BB12" s="2543"/>
      <c r="BC12" s="2541"/>
      <c r="BD12" s="2541"/>
      <c r="BE12" s="2545">
        <f t="shared" ref="BE12" si="7">+IFERROR(BF12/$I12,"-")</f>
        <v>0</v>
      </c>
      <c r="BF12" s="2543"/>
      <c r="BG12" s="2543"/>
      <c r="BH12" s="2543"/>
      <c r="BI12" s="2543"/>
      <c r="BJ12" s="2541"/>
      <c r="BK12" s="2541"/>
      <c r="BL12" s="2545">
        <f t="shared" ref="BL12" si="8">+IFERROR(BM12/$I12,"-")</f>
        <v>0</v>
      </c>
      <c r="BM12" s="2543"/>
      <c r="BN12" s="2543"/>
      <c r="BO12" s="2543"/>
      <c r="BP12" s="2543"/>
      <c r="BQ12" s="1588"/>
      <c r="BR12" s="1587" t="b">
        <f>+BM12+BF12+AY12+AR12+AD12+W12+P12=I12</f>
        <v>1</v>
      </c>
      <c r="BS12" s="1587" t="b">
        <f>+Q12+X12+AE12+AS12+AZ12+BG12+BN12=K12</f>
        <v>1</v>
      </c>
      <c r="BT12" s="1587" t="b">
        <f>+BF12+BF14+AY12+AY14+AR12+AR14+AD12+AD14+W12+W14+P12+P14+BM12+BM14=('PAYMENT RATIO_RAW'!$F$16+'PAYMENT RATIO_RAW'!$F$18)*D11*1.1/1000</f>
        <v>0</v>
      </c>
      <c r="BU12" s="1687"/>
      <c r="BV12" s="401"/>
      <c r="BW12" s="1688"/>
      <c r="BX12" s="401"/>
      <c r="BY12" s="401"/>
      <c r="BZ12" s="401"/>
      <c r="CA12" s="401"/>
      <c r="CB12" s="401"/>
      <c r="CC12" s="404"/>
      <c r="CD12" s="404"/>
    </row>
    <row r="13" spans="1:82" ht="13.5" customHeight="1">
      <c r="A13" s="1649"/>
      <c r="B13" s="2517"/>
      <c r="C13" s="2520"/>
      <c r="D13" s="2518"/>
      <c r="E13" s="2518"/>
      <c r="F13" s="1661" t="s">
        <v>127</v>
      </c>
      <c r="G13" s="2544"/>
      <c r="H13" s="2544"/>
      <c r="I13" s="2544">
        <f t="shared" ref="I13:I14" si="9">SUM(G13:H13)</f>
        <v>0</v>
      </c>
      <c r="J13" s="2551"/>
      <c r="K13" s="2544"/>
      <c r="L13" s="2544"/>
      <c r="M13" s="2542"/>
      <c r="N13" s="2542"/>
      <c r="O13" s="2546"/>
      <c r="P13" s="2544"/>
      <c r="Q13" s="2544"/>
      <c r="R13" s="2544"/>
      <c r="S13" s="2544"/>
      <c r="T13" s="2542"/>
      <c r="U13" s="2542"/>
      <c r="V13" s="2546"/>
      <c r="W13" s="2544"/>
      <c r="X13" s="2544"/>
      <c r="Y13" s="2544"/>
      <c r="Z13" s="2544"/>
      <c r="AA13" s="2542"/>
      <c r="AB13" s="2542"/>
      <c r="AC13" s="2546"/>
      <c r="AD13" s="2544"/>
      <c r="AE13" s="2544"/>
      <c r="AF13" s="2544"/>
      <c r="AG13" s="2544"/>
      <c r="AH13" s="2542"/>
      <c r="AI13" s="2542"/>
      <c r="AJ13" s="2546"/>
      <c r="AK13" s="2544"/>
      <c r="AL13" s="2544"/>
      <c r="AM13" s="2544"/>
      <c r="AN13" s="2544"/>
      <c r="AO13" s="2542"/>
      <c r="AP13" s="2542"/>
      <c r="AQ13" s="2546"/>
      <c r="AR13" s="2544"/>
      <c r="AS13" s="2544"/>
      <c r="AT13" s="2544"/>
      <c r="AU13" s="2544"/>
      <c r="AV13" s="2542"/>
      <c r="AW13" s="2542"/>
      <c r="AX13" s="2546"/>
      <c r="AY13" s="2544"/>
      <c r="AZ13" s="2544"/>
      <c r="BA13" s="2544"/>
      <c r="BB13" s="2544"/>
      <c r="BC13" s="2542"/>
      <c r="BD13" s="2542"/>
      <c r="BE13" s="2546"/>
      <c r="BF13" s="2544"/>
      <c r="BG13" s="2544"/>
      <c r="BH13" s="2544"/>
      <c r="BI13" s="2544"/>
      <c r="BJ13" s="2542"/>
      <c r="BK13" s="2542"/>
      <c r="BL13" s="2546"/>
      <c r="BM13" s="2544"/>
      <c r="BN13" s="2544"/>
      <c r="BO13" s="2544"/>
      <c r="BP13" s="2544"/>
      <c r="BQ13" s="1588"/>
      <c r="BR13" s="1587" t="b">
        <f>+P13+W13+AD13+AR13+AY13+BF13+BM13=I13</f>
        <v>1</v>
      </c>
      <c r="BS13" s="1587" t="b">
        <f>+Q13+X13+AE13+AS13+AZ13+BG13+BN13=K13</f>
        <v>1</v>
      </c>
      <c r="BT13" s="1587"/>
      <c r="BU13" s="401"/>
      <c r="BV13" s="401"/>
      <c r="BW13" s="1653"/>
      <c r="BX13" s="401"/>
      <c r="BY13" s="401"/>
      <c r="BZ13" s="401"/>
      <c r="CA13" s="401"/>
      <c r="CB13" s="401"/>
      <c r="CC13" s="404"/>
      <c r="CD13" s="404"/>
    </row>
    <row r="14" spans="1:82" s="2125" customFormat="1" ht="13.5" customHeight="1">
      <c r="A14" s="2113"/>
      <c r="B14" s="2517"/>
      <c r="C14" s="2520"/>
      <c r="D14" s="2518"/>
      <c r="E14" s="2518"/>
      <c r="F14" s="1661" t="s">
        <v>128</v>
      </c>
      <c r="G14" s="1701">
        <f>+'PAYMENT RATIO_RAW'!G18*'PAYMENT RATIO_RAW'!F18*D11/1000</f>
        <v>198720000</v>
      </c>
      <c r="H14" s="1701"/>
      <c r="I14" s="1701">
        <f t="shared" si="9"/>
        <v>198720000</v>
      </c>
      <c r="J14" s="2119">
        <f t="shared" si="0"/>
        <v>0</v>
      </c>
      <c r="K14" s="1701">
        <f t="shared" ref="K14:K15" si="10">+IFERROR(Q14+X14+AE14+AS14+AZ14+BG14+BN14,"-")</f>
        <v>0</v>
      </c>
      <c r="L14" s="1701">
        <f>+I14-K14</f>
        <v>198720000</v>
      </c>
      <c r="M14" s="1701"/>
      <c r="N14" s="2121"/>
      <c r="O14" s="2120">
        <f t="shared" si="1"/>
        <v>1</v>
      </c>
      <c r="P14" s="1701">
        <f>+'PAYMENT RATIO_RAW'!G18*$I14</f>
        <v>198720000</v>
      </c>
      <c r="Q14" s="1701"/>
      <c r="R14" s="1678">
        <f>+P14-Q14</f>
        <v>198720000</v>
      </c>
      <c r="S14" s="1701"/>
      <c r="T14" s="1701"/>
      <c r="U14" s="1701"/>
      <c r="V14" s="2122"/>
      <c r="W14" s="1701">
        <f>+'PAYMENT RATIO_RAW'!N18*$I14</f>
        <v>0</v>
      </c>
      <c r="X14" s="1701"/>
      <c r="Y14" s="1701"/>
      <c r="Z14" s="1701"/>
      <c r="AA14" s="1701"/>
      <c r="AB14" s="1701"/>
      <c r="AC14" s="2122"/>
      <c r="AD14" s="1701"/>
      <c r="AE14" s="1701"/>
      <c r="AF14" s="1701"/>
      <c r="AG14" s="1701"/>
      <c r="AH14" s="1701"/>
      <c r="AI14" s="1701"/>
      <c r="AJ14" s="2122"/>
      <c r="AK14" s="1701"/>
      <c r="AL14" s="1701"/>
      <c r="AM14" s="1701"/>
      <c r="AN14" s="1701"/>
      <c r="AO14" s="1701"/>
      <c r="AP14" s="1701"/>
      <c r="AQ14" s="2122"/>
      <c r="AR14" s="1701"/>
      <c r="AS14" s="1701"/>
      <c r="AT14" s="1701"/>
      <c r="AU14" s="1701"/>
      <c r="AV14" s="1701"/>
      <c r="AW14" s="1701"/>
      <c r="AX14" s="2122"/>
      <c r="AY14" s="1701"/>
      <c r="AZ14" s="1701"/>
      <c r="BA14" s="1701"/>
      <c r="BB14" s="1701"/>
      <c r="BC14" s="1701"/>
      <c r="BD14" s="1701"/>
      <c r="BE14" s="2122"/>
      <c r="BF14" s="1701"/>
      <c r="BG14" s="1701"/>
      <c r="BH14" s="1701"/>
      <c r="BI14" s="1701"/>
      <c r="BJ14" s="1701"/>
      <c r="BK14" s="1701"/>
      <c r="BL14" s="2122"/>
      <c r="BM14" s="1701"/>
      <c r="BN14" s="1701"/>
      <c r="BO14" s="1701"/>
      <c r="BP14" s="1701"/>
      <c r="BQ14" s="1588"/>
      <c r="BR14" s="1587" t="b">
        <f>+P14+W14+AD14+AR14+AY14+BF14+BM14=I14</f>
        <v>1</v>
      </c>
      <c r="BS14" s="1587" t="b">
        <f>+Q14+X14+AE14+AS14+AZ14+BG14+BN14=K14</f>
        <v>1</v>
      </c>
      <c r="BT14" s="1587"/>
      <c r="BU14" s="1601"/>
      <c r="BV14" s="1601"/>
      <c r="BW14" s="1601"/>
      <c r="BX14" s="1601"/>
      <c r="BY14" s="1601"/>
      <c r="BZ14" s="1601"/>
      <c r="CA14" s="1601"/>
      <c r="CB14" s="1601"/>
      <c r="CC14" s="2124"/>
      <c r="CD14" s="2124"/>
    </row>
    <row r="15" spans="1:82" s="2125" customFormat="1" ht="13.5" customHeight="1">
      <c r="A15" s="2113"/>
      <c r="B15" s="2517"/>
      <c r="C15" s="2520"/>
      <c r="D15" s="2518"/>
      <c r="E15" s="2518"/>
      <c r="F15" s="1630" t="s">
        <v>129</v>
      </c>
      <c r="G15" s="2123"/>
      <c r="H15" s="2123"/>
      <c r="J15" s="2119" t="str">
        <f>+IFERROR(K15/H15,"-")</f>
        <v>-</v>
      </c>
      <c r="K15" s="2123">
        <f t="shared" si="10"/>
        <v>0</v>
      </c>
      <c r="L15" s="2123"/>
      <c r="M15" s="2123"/>
      <c r="N15" s="2126"/>
      <c r="O15" s="2122" t="str">
        <f>+IFERROR(P15/$H15,"-")</f>
        <v>-</v>
      </c>
      <c r="P15" s="2123"/>
      <c r="Q15" s="2123"/>
      <c r="R15" s="1678">
        <f>+P15-Q15</f>
        <v>0</v>
      </c>
      <c r="S15" s="2123"/>
      <c r="T15" s="2123"/>
      <c r="U15" s="2123"/>
      <c r="V15" s="2127"/>
      <c r="W15" s="2123"/>
      <c r="X15" s="2123"/>
      <c r="Y15" s="2123"/>
      <c r="Z15" s="2123"/>
      <c r="AA15" s="2123"/>
      <c r="AB15" s="2123"/>
      <c r="AC15" s="2127"/>
      <c r="AD15" s="2123"/>
      <c r="AE15" s="2123"/>
      <c r="AF15" s="2123"/>
      <c r="AG15" s="2123"/>
      <c r="AH15" s="2123"/>
      <c r="AI15" s="2123"/>
      <c r="AJ15" s="2127"/>
      <c r="AK15" s="2123"/>
      <c r="AL15" s="2123"/>
      <c r="AM15" s="2123"/>
      <c r="AN15" s="2123"/>
      <c r="AO15" s="2123"/>
      <c r="AP15" s="2123"/>
      <c r="AQ15" s="2127"/>
      <c r="AR15" s="2123"/>
      <c r="AS15" s="2123"/>
      <c r="AT15" s="2123"/>
      <c r="AU15" s="2123"/>
      <c r="AV15" s="2123"/>
      <c r="AW15" s="2123"/>
      <c r="AX15" s="2127"/>
      <c r="AY15" s="2123"/>
      <c r="AZ15" s="2123"/>
      <c r="BA15" s="2123"/>
      <c r="BB15" s="2123"/>
      <c r="BC15" s="2123"/>
      <c r="BD15" s="2123"/>
      <c r="BE15" s="2127"/>
      <c r="BF15" s="2123"/>
      <c r="BG15" s="2123"/>
      <c r="BH15" s="2123"/>
      <c r="BI15" s="2123"/>
      <c r="BJ15" s="2123"/>
      <c r="BK15" s="2123"/>
      <c r="BL15" s="2127"/>
      <c r="BM15" s="2123"/>
      <c r="BN15" s="2123"/>
      <c r="BO15" s="2123"/>
      <c r="BP15" s="2123"/>
      <c r="BQ15" s="1589"/>
      <c r="BR15" s="1591" t="b">
        <f>+P15+W15+AD15+AR15+AY15+BF15+BM15=H15</f>
        <v>1</v>
      </c>
      <c r="BS15" s="1592" t="b">
        <f>+Q15+X15+AE15+AS15+AZ15+BG15+BN15=K15</f>
        <v>1</v>
      </c>
      <c r="BT15" s="1592"/>
      <c r="BU15" s="1601"/>
      <c r="BV15" s="1601"/>
      <c r="BW15" s="1601"/>
      <c r="BX15" s="1601"/>
      <c r="BY15" s="1601"/>
      <c r="BZ15" s="1601"/>
      <c r="CA15" s="1601"/>
      <c r="CB15" s="1601"/>
      <c r="CC15" s="2124"/>
      <c r="CD15" s="2124"/>
    </row>
    <row r="16" spans="1:82" ht="13.5" customHeight="1">
      <c r="A16" s="1649"/>
      <c r="B16" s="2517"/>
      <c r="C16" s="2520"/>
      <c r="D16" s="2518"/>
      <c r="E16" s="2518"/>
      <c r="F16" s="419" t="s">
        <v>130</v>
      </c>
      <c r="G16" s="1628">
        <f>SUM(G11:G15)</f>
        <v>1465820970</v>
      </c>
      <c r="H16" s="1628">
        <f>SUM(H11:H15)</f>
        <v>104328000</v>
      </c>
      <c r="I16" s="1628">
        <f t="shared" ref="I16:L16" si="11">SUM(I11:I15)</f>
        <v>1570148970</v>
      </c>
      <c r="J16" s="419">
        <f t="shared" si="0"/>
        <v>0.14254760170940978</v>
      </c>
      <c r="K16" s="1628">
        <f t="shared" si="11"/>
        <v>223820970</v>
      </c>
      <c r="L16" s="1628">
        <f t="shared" si="11"/>
        <v>1346328000</v>
      </c>
      <c r="M16" s="419"/>
      <c r="N16" s="419"/>
      <c r="O16" s="1634">
        <f t="shared" ref="O16:O18" si="12">+IFERROR(P16/$I16,"-")</f>
        <v>0.26910884130949692</v>
      </c>
      <c r="P16" s="1628">
        <f t="shared" ref="P16" si="13">SUM(P11:P15)</f>
        <v>422540970</v>
      </c>
      <c r="Q16" s="1628">
        <f t="shared" ref="Q16" si="14">SUM(Q11:Q15)</f>
        <v>223820970</v>
      </c>
      <c r="R16" s="1684">
        <f t="shared" ref="R16:R40" si="15">+P16-Q16</f>
        <v>198720000</v>
      </c>
      <c r="S16" s="419"/>
      <c r="T16" s="1631"/>
      <c r="U16" s="419"/>
      <c r="V16" s="1634">
        <f t="shared" ref="V16:V18" si="16">+IFERROR(W16/$I16,"-")</f>
        <v>0</v>
      </c>
      <c r="W16" s="1628">
        <f t="shared" ref="W16:X16" si="17">SUM(W11:W15)</f>
        <v>0</v>
      </c>
      <c r="X16" s="1628">
        <f t="shared" si="17"/>
        <v>0</v>
      </c>
      <c r="Y16" s="1684">
        <f t="shared" ref="Y16" si="18">+W16-X16</f>
        <v>0</v>
      </c>
      <c r="Z16" s="419"/>
      <c r="AA16" s="1631"/>
      <c r="AB16" s="419"/>
      <c r="AC16" s="1634">
        <f t="shared" ref="AC16:AC18" si="19">+IFERROR(AD16/$I16,"-")</f>
        <v>0.21926734760715094</v>
      </c>
      <c r="AD16" s="1628">
        <f t="shared" ref="AD16:AE16" si="20">SUM(AD11:AD15)</f>
        <v>344282400</v>
      </c>
      <c r="AE16" s="1628">
        <f t="shared" si="20"/>
        <v>0</v>
      </c>
      <c r="AF16" s="1684">
        <f t="shared" ref="AF16" si="21">+AD16-AE16</f>
        <v>344282400</v>
      </c>
      <c r="AG16" s="419"/>
      <c r="AH16" s="1631"/>
      <c r="AI16" s="419"/>
      <c r="AJ16" s="1634">
        <f t="shared" ref="AJ16:AJ18" si="22">+IFERROR(AK16/$I16,"-")</f>
        <v>0.29235646347620126</v>
      </c>
      <c r="AK16" s="1628">
        <f t="shared" ref="AK16:AL16" si="23">SUM(AK11:AK15)</f>
        <v>459043200</v>
      </c>
      <c r="AL16" s="1628">
        <f t="shared" si="23"/>
        <v>0</v>
      </c>
      <c r="AM16" s="1684">
        <f t="shared" ref="AM16" si="24">+AK16-AL16</f>
        <v>459043200</v>
      </c>
      <c r="AN16" s="419"/>
      <c r="AO16" s="1631"/>
      <c r="AP16" s="419"/>
      <c r="AQ16" s="1634">
        <f t="shared" ref="AQ16:AQ18" si="25">+IFERROR(AR16/$I16,"-")</f>
        <v>0</v>
      </c>
      <c r="AR16" s="1628">
        <f t="shared" ref="AR16" si="26">SUM(AR11:AR15)</f>
        <v>0</v>
      </c>
      <c r="AS16" s="1628">
        <f t="shared" ref="AS16" si="27">SUM(AS11:AS15)</f>
        <v>0</v>
      </c>
      <c r="AT16" s="1684">
        <f t="shared" ref="AT16" si="28">+AR16-AS16</f>
        <v>0</v>
      </c>
      <c r="AU16" s="419"/>
      <c r="AV16" s="1631"/>
      <c r="AW16" s="419"/>
      <c r="AX16" s="1634">
        <f t="shared" ref="AX16:AX18" si="29">+IFERROR(AY16/$I16,"-")</f>
        <v>0</v>
      </c>
      <c r="AY16" s="1628">
        <f t="shared" ref="AY16" si="30">SUM(AY11:AY15)</f>
        <v>0</v>
      </c>
      <c r="AZ16" s="1628">
        <f t="shared" ref="AZ16" si="31">SUM(AZ11:AZ15)</f>
        <v>0</v>
      </c>
      <c r="BA16" s="1684">
        <f t="shared" ref="BA16" si="32">+AY16-AZ16</f>
        <v>0</v>
      </c>
      <c r="BB16" s="419"/>
      <c r="BC16" s="1631"/>
      <c r="BD16" s="419"/>
      <c r="BE16" s="1634">
        <f t="shared" ref="BE16:BE28" si="33">+IFERROR(BF16/$I16,"-")</f>
        <v>0</v>
      </c>
      <c r="BF16" s="1628">
        <f t="shared" ref="BF16" si="34">SUM(BF11:BF15)</f>
        <v>0</v>
      </c>
      <c r="BG16" s="1628">
        <f t="shared" ref="BG16" si="35">SUM(BG11:BG15)</f>
        <v>0</v>
      </c>
      <c r="BH16" s="1684">
        <f t="shared" ref="BH16" si="36">+BF16-BG16</f>
        <v>0</v>
      </c>
      <c r="BI16" s="419"/>
      <c r="BJ16" s="1631"/>
      <c r="BK16" s="419"/>
      <c r="BL16" s="1634">
        <f t="shared" ref="BL16:BL36" si="37">+IFERROR(BM16/$I16,"-")</f>
        <v>0.21926734760715094</v>
      </c>
      <c r="BM16" s="1628">
        <f t="shared" ref="BM16:BN16" si="38">SUM(BM11:BM15)</f>
        <v>344282400</v>
      </c>
      <c r="BN16" s="1628">
        <f t="shared" si="38"/>
        <v>0</v>
      </c>
      <c r="BO16" s="1684">
        <f t="shared" ref="BO16" si="39">+BM16-BN16</f>
        <v>344282400</v>
      </c>
      <c r="BP16" s="419"/>
      <c r="BQ16" s="1589"/>
      <c r="BR16" s="1632"/>
      <c r="BS16" s="1633"/>
      <c r="BT16" s="1633"/>
      <c r="BU16" s="401"/>
      <c r="BV16" s="401"/>
      <c r="BW16" s="401"/>
      <c r="BX16" s="401"/>
      <c r="BY16" s="401"/>
      <c r="BZ16" s="401"/>
      <c r="CA16" s="401"/>
      <c r="CB16" s="401"/>
      <c r="CC16" s="404"/>
      <c r="CD16" s="404"/>
    </row>
    <row r="17" spans="1:82" ht="13.5" customHeight="1">
      <c r="A17" s="1649"/>
      <c r="B17" s="2517">
        <v>2</v>
      </c>
      <c r="C17" s="2518" t="s">
        <v>227</v>
      </c>
      <c r="D17" s="2518">
        <v>993.6</v>
      </c>
      <c r="E17" s="2518" t="s">
        <v>124</v>
      </c>
      <c r="F17" s="1676" t="s">
        <v>125</v>
      </c>
      <c r="G17" s="1596">
        <f>+'PAYMENT RATIO_RAW'!F$15*'GM Batch2-SPA'!$D$17/1000</f>
        <v>1043280000</v>
      </c>
      <c r="H17" s="1596">
        <f>+G17*10%</f>
        <v>104328000</v>
      </c>
      <c r="I17" s="1596">
        <f>SUM(G17:H17)</f>
        <v>1147608000</v>
      </c>
      <c r="J17" s="1676">
        <f t="shared" si="0"/>
        <v>0</v>
      </c>
      <c r="K17" s="1670">
        <f>+IFERROR(Q17+X17+AE17+AS17+AZ17+BG17+BN17,"-")</f>
        <v>0</v>
      </c>
      <c r="L17" s="1670">
        <f>+I17-K17</f>
        <v>1147608000</v>
      </c>
      <c r="M17" s="1586"/>
      <c r="N17" s="1586"/>
      <c r="O17" s="1660">
        <f t="shared" si="12"/>
        <v>0</v>
      </c>
      <c r="P17" s="1654">
        <f>+$I17*'PAYMENT RATIO_RAW'!G$15</f>
        <v>0</v>
      </c>
      <c r="Q17" s="1678"/>
      <c r="R17" s="1678">
        <f>+P17-Q17</f>
        <v>0</v>
      </c>
      <c r="S17" s="1679"/>
      <c r="T17" s="1586"/>
      <c r="U17" s="1586"/>
      <c r="V17" s="1660">
        <f t="shared" si="16"/>
        <v>0</v>
      </c>
      <c r="W17" s="1654">
        <f>+$I17*'PAYMENT RATIO_RAW'!N$15</f>
        <v>0</v>
      </c>
      <c r="X17" s="1678"/>
      <c r="Y17" s="1678">
        <f>+W17-X17</f>
        <v>0</v>
      </c>
      <c r="Z17" s="1679"/>
      <c r="AA17" s="1586"/>
      <c r="AB17" s="1586"/>
      <c r="AC17" s="1660">
        <f t="shared" si="19"/>
        <v>0.3</v>
      </c>
      <c r="AD17" s="1654">
        <f>+$I17*'PAYMENT RATIO_RAW'!U$15</f>
        <v>344282400</v>
      </c>
      <c r="AE17" s="1678"/>
      <c r="AF17" s="1678">
        <f>+AD17-AE17</f>
        <v>344282400</v>
      </c>
      <c r="AG17" s="1679"/>
      <c r="AH17" s="1586"/>
      <c r="AI17" s="1586"/>
      <c r="AJ17" s="1660">
        <f t="shared" si="22"/>
        <v>0.4</v>
      </c>
      <c r="AK17" s="1654">
        <f>+$I17*'PAYMENT RATIO_RAW'!AB$15</f>
        <v>459043200</v>
      </c>
      <c r="AL17" s="1678"/>
      <c r="AM17" s="1678">
        <f>+AK17-AL17</f>
        <v>459043200</v>
      </c>
      <c r="AN17" s="1679"/>
      <c r="AO17" s="1586"/>
      <c r="AP17" s="1586"/>
      <c r="AQ17" s="1660">
        <f t="shared" si="25"/>
        <v>0</v>
      </c>
      <c r="AR17" s="1654">
        <f>+$I17*'PAYMENT RATIO_RAW'!AI$15</f>
        <v>0</v>
      </c>
      <c r="AS17" s="1678"/>
      <c r="AT17" s="1678">
        <f>+AR17-AS17</f>
        <v>0</v>
      </c>
      <c r="AU17" s="1679"/>
      <c r="AV17" s="1586"/>
      <c r="AW17" s="1586"/>
      <c r="AX17" s="1660">
        <f t="shared" si="29"/>
        <v>0</v>
      </c>
      <c r="AY17" s="1654">
        <f>+$I17*'PAYMENT RATIO_RAW'!AP$15</f>
        <v>0</v>
      </c>
      <c r="AZ17" s="1678"/>
      <c r="BA17" s="1678">
        <f>+AY17-AZ17</f>
        <v>0</v>
      </c>
      <c r="BB17" s="1679"/>
      <c r="BC17" s="1586"/>
      <c r="BD17" s="1586"/>
      <c r="BE17" s="1660">
        <f t="shared" si="33"/>
        <v>0</v>
      </c>
      <c r="BF17" s="1654">
        <f>+$I17*'PAYMENT RATIO_RAW'!AW$15</f>
        <v>0</v>
      </c>
      <c r="BG17" s="1678"/>
      <c r="BH17" s="1678">
        <f>+BF17-BG17</f>
        <v>0</v>
      </c>
      <c r="BI17" s="1679"/>
      <c r="BJ17" s="1586"/>
      <c r="BK17" s="1586"/>
      <c r="BL17" s="1660">
        <f t="shared" si="37"/>
        <v>0.3</v>
      </c>
      <c r="BM17" s="1654">
        <f>+$I17*'PAYMENT RATIO_RAW'!BD$15</f>
        <v>344282400</v>
      </c>
      <c r="BN17" s="1678"/>
      <c r="BO17" s="1678">
        <f>+BM17-BN17</f>
        <v>344282400</v>
      </c>
      <c r="BP17" s="1679"/>
      <c r="BQ17" s="1588"/>
      <c r="BR17" s="1587" t="b">
        <f>+P17+W17+AD17+AK17+AR17+AY17+BF17+BM17=I17</f>
        <v>1</v>
      </c>
      <c r="BS17" s="1587" t="b">
        <f>+Q17+X17+AE17+AS17+AZ17+BG17+BN17=K17</f>
        <v>1</v>
      </c>
      <c r="BT17" s="1587"/>
      <c r="BU17" s="401"/>
      <c r="BV17" s="401"/>
      <c r="BW17" s="401"/>
      <c r="BX17" s="401"/>
      <c r="BY17" s="401"/>
      <c r="BZ17" s="401"/>
      <c r="CA17" s="401"/>
      <c r="CB17" s="401"/>
      <c r="CC17" s="404"/>
      <c r="CD17" s="404"/>
    </row>
    <row r="18" spans="1:82" ht="13.5" customHeight="1">
      <c r="A18" s="1649"/>
      <c r="B18" s="2517"/>
      <c r="C18" s="2518"/>
      <c r="D18" s="2518"/>
      <c r="E18" s="2518"/>
      <c r="F18" s="1661" t="s">
        <v>126</v>
      </c>
      <c r="G18" s="2552">
        <v>110418040</v>
      </c>
      <c r="H18" s="2543"/>
      <c r="I18" s="2552">
        <f>+G18+H18</f>
        <v>110418040</v>
      </c>
      <c r="J18" s="2550">
        <f t="shared" si="0"/>
        <v>1</v>
      </c>
      <c r="K18" s="2543">
        <f>+IFERROR(Q18+X18+AE18+AS18+AZ18+BG18+BN18,"-")</f>
        <v>110418040</v>
      </c>
      <c r="L18" s="2543">
        <f>+I18-K18</f>
        <v>0</v>
      </c>
      <c r="M18" s="2541">
        <v>45863</v>
      </c>
      <c r="N18" s="2541">
        <v>45863</v>
      </c>
      <c r="O18" s="2545">
        <f t="shared" si="12"/>
        <v>1</v>
      </c>
      <c r="P18" s="2543">
        <f>+I18</f>
        <v>110418040</v>
      </c>
      <c r="Q18" s="2543">
        <v>110418040</v>
      </c>
      <c r="R18" s="2543">
        <f>+P18-Q18</f>
        <v>0</v>
      </c>
      <c r="S18" s="2543"/>
      <c r="T18" s="2541"/>
      <c r="U18" s="2541"/>
      <c r="V18" s="2545">
        <f t="shared" si="16"/>
        <v>0</v>
      </c>
      <c r="W18" s="2543"/>
      <c r="X18" s="2543"/>
      <c r="Y18" s="2543"/>
      <c r="Z18" s="2543"/>
      <c r="AA18" s="2541"/>
      <c r="AB18" s="2541"/>
      <c r="AC18" s="2545">
        <f t="shared" si="19"/>
        <v>0</v>
      </c>
      <c r="AD18" s="2543"/>
      <c r="AE18" s="2543"/>
      <c r="AF18" s="2543"/>
      <c r="AG18" s="2543"/>
      <c r="AH18" s="2541"/>
      <c r="AI18" s="2541"/>
      <c r="AJ18" s="2545">
        <f t="shared" si="22"/>
        <v>0</v>
      </c>
      <c r="AK18" s="2543"/>
      <c r="AL18" s="2543"/>
      <c r="AM18" s="2543"/>
      <c r="AN18" s="2543"/>
      <c r="AO18" s="2541"/>
      <c r="AP18" s="2541"/>
      <c r="AQ18" s="2545">
        <f t="shared" si="25"/>
        <v>0</v>
      </c>
      <c r="AR18" s="2543"/>
      <c r="AS18" s="2543"/>
      <c r="AT18" s="2543"/>
      <c r="AU18" s="2543"/>
      <c r="AV18" s="2541"/>
      <c r="AW18" s="2541"/>
      <c r="AX18" s="2545">
        <f t="shared" si="29"/>
        <v>0</v>
      </c>
      <c r="AY18" s="2543"/>
      <c r="AZ18" s="2543"/>
      <c r="BA18" s="2543"/>
      <c r="BB18" s="2543"/>
      <c r="BC18" s="2541"/>
      <c r="BD18" s="2541"/>
      <c r="BE18" s="2545">
        <f t="shared" si="33"/>
        <v>0</v>
      </c>
      <c r="BF18" s="2543"/>
      <c r="BG18" s="2543"/>
      <c r="BH18" s="2543"/>
      <c r="BI18" s="2543"/>
      <c r="BJ18" s="2541"/>
      <c r="BK18" s="2541"/>
      <c r="BL18" s="2545">
        <f t="shared" si="37"/>
        <v>0</v>
      </c>
      <c r="BM18" s="2543"/>
      <c r="BN18" s="2543"/>
      <c r="BO18" s="2543"/>
      <c r="BP18" s="2543"/>
      <c r="BQ18" s="1588"/>
      <c r="BR18" s="1587" t="b">
        <f>+BM18+BF18+AY18+AR18+AD18+W18+P18=I18</f>
        <v>1</v>
      </c>
      <c r="BS18" s="1587" t="b">
        <f>+Q18+X18+AE18+AS18+AZ18+BG18+BN18=K18</f>
        <v>1</v>
      </c>
      <c r="BT18" s="1587" t="b">
        <f>+BF18+BF20+AY18+AY20+AR18+AR20+AD18+AD20+W18+W20+P18+P20+BM18+BM20=('PAYMENT RATIO_RAW'!$F$16+'PAYMENT RATIO_RAW'!$F$18)*D17*1.1/1000</f>
        <v>0</v>
      </c>
      <c r="BU18" s="401"/>
      <c r="BV18" s="401"/>
      <c r="BW18" s="401"/>
      <c r="BX18" s="401"/>
      <c r="BY18" s="401"/>
      <c r="BZ18" s="401"/>
      <c r="CA18" s="401"/>
      <c r="CB18" s="401"/>
      <c r="CC18" s="404"/>
      <c r="CD18" s="404"/>
    </row>
    <row r="19" spans="1:82" ht="13.5" customHeight="1">
      <c r="A19" s="1649"/>
      <c r="B19" s="2517"/>
      <c r="C19" s="2518"/>
      <c r="D19" s="2518"/>
      <c r="E19" s="2518"/>
      <c r="F19" s="1661" t="s">
        <v>127</v>
      </c>
      <c r="G19" s="2553"/>
      <c r="H19" s="2544"/>
      <c r="I19" s="2553"/>
      <c r="J19" s="2551"/>
      <c r="K19" s="2544"/>
      <c r="L19" s="2544"/>
      <c r="M19" s="2542"/>
      <c r="N19" s="2542"/>
      <c r="O19" s="2546"/>
      <c r="P19" s="2544"/>
      <c r="Q19" s="2544"/>
      <c r="R19" s="2544"/>
      <c r="S19" s="2544"/>
      <c r="T19" s="2542"/>
      <c r="U19" s="2542"/>
      <c r="V19" s="2546"/>
      <c r="W19" s="2544"/>
      <c r="X19" s="2544"/>
      <c r="Y19" s="2544"/>
      <c r="Z19" s="2544"/>
      <c r="AA19" s="2542"/>
      <c r="AB19" s="2542"/>
      <c r="AC19" s="2546"/>
      <c r="AD19" s="2544"/>
      <c r="AE19" s="2544"/>
      <c r="AF19" s="2544"/>
      <c r="AG19" s="2544"/>
      <c r="AH19" s="2542"/>
      <c r="AI19" s="2542"/>
      <c r="AJ19" s="2546"/>
      <c r="AK19" s="2544"/>
      <c r="AL19" s="2544"/>
      <c r="AM19" s="2544"/>
      <c r="AN19" s="2544"/>
      <c r="AO19" s="2542"/>
      <c r="AP19" s="2542"/>
      <c r="AQ19" s="2546"/>
      <c r="AR19" s="2544"/>
      <c r="AS19" s="2544"/>
      <c r="AT19" s="2544"/>
      <c r="AU19" s="2544"/>
      <c r="AV19" s="2542"/>
      <c r="AW19" s="2542"/>
      <c r="AX19" s="2546"/>
      <c r="AY19" s="2544"/>
      <c r="AZ19" s="2544"/>
      <c r="BA19" s="2544"/>
      <c r="BB19" s="2544"/>
      <c r="BC19" s="2542"/>
      <c r="BD19" s="2542"/>
      <c r="BE19" s="2546"/>
      <c r="BF19" s="2544"/>
      <c r="BG19" s="2544"/>
      <c r="BH19" s="2544"/>
      <c r="BI19" s="2544"/>
      <c r="BJ19" s="2542"/>
      <c r="BK19" s="2542"/>
      <c r="BL19" s="2546"/>
      <c r="BM19" s="2544"/>
      <c r="BN19" s="2544"/>
      <c r="BO19" s="2544"/>
      <c r="BP19" s="2544"/>
      <c r="BQ19" s="1588"/>
      <c r="BR19" s="1587" t="b">
        <f>+P19+W19+AD19+AR19+AY19+BF19+BM19=I19</f>
        <v>1</v>
      </c>
      <c r="BS19" s="1587" t="b">
        <f>+Q19+X19+AE19+AS19+AZ19+BG19+BN19=K19</f>
        <v>1</v>
      </c>
      <c r="BT19" s="1587"/>
      <c r="BU19" s="401"/>
      <c r="BV19" s="401"/>
      <c r="BW19" s="401"/>
      <c r="BX19" s="401"/>
      <c r="BY19" s="401"/>
      <c r="BZ19" s="401"/>
      <c r="CA19" s="401"/>
      <c r="CB19" s="401"/>
      <c r="CC19" s="404"/>
      <c r="CD19" s="404"/>
    </row>
    <row r="20" spans="1:82" ht="13.5" customHeight="1">
      <c r="A20" s="1649"/>
      <c r="B20" s="2517"/>
      <c r="C20" s="2518"/>
      <c r="D20" s="2518"/>
      <c r="E20" s="2518"/>
      <c r="F20" s="1661" t="s">
        <v>128</v>
      </c>
      <c r="G20" s="1701">
        <f>+'PAYMENT RATIO_RAW'!G18*'PAYMENT RATIO_RAW'!F18*D17/1000</f>
        <v>198720000</v>
      </c>
      <c r="H20" s="1701"/>
      <c r="I20" s="1701">
        <f t="shared" ref="I20:I21" si="40">SUM(G20:H20)</f>
        <v>198720000</v>
      </c>
      <c r="J20" s="2119">
        <f t="shared" si="0"/>
        <v>0</v>
      </c>
      <c r="K20" s="1701">
        <f t="shared" ref="K20:K21" si="41">+IFERROR(Q20+X20+AE20+AS20+AZ20+BG20+BN20,"-")</f>
        <v>0</v>
      </c>
      <c r="L20" s="1701">
        <f>+I20-K20</f>
        <v>198720000</v>
      </c>
      <c r="M20" s="1701"/>
      <c r="N20" s="2121"/>
      <c r="O20" s="2120">
        <f t="shared" ref="O20:O21" si="42">+IFERROR(P20/$I20,"-")</f>
        <v>1</v>
      </c>
      <c r="P20" s="1701">
        <f>+'PAYMENT RATIO_RAW'!G18*$I20</f>
        <v>198720000</v>
      </c>
      <c r="Q20" s="1701"/>
      <c r="R20" s="1678">
        <f>+P20-Q20</f>
        <v>198720000</v>
      </c>
      <c r="S20" s="1701"/>
      <c r="T20" s="1701"/>
      <c r="U20" s="2121"/>
      <c r="V20" s="2120">
        <f t="shared" ref="V20:V22" si="43">+IFERROR(W20/$I20,"-")</f>
        <v>0</v>
      </c>
      <c r="W20" s="1701">
        <f>+'PAYMENT RATIO_RAW'!N18*$I20</f>
        <v>0</v>
      </c>
      <c r="X20" s="1701"/>
      <c r="Y20" s="1701"/>
      <c r="Z20" s="1701"/>
      <c r="AA20" s="1701"/>
      <c r="AB20" s="2121"/>
      <c r="AC20" s="2120">
        <f t="shared" ref="AC20:AC22" si="44">+IFERROR(AD20/$I20,"-")</f>
        <v>0</v>
      </c>
      <c r="AD20" s="1701">
        <f>+'PAYMENT RATIO_RAW'!U18*$I20</f>
        <v>0</v>
      </c>
      <c r="AE20" s="1701"/>
      <c r="AF20" s="1701"/>
      <c r="AG20" s="1701"/>
      <c r="AH20" s="1701"/>
      <c r="AI20" s="2121"/>
      <c r="AJ20" s="2120">
        <f t="shared" ref="AJ20:AJ22" si="45">+IFERROR(AK20/$I20,"-")</f>
        <v>0</v>
      </c>
      <c r="AK20" s="1701">
        <f>+'PAYMENT RATIO_RAW'!AB18*$I20</f>
        <v>0</v>
      </c>
      <c r="AL20" s="1701"/>
      <c r="AM20" s="1701"/>
      <c r="AN20" s="1701"/>
      <c r="AO20" s="1701"/>
      <c r="AP20" s="2121"/>
      <c r="AQ20" s="2120">
        <f t="shared" ref="AQ20:AQ22" si="46">+IFERROR(AR20/$I20,"-")</f>
        <v>0</v>
      </c>
      <c r="AR20" s="1701">
        <f>+'PAYMENT RATIO_RAW'!AI18*$I20</f>
        <v>0</v>
      </c>
      <c r="AS20" s="1701"/>
      <c r="AT20" s="1701"/>
      <c r="AU20" s="1701"/>
      <c r="AV20" s="1701"/>
      <c r="AW20" s="2121"/>
      <c r="AX20" s="2120">
        <f t="shared" ref="AX20:AX22" si="47">+IFERROR(AY20/$I20,"-")</f>
        <v>0</v>
      </c>
      <c r="AY20" s="1701">
        <f>+'PAYMENT RATIO_RAW'!AP18*$I20</f>
        <v>0</v>
      </c>
      <c r="AZ20" s="1701"/>
      <c r="BA20" s="1701"/>
      <c r="BB20" s="1701"/>
      <c r="BC20" s="1701"/>
      <c r="BD20" s="2121"/>
      <c r="BE20" s="2120">
        <f t="shared" ref="BE20:BE22" si="48">+IFERROR(BF20/$I20,"-")</f>
        <v>0</v>
      </c>
      <c r="BF20" s="1701">
        <f>+'PAYMENT RATIO_RAW'!AW18*$I20</f>
        <v>0</v>
      </c>
      <c r="BG20" s="1701"/>
      <c r="BH20" s="1701"/>
      <c r="BI20" s="1701"/>
      <c r="BJ20" s="1701"/>
      <c r="BK20" s="2121"/>
      <c r="BL20" s="2120">
        <f t="shared" ref="BL20:BL22" si="49">+IFERROR(BM20/$I20,"-")</f>
        <v>0</v>
      </c>
      <c r="BM20" s="1701">
        <f>+'PAYMENT RATIO_RAW'!BD18*$I20</f>
        <v>0</v>
      </c>
      <c r="BN20" s="1701"/>
      <c r="BO20" s="1701"/>
      <c r="BP20" s="1701"/>
      <c r="BQ20" s="1588"/>
      <c r="BR20" s="1587" t="b">
        <f>+P20+W20+AD20+AR20+AY20+BF20+BM20=I20</f>
        <v>1</v>
      </c>
      <c r="BS20" s="1587" t="b">
        <f>+Q20+X20+AE20+AS20+AZ20+BG20+BN20=K20</f>
        <v>1</v>
      </c>
      <c r="BT20" s="1587"/>
      <c r="BU20" s="401"/>
      <c r="BV20" s="401"/>
      <c r="BW20" s="401"/>
      <c r="BX20" s="401"/>
      <c r="BY20" s="401"/>
      <c r="BZ20" s="401"/>
      <c r="CA20" s="401"/>
      <c r="CB20" s="401"/>
      <c r="CC20" s="404"/>
      <c r="CD20" s="404"/>
    </row>
    <row r="21" spans="1:82" ht="13.5" customHeight="1">
      <c r="A21" s="1649"/>
      <c r="B21" s="2517"/>
      <c r="C21" s="2518"/>
      <c r="D21" s="2518"/>
      <c r="E21" s="2518"/>
      <c r="F21" s="1627" t="s">
        <v>129</v>
      </c>
      <c r="G21" s="2118"/>
      <c r="H21" s="2123"/>
      <c r="I21" s="2123">
        <f t="shared" si="40"/>
        <v>0</v>
      </c>
      <c r="J21" s="2119" t="str">
        <f t="shared" si="0"/>
        <v>-</v>
      </c>
      <c r="K21" s="2123">
        <f t="shared" si="41"/>
        <v>0</v>
      </c>
      <c r="L21" s="2123"/>
      <c r="M21" s="2123"/>
      <c r="N21" s="2126"/>
      <c r="O21" s="2122" t="str">
        <f t="shared" si="42"/>
        <v>-</v>
      </c>
      <c r="P21" s="2123"/>
      <c r="Q21" s="2123"/>
      <c r="R21" s="1678">
        <f>+P21-Q21</f>
        <v>0</v>
      </c>
      <c r="S21" s="2123"/>
      <c r="T21" s="2123"/>
      <c r="U21" s="2126"/>
      <c r="V21" s="2122" t="str">
        <f t="shared" si="43"/>
        <v>-</v>
      </c>
      <c r="W21" s="2123"/>
      <c r="X21" s="2123"/>
      <c r="Y21" s="2123"/>
      <c r="Z21" s="2123"/>
      <c r="AA21" s="2123"/>
      <c r="AB21" s="2126"/>
      <c r="AC21" s="2122" t="str">
        <f t="shared" si="44"/>
        <v>-</v>
      </c>
      <c r="AD21" s="2123"/>
      <c r="AE21" s="2123"/>
      <c r="AF21" s="2123"/>
      <c r="AG21" s="2123"/>
      <c r="AH21" s="2123"/>
      <c r="AI21" s="2126"/>
      <c r="AJ21" s="2122" t="str">
        <f t="shared" si="45"/>
        <v>-</v>
      </c>
      <c r="AK21" s="2123"/>
      <c r="AL21" s="2123"/>
      <c r="AM21" s="2123"/>
      <c r="AN21" s="2123"/>
      <c r="AO21" s="2123"/>
      <c r="AP21" s="2126"/>
      <c r="AQ21" s="2122" t="str">
        <f t="shared" si="46"/>
        <v>-</v>
      </c>
      <c r="AR21" s="2123"/>
      <c r="AS21" s="2123"/>
      <c r="AT21" s="2123"/>
      <c r="AU21" s="2123"/>
      <c r="AV21" s="2123"/>
      <c r="AW21" s="2126"/>
      <c r="AX21" s="2122" t="str">
        <f t="shared" si="47"/>
        <v>-</v>
      </c>
      <c r="AY21" s="2123"/>
      <c r="AZ21" s="2123"/>
      <c r="BA21" s="2123"/>
      <c r="BB21" s="2123"/>
      <c r="BC21" s="2123"/>
      <c r="BD21" s="2126"/>
      <c r="BE21" s="2122" t="str">
        <f t="shared" si="48"/>
        <v>-</v>
      </c>
      <c r="BF21" s="2123"/>
      <c r="BG21" s="2123"/>
      <c r="BH21" s="2123"/>
      <c r="BI21" s="2123"/>
      <c r="BJ21" s="2123"/>
      <c r="BK21" s="2126"/>
      <c r="BL21" s="2122" t="str">
        <f t="shared" si="49"/>
        <v>-</v>
      </c>
      <c r="BM21" s="2123"/>
      <c r="BN21" s="2123"/>
      <c r="BO21" s="2123"/>
      <c r="BP21" s="2123"/>
      <c r="BQ21" s="1589"/>
      <c r="BR21" s="1591" t="b">
        <f>+P21+W21+AD21+AR21+AY21+BF21+BM21=I21</f>
        <v>1</v>
      </c>
      <c r="BS21" s="1592" t="b">
        <f>+Q21+X21+AE21+AS21+AZ21+BG21+BN21=K21</f>
        <v>1</v>
      </c>
      <c r="BT21" s="1592"/>
      <c r="BU21" s="401"/>
      <c r="BV21" s="401"/>
      <c r="BW21" s="401"/>
      <c r="BX21" s="401"/>
      <c r="BY21" s="401"/>
      <c r="BZ21" s="401"/>
      <c r="CA21" s="401"/>
      <c r="CB21" s="401"/>
      <c r="CC21" s="404"/>
      <c r="CD21" s="404"/>
    </row>
    <row r="22" spans="1:82" ht="13.5" customHeight="1">
      <c r="A22" s="1649"/>
      <c r="B22" s="2517"/>
      <c r="C22" s="2518"/>
      <c r="D22" s="2518"/>
      <c r="E22" s="2518"/>
      <c r="F22" s="419" t="s">
        <v>130</v>
      </c>
      <c r="G22" s="1628">
        <f>SUM(G17:G21)</f>
        <v>1352418040</v>
      </c>
      <c r="H22" s="1628">
        <f>SUM(H17:H21)</f>
        <v>104328000</v>
      </c>
      <c r="I22" s="1628">
        <f t="shared" ref="I22" si="50">SUM(I17:I21)</f>
        <v>1456746040</v>
      </c>
      <c r="J22" s="419">
        <f t="shared" si="0"/>
        <v>7.5797727927923525E-2</v>
      </c>
      <c r="K22" s="1628">
        <f t="shared" ref="K22:L22" si="51">SUM(K17:K21)</f>
        <v>110418040</v>
      </c>
      <c r="L22" s="1628">
        <f t="shared" si="51"/>
        <v>1346328000</v>
      </c>
      <c r="M22" s="419"/>
      <c r="N22" s="419"/>
      <c r="O22" s="1634">
        <f t="shared" ref="O22:O24" si="52">+IFERROR(P22/$I22,"-")</f>
        <v>0.21221134742195696</v>
      </c>
      <c r="P22" s="1628">
        <f t="shared" ref="P22:Q22" si="53">SUM(P17:P21)</f>
        <v>309138040</v>
      </c>
      <c r="Q22" s="1628">
        <f t="shared" si="53"/>
        <v>110418040</v>
      </c>
      <c r="R22" s="1684">
        <f t="shared" ref="R22" si="54">+P22-Q22</f>
        <v>198720000</v>
      </c>
      <c r="S22" s="419"/>
      <c r="T22" s="419"/>
      <c r="U22" s="419"/>
      <c r="V22" s="1634">
        <f t="shared" si="43"/>
        <v>0</v>
      </c>
      <c r="W22" s="1628">
        <f t="shared" ref="W22:X22" si="55">SUM(W17:W21)</f>
        <v>0</v>
      </c>
      <c r="X22" s="1628">
        <f t="shared" si="55"/>
        <v>0</v>
      </c>
      <c r="Y22" s="1684">
        <f t="shared" ref="Y22" si="56">+W22-X22</f>
        <v>0</v>
      </c>
      <c r="Z22" s="419"/>
      <c r="AA22" s="419"/>
      <c r="AB22" s="419"/>
      <c r="AC22" s="1634">
        <f t="shared" si="44"/>
        <v>0.23633659577341293</v>
      </c>
      <c r="AD22" s="1628">
        <f t="shared" ref="AD22:AE22" si="57">SUM(AD17:AD21)</f>
        <v>344282400</v>
      </c>
      <c r="AE22" s="1628">
        <f t="shared" si="57"/>
        <v>0</v>
      </c>
      <c r="AF22" s="1684">
        <f t="shared" ref="AF22" si="58">+AD22-AE22</f>
        <v>344282400</v>
      </c>
      <c r="AG22" s="419"/>
      <c r="AH22" s="419"/>
      <c r="AI22" s="419"/>
      <c r="AJ22" s="1634">
        <f t="shared" si="45"/>
        <v>0.31511546103121724</v>
      </c>
      <c r="AK22" s="1628">
        <f t="shared" ref="AK22:AL22" si="59">SUM(AK17:AK21)</f>
        <v>459043200</v>
      </c>
      <c r="AL22" s="1628">
        <f t="shared" si="59"/>
        <v>0</v>
      </c>
      <c r="AM22" s="1684">
        <f t="shared" ref="AM22" si="60">+AK22-AL22</f>
        <v>459043200</v>
      </c>
      <c r="AN22" s="419"/>
      <c r="AO22" s="419"/>
      <c r="AP22" s="419"/>
      <c r="AQ22" s="1634">
        <f t="shared" si="46"/>
        <v>0</v>
      </c>
      <c r="AR22" s="1628">
        <f t="shared" ref="AR22:AS22" si="61">SUM(AR17:AR21)</f>
        <v>0</v>
      </c>
      <c r="AS22" s="1628">
        <f t="shared" si="61"/>
        <v>0</v>
      </c>
      <c r="AT22" s="1684">
        <f t="shared" ref="AT22" si="62">+AR22-AS22</f>
        <v>0</v>
      </c>
      <c r="AU22" s="419"/>
      <c r="AV22" s="419"/>
      <c r="AW22" s="419"/>
      <c r="AX22" s="1634">
        <f t="shared" si="47"/>
        <v>0</v>
      </c>
      <c r="AY22" s="1628">
        <f t="shared" ref="AY22:AZ22" si="63">SUM(AY17:AY21)</f>
        <v>0</v>
      </c>
      <c r="AZ22" s="1628">
        <f t="shared" si="63"/>
        <v>0</v>
      </c>
      <c r="BA22" s="1684">
        <f t="shared" ref="BA22" si="64">+AY22-AZ22</f>
        <v>0</v>
      </c>
      <c r="BB22" s="419"/>
      <c r="BC22" s="419"/>
      <c r="BD22" s="419"/>
      <c r="BE22" s="1634">
        <f t="shared" si="48"/>
        <v>0</v>
      </c>
      <c r="BF22" s="1628">
        <f t="shared" ref="BF22:BG22" si="65">SUM(BF17:BF21)</f>
        <v>0</v>
      </c>
      <c r="BG22" s="1628">
        <f t="shared" si="65"/>
        <v>0</v>
      </c>
      <c r="BH22" s="1684">
        <f t="shared" ref="BH22" si="66">+BF22-BG22</f>
        <v>0</v>
      </c>
      <c r="BI22" s="419"/>
      <c r="BJ22" s="419"/>
      <c r="BK22" s="419"/>
      <c r="BL22" s="1634">
        <f t="shared" si="49"/>
        <v>0.23633659577341293</v>
      </c>
      <c r="BM22" s="1628">
        <f t="shared" ref="BM22:BN22" si="67">SUM(BM17:BM21)</f>
        <v>344282400</v>
      </c>
      <c r="BN22" s="1628">
        <f t="shared" si="67"/>
        <v>0</v>
      </c>
      <c r="BO22" s="1684">
        <f t="shared" ref="BO22" si="68">+BM22-BN22</f>
        <v>344282400</v>
      </c>
      <c r="BP22" s="419"/>
      <c r="BQ22" s="1589"/>
      <c r="BR22" s="1632"/>
      <c r="BS22" s="1633"/>
      <c r="BT22" s="1633"/>
      <c r="BU22" s="401"/>
      <c r="BV22" s="401"/>
      <c r="BW22" s="401"/>
      <c r="BX22" s="401"/>
      <c r="BY22" s="401"/>
      <c r="BZ22" s="401"/>
      <c r="CA22" s="401"/>
      <c r="CB22" s="401"/>
      <c r="CC22" s="404"/>
      <c r="CD22" s="404"/>
    </row>
    <row r="23" spans="1:82" ht="13.5" customHeight="1">
      <c r="A23" s="1650"/>
      <c r="B23" s="2517">
        <v>3</v>
      </c>
      <c r="C23" s="2518" t="s">
        <v>2531</v>
      </c>
      <c r="D23" s="2518">
        <v>993.6</v>
      </c>
      <c r="E23" s="2518" t="s">
        <v>124</v>
      </c>
      <c r="F23" s="1659" t="s">
        <v>125</v>
      </c>
      <c r="G23" s="1596">
        <f>+'PAYMENT RATIO_RAW'!F$15*'GM Batch2-SPA'!$D$23/1000</f>
        <v>1043280000</v>
      </c>
      <c r="H23" s="1596">
        <f>+G23*10%</f>
        <v>104328000</v>
      </c>
      <c r="I23" s="1596">
        <f>SUM(G23:H23)</f>
        <v>1147608000</v>
      </c>
      <c r="J23" s="1676">
        <f t="shared" ref="J23:J24" si="69">+IFERROR(K23/I23,"-")</f>
        <v>0</v>
      </c>
      <c r="K23" s="1670">
        <f>+IFERROR(Q23+X23+AE23+AS23+AZ23+BG23+BN23,"-")</f>
        <v>0</v>
      </c>
      <c r="L23" s="1670">
        <f>+I23-K23</f>
        <v>1147608000</v>
      </c>
      <c r="M23" s="1586"/>
      <c r="N23" s="1586"/>
      <c r="O23" s="1660">
        <f t="shared" si="52"/>
        <v>0</v>
      </c>
      <c r="P23" s="1654">
        <f>+$I23*'PAYMENT RATIO_RAW'!G$15</f>
        <v>0</v>
      </c>
      <c r="Q23" s="1678"/>
      <c r="R23" s="1678">
        <f>+P23-Q23</f>
        <v>0</v>
      </c>
      <c r="S23" s="1679"/>
      <c r="T23" s="1625"/>
      <c r="U23" s="1586"/>
      <c r="V23" s="1677"/>
      <c r="W23" s="1654">
        <f>+$I23*'PAYMENT RATIO_RAW'!N$15</f>
        <v>0</v>
      </c>
      <c r="X23" s="1678"/>
      <c r="Y23" s="1678">
        <f>+W23-X23</f>
        <v>0</v>
      </c>
      <c r="Z23" s="1679"/>
      <c r="AA23" s="1625">
        <f>+EDATE(AH23,-1)</f>
        <v>46254</v>
      </c>
      <c r="AB23" s="1586"/>
      <c r="AC23" s="1677">
        <f>+IFERROR(AD23/$I23,"-")</f>
        <v>0.3</v>
      </c>
      <c r="AD23" s="1654">
        <f>+'PAYMENT RATIO_RAW'!$U$15*I23</f>
        <v>344282400</v>
      </c>
      <c r="AE23" s="1678"/>
      <c r="AF23" s="1678">
        <f>+AD23-AE23</f>
        <v>344282400</v>
      </c>
      <c r="AG23" s="1679"/>
      <c r="AH23" s="1625">
        <f>+EDATE(AO23,-1)</f>
        <v>46285</v>
      </c>
      <c r="AI23" s="1585"/>
      <c r="AJ23" s="1677">
        <f>+IFERROR(AK23/$I23,"-")</f>
        <v>0.4</v>
      </c>
      <c r="AK23" s="1654">
        <f>+'PAYMENT RATIO_RAW'!$AB$15*I23</f>
        <v>459043200</v>
      </c>
      <c r="AL23" s="1678"/>
      <c r="AM23" s="1678">
        <f>+AK23-AL23</f>
        <v>459043200</v>
      </c>
      <c r="AN23" s="1679"/>
      <c r="AO23" s="1625">
        <f>+EDATE(AV23,-1)</f>
        <v>46315</v>
      </c>
      <c r="AP23" s="1586"/>
      <c r="AQ23" s="1677">
        <f>+IFERROR(AR23/$I23,"-")</f>
        <v>0</v>
      </c>
      <c r="AR23" s="1654">
        <f>+$I23*'PAYMENT RATIO_RAW'!AI$15</f>
        <v>0</v>
      </c>
      <c r="AS23" s="1678"/>
      <c r="AT23" s="1678">
        <f>+AR23-AS23</f>
        <v>0</v>
      </c>
      <c r="AU23" s="1679"/>
      <c r="AV23" s="1625">
        <f>+EDATE(BC23,-1)</f>
        <v>46346</v>
      </c>
      <c r="AW23" s="1586"/>
      <c r="AX23" s="1677">
        <f>+IFERROR(AY23/$I23,"-")</f>
        <v>0</v>
      </c>
      <c r="AY23" s="1654">
        <f>+$I23*'PAYMENT RATIO_RAW'!AP$15</f>
        <v>0</v>
      </c>
      <c r="AZ23" s="1678"/>
      <c r="BA23" s="1678">
        <f>+AY23-AZ23</f>
        <v>0</v>
      </c>
      <c r="BB23" s="1679"/>
      <c r="BC23" s="1625">
        <f>+EDATE(BJ23,-1)</f>
        <v>46376</v>
      </c>
      <c r="BD23" s="1586"/>
      <c r="BE23" s="1677">
        <f>+IFERROR(BF23/$I23,"-")</f>
        <v>0</v>
      </c>
      <c r="BF23" s="1654">
        <f>+$I23*'PAYMENT RATIO_RAW'!AW$15</f>
        <v>0</v>
      </c>
      <c r="BG23" s="1678"/>
      <c r="BH23" s="1678">
        <f>+BF23-BG23</f>
        <v>0</v>
      </c>
      <c r="BI23" s="1679"/>
      <c r="BJ23" s="1625">
        <v>46407</v>
      </c>
      <c r="BK23" s="1586"/>
      <c r="BL23" s="1677">
        <f>+IFERROR(BM23/$I23,"-")</f>
        <v>0.3</v>
      </c>
      <c r="BM23" s="1654">
        <f>+'PAYMENT RATIO_RAW'!$BD$15*I23</f>
        <v>344282400</v>
      </c>
      <c r="BN23" s="1678"/>
      <c r="BO23" s="1678">
        <f>+BM23-BN23</f>
        <v>344282400</v>
      </c>
      <c r="BP23" s="1679"/>
      <c r="BQ23" s="1588"/>
      <c r="BR23" s="1587" t="b">
        <f>+P23+W23+AD23+AK23+AR23+AY23+BF23+BM23=I23</f>
        <v>1</v>
      </c>
      <c r="BS23" s="1587" t="b">
        <f>+Q23+X23+AE23+AS23+AZ23+BG23+BN23=K23</f>
        <v>1</v>
      </c>
      <c r="BT23" s="1587"/>
      <c r="BU23" s="404"/>
      <c r="BV23" s="404"/>
      <c r="BW23" s="404"/>
      <c r="BX23" s="404"/>
      <c r="BY23" s="404"/>
      <c r="BZ23" s="404"/>
      <c r="CA23" s="404"/>
      <c r="CB23" s="404"/>
      <c r="CC23" s="404"/>
      <c r="CD23" s="404"/>
    </row>
    <row r="24" spans="1:82" ht="13.5" customHeight="1">
      <c r="A24" s="1650"/>
      <c r="B24" s="2517"/>
      <c r="C24" s="2518"/>
      <c r="D24" s="2518"/>
      <c r="E24" s="2518"/>
      <c r="F24" s="1661" t="s">
        <v>126</v>
      </c>
      <c r="G24" s="2552">
        <v>108773270</v>
      </c>
      <c r="H24" s="2543"/>
      <c r="I24" s="2552">
        <f>+G24+H24</f>
        <v>108773270</v>
      </c>
      <c r="J24" s="2550">
        <f t="shared" si="69"/>
        <v>1</v>
      </c>
      <c r="K24" s="2543">
        <f>+IFERROR(Q24+X24+AE24+AS24+AZ24+BG24+BN24,"-")</f>
        <v>108773270</v>
      </c>
      <c r="L24" s="2543">
        <f>+I24-K24</f>
        <v>0</v>
      </c>
      <c r="M24" s="2541">
        <v>45863</v>
      </c>
      <c r="N24" s="2541">
        <v>45863</v>
      </c>
      <c r="O24" s="2545">
        <f t="shared" si="52"/>
        <v>1</v>
      </c>
      <c r="P24" s="2543">
        <f>+I24</f>
        <v>108773270</v>
      </c>
      <c r="Q24" s="2543">
        <v>108773270</v>
      </c>
      <c r="R24" s="2543">
        <f>+P24-Q24</f>
        <v>0</v>
      </c>
      <c r="S24" s="2543"/>
      <c r="T24" s="2541"/>
      <c r="U24" s="2541"/>
      <c r="V24" s="2545">
        <f t="shared" ref="V24" si="70">+IFERROR(W24/$I24,"-")</f>
        <v>0</v>
      </c>
      <c r="W24" s="2543"/>
      <c r="X24" s="2543"/>
      <c r="Y24" s="2543"/>
      <c r="Z24" s="2543"/>
      <c r="AA24" s="2541"/>
      <c r="AB24" s="2541"/>
      <c r="AC24" s="2545">
        <f t="shared" ref="AC24" si="71">+IFERROR(AD24/$I24,"-")</f>
        <v>0</v>
      </c>
      <c r="AD24" s="2543"/>
      <c r="AE24" s="2543"/>
      <c r="AF24" s="2543"/>
      <c r="AG24" s="2543"/>
      <c r="AH24" s="2541"/>
      <c r="AI24" s="2541"/>
      <c r="AJ24" s="2545">
        <f t="shared" ref="AJ24" si="72">+IFERROR(AK24/$I24,"-")</f>
        <v>0</v>
      </c>
      <c r="AK24" s="2543"/>
      <c r="AL24" s="2543"/>
      <c r="AM24" s="2543"/>
      <c r="AN24" s="2543"/>
      <c r="AO24" s="2541"/>
      <c r="AP24" s="2541"/>
      <c r="AQ24" s="2545">
        <f t="shared" ref="AQ24" si="73">+IFERROR(AR24/$I24,"-")</f>
        <v>0</v>
      </c>
      <c r="AR24" s="2543"/>
      <c r="AS24" s="2543"/>
      <c r="AT24" s="2543"/>
      <c r="AU24" s="2543"/>
      <c r="AV24" s="2541"/>
      <c r="AW24" s="2541"/>
      <c r="AX24" s="2545">
        <f t="shared" ref="AX24" si="74">+IFERROR(AY24/$I24,"-")</f>
        <v>0</v>
      </c>
      <c r="AY24" s="2543"/>
      <c r="AZ24" s="2543"/>
      <c r="BA24" s="2543"/>
      <c r="BB24" s="2543"/>
      <c r="BC24" s="2541"/>
      <c r="BD24" s="2541"/>
      <c r="BE24" s="2545">
        <f t="shared" ref="BE24" si="75">+IFERROR(BF24/$I24,"-")</f>
        <v>0</v>
      </c>
      <c r="BF24" s="2543"/>
      <c r="BG24" s="2543"/>
      <c r="BH24" s="2543"/>
      <c r="BI24" s="2543"/>
      <c r="BJ24" s="2541"/>
      <c r="BK24" s="2541"/>
      <c r="BL24" s="2545">
        <f t="shared" ref="BL24" si="76">+IFERROR(BM24/$I24,"-")</f>
        <v>0</v>
      </c>
      <c r="BM24" s="2543"/>
      <c r="BN24" s="2543"/>
      <c r="BO24" s="2543"/>
      <c r="BP24" s="2543"/>
      <c r="BQ24" s="1588"/>
      <c r="BR24" s="1587" t="b">
        <f>+BM24+BF24+AY24+AR24+AD24+W24+P24=I24</f>
        <v>1</v>
      </c>
      <c r="BS24" s="1587" t="b">
        <f>+Q24+X24+AE24+AS24+AZ24+BG24+BN24=K24</f>
        <v>1</v>
      </c>
      <c r="BT24" s="1587" t="b">
        <f>+BF24+BF26+AY24+AY26+AR24+AR26+AD24+AD26+W24+W26+P24+P26+BM24+BM26=('PAYMENT RATIO_RAW'!$F$16+'PAYMENT RATIO_RAW'!$F$18)*D23*1.1/1000</f>
        <v>0</v>
      </c>
      <c r="BU24" s="404"/>
      <c r="BV24" s="404"/>
      <c r="BW24" s="404"/>
      <c r="BX24" s="404"/>
      <c r="BY24" s="404"/>
      <c r="BZ24" s="404"/>
      <c r="CA24" s="404"/>
      <c r="CB24" s="404"/>
      <c r="CC24" s="404"/>
      <c r="CD24" s="404"/>
    </row>
    <row r="25" spans="1:82" ht="13.5" customHeight="1">
      <c r="A25" s="1650"/>
      <c r="B25" s="2517"/>
      <c r="C25" s="2518"/>
      <c r="D25" s="2518"/>
      <c r="E25" s="2518"/>
      <c r="F25" s="1661" t="s">
        <v>127</v>
      </c>
      <c r="G25" s="2553"/>
      <c r="H25" s="2544"/>
      <c r="I25" s="2553"/>
      <c r="J25" s="2551"/>
      <c r="K25" s="2544"/>
      <c r="L25" s="2544"/>
      <c r="M25" s="2542"/>
      <c r="N25" s="2542"/>
      <c r="O25" s="2546"/>
      <c r="P25" s="2544"/>
      <c r="Q25" s="2544"/>
      <c r="R25" s="2544"/>
      <c r="S25" s="2544"/>
      <c r="T25" s="2542"/>
      <c r="U25" s="2542"/>
      <c r="V25" s="2546"/>
      <c r="W25" s="2544"/>
      <c r="X25" s="2544"/>
      <c r="Y25" s="2544"/>
      <c r="Z25" s="2544"/>
      <c r="AA25" s="2542"/>
      <c r="AB25" s="2542"/>
      <c r="AC25" s="2546"/>
      <c r="AD25" s="2544"/>
      <c r="AE25" s="2544"/>
      <c r="AF25" s="2544"/>
      <c r="AG25" s="2544"/>
      <c r="AH25" s="2542"/>
      <c r="AI25" s="2542"/>
      <c r="AJ25" s="2546"/>
      <c r="AK25" s="2544"/>
      <c r="AL25" s="2544"/>
      <c r="AM25" s="2544"/>
      <c r="AN25" s="2544"/>
      <c r="AO25" s="2542"/>
      <c r="AP25" s="2542"/>
      <c r="AQ25" s="2546"/>
      <c r="AR25" s="2544"/>
      <c r="AS25" s="2544"/>
      <c r="AT25" s="2544"/>
      <c r="AU25" s="2544"/>
      <c r="AV25" s="2542"/>
      <c r="AW25" s="2542"/>
      <c r="AX25" s="2546"/>
      <c r="AY25" s="2544"/>
      <c r="AZ25" s="2544"/>
      <c r="BA25" s="2544"/>
      <c r="BB25" s="2544"/>
      <c r="BC25" s="2542"/>
      <c r="BD25" s="2542"/>
      <c r="BE25" s="2546"/>
      <c r="BF25" s="2544"/>
      <c r="BG25" s="2544"/>
      <c r="BH25" s="2544"/>
      <c r="BI25" s="2544"/>
      <c r="BJ25" s="2542"/>
      <c r="BK25" s="2542"/>
      <c r="BL25" s="2546"/>
      <c r="BM25" s="2544"/>
      <c r="BN25" s="2544"/>
      <c r="BO25" s="2544"/>
      <c r="BP25" s="2544"/>
      <c r="BQ25" s="1588"/>
      <c r="BR25" s="1587" t="b">
        <f>+P25+W25+AD25+AR25+AY25+BF25+BM25=I25</f>
        <v>1</v>
      </c>
      <c r="BS25" s="1587" t="b">
        <f>+Q25+X25+AE25+AS25+AZ25+BG25+BN25=K25</f>
        <v>1</v>
      </c>
      <c r="BT25" s="1587"/>
      <c r="BU25" s="404"/>
      <c r="BV25" s="404"/>
      <c r="BW25" s="404"/>
      <c r="BX25" s="404"/>
      <c r="BY25" s="404"/>
      <c r="BZ25" s="404"/>
      <c r="CA25" s="404"/>
      <c r="CB25" s="404"/>
      <c r="CC25" s="404"/>
      <c r="CD25" s="404"/>
    </row>
    <row r="26" spans="1:82" ht="13.5" customHeight="1">
      <c r="A26" s="1650"/>
      <c r="B26" s="2517"/>
      <c r="C26" s="2518"/>
      <c r="D26" s="2518"/>
      <c r="E26" s="2518"/>
      <c r="F26" s="1661" t="s">
        <v>128</v>
      </c>
      <c r="G26" s="1701">
        <f>+'PAYMENT RATIO_RAW'!G18*'PAYMENT RATIO_RAW'!F18*D23/1000</f>
        <v>198720000</v>
      </c>
      <c r="H26" s="1701"/>
      <c r="I26" s="1701">
        <f t="shared" ref="I26:I27" si="77">SUM(G26:H26)</f>
        <v>198720000</v>
      </c>
      <c r="J26" s="2119">
        <f t="shared" ref="J26:J27" si="78">+IFERROR(K26/I26,"-")</f>
        <v>0</v>
      </c>
      <c r="K26" s="1701">
        <f t="shared" ref="K26:K27" si="79">+IFERROR(Q26+X26+AE26+AS26+AZ26+BG26+BN26,"-")</f>
        <v>0</v>
      </c>
      <c r="L26" s="1701">
        <f>+I26-K26</f>
        <v>198720000</v>
      </c>
      <c r="M26" s="1701"/>
      <c r="N26" s="2121"/>
      <c r="O26" s="2120">
        <f t="shared" ref="O26:O28" si="80">+IFERROR(P26/$I26,"-")</f>
        <v>1</v>
      </c>
      <c r="P26" s="1701">
        <f>+'PAYMENT RATIO_RAW'!G18*$I26</f>
        <v>198720000</v>
      </c>
      <c r="Q26" s="1701"/>
      <c r="R26" s="1678">
        <f>+P26-Q26</f>
        <v>198720000</v>
      </c>
      <c r="S26" s="1701"/>
      <c r="T26" s="1701"/>
      <c r="U26" s="2121"/>
      <c r="V26" s="2120">
        <f t="shared" ref="V26:V27" si="81">+IFERROR(W26/$I26,"-")</f>
        <v>0</v>
      </c>
      <c r="W26" s="1701">
        <f>+'PAYMENT RATIO_RAW'!N24*$I26</f>
        <v>0</v>
      </c>
      <c r="X26" s="1701"/>
      <c r="Y26" s="1701"/>
      <c r="Z26" s="1701"/>
      <c r="AA26" s="1701"/>
      <c r="AB26" s="2121"/>
      <c r="AC26" s="2120">
        <f t="shared" ref="AC26:AC27" si="82">+IFERROR(AD26/$I26,"-")</f>
        <v>0</v>
      </c>
      <c r="AD26" s="1701"/>
      <c r="AE26" s="1701"/>
      <c r="AF26" s="1701"/>
      <c r="AG26" s="1701"/>
      <c r="AH26" s="1701"/>
      <c r="AI26" s="2121"/>
      <c r="AJ26" s="2120">
        <f t="shared" ref="AJ26:AJ27" si="83">+IFERROR(AK26/$I26,"-")</f>
        <v>0</v>
      </c>
      <c r="AK26" s="1701">
        <f>+'PAYMENT RATIO_RAW'!AB24*$I26</f>
        <v>0</v>
      </c>
      <c r="AL26" s="1701"/>
      <c r="AM26" s="1701"/>
      <c r="AN26" s="1701"/>
      <c r="AO26" s="1701"/>
      <c r="AP26" s="2121"/>
      <c r="AQ26" s="2120">
        <f t="shared" ref="AQ26:AQ27" si="84">+IFERROR(AR26/$I26,"-")</f>
        <v>0</v>
      </c>
      <c r="AR26" s="1701"/>
      <c r="AS26" s="1701"/>
      <c r="AT26" s="1701"/>
      <c r="AU26" s="1701"/>
      <c r="AV26" s="1701"/>
      <c r="AW26" s="2121"/>
      <c r="AX26" s="2120">
        <f t="shared" ref="AX26:AX27" si="85">+IFERROR(AY26/$I26,"-")</f>
        <v>0</v>
      </c>
      <c r="AY26" s="1701"/>
      <c r="AZ26" s="1701"/>
      <c r="BA26" s="1701"/>
      <c r="BB26" s="1701"/>
      <c r="BC26" s="1701"/>
      <c r="BD26" s="2121"/>
      <c r="BE26" s="2120">
        <f t="shared" ref="BE26:BE27" si="86">+IFERROR(BF26/$I26,"-")</f>
        <v>0</v>
      </c>
      <c r="BF26" s="1701"/>
      <c r="BG26" s="1701"/>
      <c r="BH26" s="1701"/>
      <c r="BI26" s="1701"/>
      <c r="BJ26" s="1701"/>
      <c r="BK26" s="2121"/>
      <c r="BL26" s="2120">
        <f t="shared" ref="BL26:BL27" si="87">+IFERROR(BM26/$I26,"-")</f>
        <v>0</v>
      </c>
      <c r="BM26" s="1701"/>
      <c r="BN26" s="1701"/>
      <c r="BO26" s="1701"/>
      <c r="BP26" s="1701"/>
      <c r="BQ26" s="1588"/>
      <c r="BR26" s="1587" t="b">
        <f>+P26+W26+AD26+AR26+AY26+BF26+BM26=I26</f>
        <v>1</v>
      </c>
      <c r="BS26" s="1587" t="b">
        <f>+Q26+X26+AE26+AS26+AZ26+BG26+BN26=K26</f>
        <v>1</v>
      </c>
      <c r="BT26" s="1587"/>
      <c r="BU26" s="404"/>
      <c r="BV26" s="404"/>
      <c r="BW26" s="404"/>
      <c r="BX26" s="404"/>
      <c r="BY26" s="404"/>
      <c r="BZ26" s="404"/>
      <c r="CA26" s="404"/>
      <c r="CB26" s="404"/>
      <c r="CC26" s="404"/>
      <c r="CD26" s="404"/>
    </row>
    <row r="27" spans="1:82" ht="13.5" customHeight="1">
      <c r="A27" s="1650"/>
      <c r="B27" s="2517"/>
      <c r="C27" s="2518"/>
      <c r="D27" s="2518"/>
      <c r="E27" s="2518"/>
      <c r="F27" s="1627" t="s">
        <v>129</v>
      </c>
      <c r="G27" s="2118"/>
      <c r="H27" s="2123"/>
      <c r="I27" s="2123">
        <f t="shared" si="77"/>
        <v>0</v>
      </c>
      <c r="J27" s="2119" t="str">
        <f t="shared" si="78"/>
        <v>-</v>
      </c>
      <c r="K27" s="2123">
        <f t="shared" si="79"/>
        <v>0</v>
      </c>
      <c r="L27" s="2123"/>
      <c r="M27" s="2123"/>
      <c r="N27" s="2126"/>
      <c r="O27" s="2122" t="str">
        <f t="shared" si="80"/>
        <v>-</v>
      </c>
      <c r="P27" s="2123"/>
      <c r="Q27" s="2123"/>
      <c r="R27" s="1678">
        <f>+P27-Q27</f>
        <v>0</v>
      </c>
      <c r="S27" s="2123"/>
      <c r="T27" s="2123"/>
      <c r="U27" s="2126"/>
      <c r="V27" s="2122" t="str">
        <f t="shared" si="81"/>
        <v>-</v>
      </c>
      <c r="W27" s="2123"/>
      <c r="X27" s="2123"/>
      <c r="Y27" s="2123"/>
      <c r="Z27" s="2123"/>
      <c r="AA27" s="2123"/>
      <c r="AB27" s="2126"/>
      <c r="AC27" s="2122" t="str">
        <f t="shared" si="82"/>
        <v>-</v>
      </c>
      <c r="AD27" s="2123"/>
      <c r="AE27" s="2123"/>
      <c r="AF27" s="2123"/>
      <c r="AG27" s="2123"/>
      <c r="AH27" s="2123"/>
      <c r="AI27" s="2126"/>
      <c r="AJ27" s="2122" t="str">
        <f t="shared" si="83"/>
        <v>-</v>
      </c>
      <c r="AK27" s="2123"/>
      <c r="AL27" s="2123"/>
      <c r="AM27" s="2123"/>
      <c r="AN27" s="2123"/>
      <c r="AO27" s="2123"/>
      <c r="AP27" s="2126"/>
      <c r="AQ27" s="2122" t="str">
        <f t="shared" si="84"/>
        <v>-</v>
      </c>
      <c r="AR27" s="2123"/>
      <c r="AS27" s="2123"/>
      <c r="AT27" s="2123"/>
      <c r="AU27" s="2123"/>
      <c r="AV27" s="2123"/>
      <c r="AW27" s="2126"/>
      <c r="AX27" s="2122" t="str">
        <f t="shared" si="85"/>
        <v>-</v>
      </c>
      <c r="AY27" s="2123"/>
      <c r="AZ27" s="2123"/>
      <c r="BA27" s="2123"/>
      <c r="BB27" s="2123"/>
      <c r="BC27" s="2123"/>
      <c r="BD27" s="2126"/>
      <c r="BE27" s="2122" t="str">
        <f t="shared" si="86"/>
        <v>-</v>
      </c>
      <c r="BF27" s="2123"/>
      <c r="BG27" s="2123"/>
      <c r="BH27" s="2123"/>
      <c r="BI27" s="2123"/>
      <c r="BJ27" s="2123"/>
      <c r="BK27" s="2126"/>
      <c r="BL27" s="2122" t="str">
        <f t="shared" si="87"/>
        <v>-</v>
      </c>
      <c r="BM27" s="2123"/>
      <c r="BN27" s="2123"/>
      <c r="BO27" s="2123"/>
      <c r="BP27" s="2123"/>
      <c r="BQ27" s="1589"/>
      <c r="BR27" s="1591" t="b">
        <f>+P27+W27+AD27+AR27+AY27+BF27+BM27=I27</f>
        <v>1</v>
      </c>
      <c r="BS27" s="1592" t="b">
        <f>+Q27+X27+AE27+AS27+AZ27+BG27+BN27=K27</f>
        <v>1</v>
      </c>
      <c r="BT27" s="1592"/>
      <c r="BU27" s="404"/>
      <c r="BV27" s="404"/>
      <c r="BW27" s="404"/>
      <c r="BX27" s="404"/>
      <c r="BY27" s="404"/>
      <c r="BZ27" s="404"/>
      <c r="CA27" s="404"/>
      <c r="CB27" s="404"/>
      <c r="CC27" s="404"/>
      <c r="CD27" s="404"/>
    </row>
    <row r="28" spans="1:82" ht="13.5" customHeight="1">
      <c r="A28" s="1649"/>
      <c r="B28" s="2517"/>
      <c r="C28" s="2518"/>
      <c r="D28" s="2518"/>
      <c r="E28" s="2518"/>
      <c r="F28" s="419" t="s">
        <v>130</v>
      </c>
      <c r="G28" s="1628">
        <f>SUM(G23:G27)</f>
        <v>1350773270</v>
      </c>
      <c r="H28" s="1628">
        <f>SUM(H23:H27)</f>
        <v>104328000</v>
      </c>
      <c r="I28" s="1628">
        <f t="shared" ref="I28" si="88">SUM(I23:I27)</f>
        <v>1455101270</v>
      </c>
      <c r="J28" s="419">
        <f t="shared" si="0"/>
        <v>7.4753058252777144E-2</v>
      </c>
      <c r="K28" s="1628">
        <f t="shared" ref="K28:L28" si="89">SUM(K23:K27)</f>
        <v>108773270</v>
      </c>
      <c r="L28" s="1628">
        <f t="shared" si="89"/>
        <v>1346328000</v>
      </c>
      <c r="M28" s="419"/>
      <c r="N28" s="419"/>
      <c r="O28" s="1634">
        <f t="shared" si="80"/>
        <v>0.21132087253281004</v>
      </c>
      <c r="P28" s="1628">
        <f t="shared" ref="P28:Q28" si="90">SUM(P23:P27)</f>
        <v>307493270</v>
      </c>
      <c r="Q28" s="1628">
        <f t="shared" si="90"/>
        <v>108773270</v>
      </c>
      <c r="R28" s="1684">
        <f t="shared" ref="R28" si="91">+P28-Q28</f>
        <v>198720000</v>
      </c>
      <c r="S28" s="419"/>
      <c r="T28" s="1631"/>
      <c r="U28" s="419"/>
      <c r="V28" s="1634">
        <f t="shared" ref="V28" si="92">+IFERROR(W28/$I28,"-")</f>
        <v>0</v>
      </c>
      <c r="W28" s="1628">
        <f t="shared" ref="W28:X28" si="93">SUM(W23:W27)</f>
        <v>0</v>
      </c>
      <c r="X28" s="1628">
        <f t="shared" si="93"/>
        <v>0</v>
      </c>
      <c r="Y28" s="1684">
        <f t="shared" ref="Y28" si="94">+W28-X28</f>
        <v>0</v>
      </c>
      <c r="Z28" s="419"/>
      <c r="AA28" s="1631"/>
      <c r="AB28" s="419"/>
      <c r="AC28" s="1634">
        <f t="shared" ref="AC28" si="95">+IFERROR(AD28/$I28,"-")</f>
        <v>0.23660373824015699</v>
      </c>
      <c r="AD28" s="1628">
        <f t="shared" ref="AD28:AE28" si="96">SUM(AD23:AD27)</f>
        <v>344282400</v>
      </c>
      <c r="AE28" s="1628">
        <f t="shared" si="96"/>
        <v>0</v>
      </c>
      <c r="AF28" s="1684">
        <f t="shared" ref="AF28" si="97">+AD28-AE28</f>
        <v>344282400</v>
      </c>
      <c r="AG28" s="419"/>
      <c r="AH28" s="1631"/>
      <c r="AI28" s="419"/>
      <c r="AJ28" s="1634">
        <f t="shared" ref="AJ28" si="98">+IFERROR(AK28/$I28,"-")</f>
        <v>0.31547165098687596</v>
      </c>
      <c r="AK28" s="1628">
        <f t="shared" ref="AK28:AL28" si="99">SUM(AK23:AK27)</f>
        <v>459043200</v>
      </c>
      <c r="AL28" s="1628">
        <f t="shared" si="99"/>
        <v>0</v>
      </c>
      <c r="AM28" s="1684">
        <f t="shared" ref="AM28" si="100">+AK28-AL28</f>
        <v>459043200</v>
      </c>
      <c r="AN28" s="419"/>
      <c r="AO28" s="1631"/>
      <c r="AP28" s="419"/>
      <c r="AQ28" s="1634">
        <f t="shared" ref="AQ28" si="101">+IFERROR(AR28/$I28,"-")</f>
        <v>0</v>
      </c>
      <c r="AR28" s="1628">
        <f t="shared" ref="AR28" si="102">SUM(AR23:AR27)</f>
        <v>0</v>
      </c>
      <c r="AS28" s="1628">
        <f t="shared" ref="AS28" si="103">SUM(AS23:AS27)</f>
        <v>0</v>
      </c>
      <c r="AT28" s="1684">
        <f t="shared" ref="AT28" si="104">+AR28-AS28</f>
        <v>0</v>
      </c>
      <c r="AU28" s="419"/>
      <c r="AV28" s="1631"/>
      <c r="AW28" s="419"/>
      <c r="AX28" s="1634">
        <f t="shared" ref="AX28" si="105">+IFERROR(AY28/$I28,"-")</f>
        <v>0</v>
      </c>
      <c r="AY28" s="1628">
        <f t="shared" ref="AY28" si="106">SUM(AY23:AY27)</f>
        <v>0</v>
      </c>
      <c r="AZ28" s="1628">
        <f t="shared" ref="AZ28" si="107">SUM(AZ23:AZ27)</f>
        <v>0</v>
      </c>
      <c r="BA28" s="1684">
        <f t="shared" ref="BA28" si="108">+AY28-AZ28</f>
        <v>0</v>
      </c>
      <c r="BB28" s="419"/>
      <c r="BC28" s="1631"/>
      <c r="BD28" s="419"/>
      <c r="BE28" s="1634">
        <f t="shared" si="33"/>
        <v>0</v>
      </c>
      <c r="BF28" s="1628">
        <f t="shared" ref="BF28" si="109">SUM(BF23:BF27)</f>
        <v>0</v>
      </c>
      <c r="BG28" s="1628">
        <f t="shared" ref="BG28" si="110">SUM(BG23:BG27)</f>
        <v>0</v>
      </c>
      <c r="BH28" s="1684">
        <f t="shared" ref="BH28" si="111">+BF28-BG28</f>
        <v>0</v>
      </c>
      <c r="BI28" s="419"/>
      <c r="BJ28" s="1631"/>
      <c r="BK28" s="419"/>
      <c r="BL28" s="1634">
        <f t="shared" si="37"/>
        <v>0.23660373824015699</v>
      </c>
      <c r="BM28" s="1628">
        <f t="shared" ref="BM28:BN28" si="112">SUM(BM23:BM27)</f>
        <v>344282400</v>
      </c>
      <c r="BN28" s="1628">
        <f t="shared" si="112"/>
        <v>0</v>
      </c>
      <c r="BO28" s="1684">
        <f t="shared" ref="BO28" si="113">+BM28-BN28</f>
        <v>344282400</v>
      </c>
      <c r="BP28" s="419"/>
      <c r="BQ28" s="1589"/>
      <c r="BR28" s="1632"/>
      <c r="BS28" s="1633"/>
      <c r="BT28" s="1633"/>
      <c r="BU28" s="401"/>
      <c r="BV28" s="401"/>
      <c r="BW28" s="401"/>
      <c r="BX28" s="401"/>
      <c r="BY28" s="401"/>
      <c r="BZ28" s="401"/>
      <c r="CA28" s="401"/>
      <c r="CB28" s="401"/>
      <c r="CC28" s="404"/>
      <c r="CD28" s="404"/>
    </row>
    <row r="29" spans="1:82" ht="13.5" customHeight="1">
      <c r="A29" s="1649"/>
      <c r="B29" s="2517">
        <v>4</v>
      </c>
      <c r="C29" s="2520" t="s">
        <v>228</v>
      </c>
      <c r="D29" s="2518">
        <v>993.6</v>
      </c>
      <c r="E29" s="2518" t="s">
        <v>124</v>
      </c>
      <c r="F29" s="1659" t="s">
        <v>125</v>
      </c>
      <c r="G29" s="1596">
        <f>+'PAYMENT RATIO_RAW'!F$15*'GM Batch2-SPA'!$D$29/1000</f>
        <v>1043280000</v>
      </c>
      <c r="H29" s="1596">
        <f>+G29*10%</f>
        <v>104328000</v>
      </c>
      <c r="I29" s="1596">
        <f>SUM(G29:H29)</f>
        <v>1147608000</v>
      </c>
      <c r="J29" s="1676">
        <f t="shared" si="0"/>
        <v>0</v>
      </c>
      <c r="K29" s="1670">
        <f>+IFERROR(Q29+X29+AE29+AS29+AZ29+BG29+BN29,"-")</f>
        <v>0</v>
      </c>
      <c r="L29" s="1670">
        <f>+I29-K29</f>
        <v>1147608000</v>
      </c>
      <c r="M29" s="1586"/>
      <c r="N29" s="1586"/>
      <c r="O29" s="1660">
        <f t="shared" ref="O29:O34" si="114">+IFERROR(P29/$I29,"-")</f>
        <v>0</v>
      </c>
      <c r="P29" s="1654">
        <f>+$I29*'PAYMENT RATIO_RAW'!G$15</f>
        <v>0</v>
      </c>
      <c r="Q29" s="1678"/>
      <c r="R29" s="1678">
        <f>+P29-Q29</f>
        <v>0</v>
      </c>
      <c r="S29" s="1679"/>
      <c r="T29" s="1625"/>
      <c r="U29" s="1586"/>
      <c r="V29" s="1677"/>
      <c r="W29" s="1654">
        <f>+$I29*'PAYMENT RATIO_RAW'!N$15</f>
        <v>0</v>
      </c>
      <c r="X29" s="1678"/>
      <c r="Y29" s="1678">
        <f>+W29-X29</f>
        <v>0</v>
      </c>
      <c r="Z29" s="1679"/>
      <c r="AA29" s="1625">
        <f>+EDATE(AH29,-1)</f>
        <v>46254</v>
      </c>
      <c r="AB29" s="1586"/>
      <c r="AC29" s="1677">
        <f>+IFERROR(AD29/$I29,"-")</f>
        <v>0.3</v>
      </c>
      <c r="AD29" s="1654">
        <f>+'PAYMENT RATIO_RAW'!$U$15*I29</f>
        <v>344282400</v>
      </c>
      <c r="AE29" s="1678"/>
      <c r="AF29" s="1678">
        <f>+AD29-AE29</f>
        <v>344282400</v>
      </c>
      <c r="AG29" s="1679"/>
      <c r="AH29" s="1625">
        <f>+EDATE(AO29,-1)</f>
        <v>46285</v>
      </c>
      <c r="AI29" s="1585"/>
      <c r="AJ29" s="1677">
        <f>+IFERROR(AK29/$I29,"-")</f>
        <v>0.4</v>
      </c>
      <c r="AK29" s="1654">
        <f>+'PAYMENT RATIO_RAW'!$AB$15*I29</f>
        <v>459043200</v>
      </c>
      <c r="AL29" s="1678"/>
      <c r="AM29" s="1678">
        <f>+AK29-AL29</f>
        <v>459043200</v>
      </c>
      <c r="AN29" s="1679"/>
      <c r="AO29" s="1625">
        <f>+EDATE(AV29,-1)</f>
        <v>46315</v>
      </c>
      <c r="AP29" s="1586"/>
      <c r="AQ29" s="1677">
        <f>+IFERROR(AR29/$I29,"-")</f>
        <v>0</v>
      </c>
      <c r="AR29" s="1654">
        <f>+$I29*'PAYMENT RATIO_RAW'!AI$15</f>
        <v>0</v>
      </c>
      <c r="AS29" s="1678"/>
      <c r="AT29" s="1678">
        <f>+AR29-AS29</f>
        <v>0</v>
      </c>
      <c r="AU29" s="1679"/>
      <c r="AV29" s="1625">
        <f>+EDATE(BC29,-1)</f>
        <v>46346</v>
      </c>
      <c r="AW29" s="1586"/>
      <c r="AX29" s="1677">
        <f>+IFERROR(AY29/$I29,"-")</f>
        <v>0</v>
      </c>
      <c r="AY29" s="1654">
        <f>+$I29*'PAYMENT RATIO_RAW'!AP$15</f>
        <v>0</v>
      </c>
      <c r="AZ29" s="1678"/>
      <c r="BA29" s="1678">
        <f>+AY29-AZ29</f>
        <v>0</v>
      </c>
      <c r="BB29" s="1679"/>
      <c r="BC29" s="1625">
        <f>+EDATE(BJ29,-1)</f>
        <v>46376</v>
      </c>
      <c r="BD29" s="1586"/>
      <c r="BE29" s="1677">
        <f>+IFERROR(BF29/$I29,"-")</f>
        <v>0</v>
      </c>
      <c r="BF29" s="1654">
        <f>+$I29*'PAYMENT RATIO_RAW'!AW$15</f>
        <v>0</v>
      </c>
      <c r="BG29" s="1678"/>
      <c r="BH29" s="1678">
        <f>+BF29-BG29</f>
        <v>0</v>
      </c>
      <c r="BI29" s="1679"/>
      <c r="BJ29" s="1625">
        <v>46407</v>
      </c>
      <c r="BK29" s="1586"/>
      <c r="BL29" s="1677">
        <f>+IFERROR(BM29/$I29,"-")</f>
        <v>0.3</v>
      </c>
      <c r="BM29" s="1654">
        <f>+'PAYMENT RATIO_RAW'!$BD$15*I29</f>
        <v>344282400</v>
      </c>
      <c r="BN29" s="1678"/>
      <c r="BO29" s="1678">
        <f>+BM29-BN29</f>
        <v>344282400</v>
      </c>
      <c r="BP29" s="1679"/>
      <c r="BQ29" s="1588"/>
      <c r="BR29" s="1587" t="b">
        <f>+P29+W29+AD29+AK29+AR29+AY29+BF29+BM29=I29</f>
        <v>1</v>
      </c>
      <c r="BS29" s="1587" t="b">
        <f>+Q29+X29+AE29+AS29+AZ29+BG29+BN29=K29</f>
        <v>1</v>
      </c>
      <c r="BT29" s="1587"/>
      <c r="BU29" s="401"/>
      <c r="BV29" s="401"/>
      <c r="BW29" s="401"/>
      <c r="BX29" s="401"/>
      <c r="BY29" s="401"/>
      <c r="BZ29" s="401"/>
      <c r="CA29" s="401"/>
      <c r="CB29" s="401"/>
      <c r="CC29" s="404"/>
      <c r="CD29" s="404"/>
    </row>
    <row r="30" spans="1:82" ht="13.5" customHeight="1">
      <c r="A30" s="1649"/>
      <c r="B30" s="2517"/>
      <c r="C30" s="2520"/>
      <c r="D30" s="2518"/>
      <c r="E30" s="2518"/>
      <c r="F30" s="1661" t="s">
        <v>126</v>
      </c>
      <c r="G30" s="2552">
        <v>458479720</v>
      </c>
      <c r="H30" s="2543"/>
      <c r="I30" s="2552">
        <f>+G30+H30</f>
        <v>458479720</v>
      </c>
      <c r="J30" s="2550">
        <f t="shared" si="0"/>
        <v>1</v>
      </c>
      <c r="K30" s="2543">
        <f>+IFERROR(Q30+X30+AE30+AS30+AZ30+BG30+BN30,"-")</f>
        <v>458479720</v>
      </c>
      <c r="L30" s="2543">
        <f>+I30-K30</f>
        <v>0</v>
      </c>
      <c r="M30" s="2541">
        <v>45863</v>
      </c>
      <c r="N30" s="2541">
        <v>45863</v>
      </c>
      <c r="O30" s="2545">
        <f t="shared" si="114"/>
        <v>1</v>
      </c>
      <c r="P30" s="2543">
        <f>+I30</f>
        <v>458479720</v>
      </c>
      <c r="Q30" s="2543">
        <v>458479720</v>
      </c>
      <c r="R30" s="2543">
        <f>+P30-Q30</f>
        <v>0</v>
      </c>
      <c r="S30" s="2543"/>
      <c r="T30" s="2541"/>
      <c r="U30" s="2541"/>
      <c r="V30" s="2545">
        <f t="shared" ref="V30" si="115">+IFERROR(W30/$I30,"-")</f>
        <v>0</v>
      </c>
      <c r="W30" s="2543"/>
      <c r="X30" s="2543"/>
      <c r="Y30" s="2543"/>
      <c r="Z30" s="2543"/>
      <c r="AA30" s="2541"/>
      <c r="AB30" s="2541"/>
      <c r="AC30" s="2545">
        <f t="shared" ref="AC30" si="116">+IFERROR(AD30/$I30,"-")</f>
        <v>0</v>
      </c>
      <c r="AD30" s="2543"/>
      <c r="AE30" s="2543"/>
      <c r="AF30" s="2543"/>
      <c r="AG30" s="2543"/>
      <c r="AH30" s="2541"/>
      <c r="AI30" s="2541"/>
      <c r="AJ30" s="2545">
        <f t="shared" ref="AJ30" si="117">+IFERROR(AK30/$I30,"-")</f>
        <v>0</v>
      </c>
      <c r="AK30" s="2543"/>
      <c r="AL30" s="2543"/>
      <c r="AM30" s="2543"/>
      <c r="AN30" s="2543"/>
      <c r="AO30" s="2541"/>
      <c r="AP30" s="2541"/>
      <c r="AQ30" s="2545">
        <f t="shared" ref="AQ30" si="118">+IFERROR(AR30/$I30,"-")</f>
        <v>0</v>
      </c>
      <c r="AR30" s="2543"/>
      <c r="AS30" s="2543"/>
      <c r="AT30" s="2543"/>
      <c r="AU30" s="2543"/>
      <c r="AV30" s="2541"/>
      <c r="AW30" s="2541"/>
      <c r="AX30" s="2545">
        <f t="shared" ref="AX30" si="119">+IFERROR(AY30/$I30,"-")</f>
        <v>0</v>
      </c>
      <c r="AY30" s="2543"/>
      <c r="AZ30" s="2543"/>
      <c r="BA30" s="2543"/>
      <c r="BB30" s="2543"/>
      <c r="BC30" s="2541"/>
      <c r="BD30" s="2541"/>
      <c r="BE30" s="2545">
        <f t="shared" ref="BE30" si="120">+IFERROR(BF30/$I30,"-")</f>
        <v>0</v>
      </c>
      <c r="BF30" s="2543"/>
      <c r="BG30" s="2543"/>
      <c r="BH30" s="2543"/>
      <c r="BI30" s="2543"/>
      <c r="BJ30" s="2541"/>
      <c r="BK30" s="2541"/>
      <c r="BL30" s="2545">
        <f t="shared" ref="BL30" si="121">+IFERROR(BM30/$I30,"-")</f>
        <v>0</v>
      </c>
      <c r="BM30" s="2543"/>
      <c r="BN30" s="2543"/>
      <c r="BO30" s="2543"/>
      <c r="BP30" s="2543"/>
      <c r="BQ30" s="1588"/>
      <c r="BR30" s="1587" t="b">
        <f>+BM30+BF30+AY30+AR30+AD30+W30+P30=I30</f>
        <v>1</v>
      </c>
      <c r="BS30" s="1587" t="b">
        <f>+Q30+X30+AE30+AS30+AZ30+BG30+BN30=K30</f>
        <v>1</v>
      </c>
      <c r="BT30" s="1587" t="b">
        <f>+BF30+BF32+AY30+AY32+AR30+AR32+AD30+AD32+W30+W32+P30+P32+BM30+BM32=('PAYMENT RATIO_RAW'!$F$16+'PAYMENT RATIO_RAW'!$F$18)*D29*1.1/1000</f>
        <v>0</v>
      </c>
      <c r="BU30" s="401"/>
      <c r="BV30" s="401"/>
      <c r="BW30" s="401"/>
      <c r="BX30" s="401"/>
      <c r="BY30" s="401"/>
      <c r="BZ30" s="401"/>
      <c r="CA30" s="401"/>
      <c r="CB30" s="401"/>
      <c r="CC30" s="404"/>
      <c r="CD30" s="404"/>
    </row>
    <row r="31" spans="1:82" ht="13.5" customHeight="1">
      <c r="A31" s="1649"/>
      <c r="B31" s="2517"/>
      <c r="C31" s="2520"/>
      <c r="D31" s="2518"/>
      <c r="E31" s="2518"/>
      <c r="F31" s="1661" t="s">
        <v>127</v>
      </c>
      <c r="G31" s="2553"/>
      <c r="H31" s="2544"/>
      <c r="I31" s="2553"/>
      <c r="J31" s="2551"/>
      <c r="K31" s="2544"/>
      <c r="L31" s="2544"/>
      <c r="M31" s="2542"/>
      <c r="N31" s="2542"/>
      <c r="O31" s="2546"/>
      <c r="P31" s="2544"/>
      <c r="Q31" s="2544"/>
      <c r="R31" s="2544"/>
      <c r="S31" s="2544"/>
      <c r="T31" s="2542"/>
      <c r="U31" s="2542"/>
      <c r="V31" s="2546"/>
      <c r="W31" s="2544"/>
      <c r="X31" s="2544"/>
      <c r="Y31" s="2544"/>
      <c r="Z31" s="2544"/>
      <c r="AA31" s="2542"/>
      <c r="AB31" s="2542"/>
      <c r="AC31" s="2546"/>
      <c r="AD31" s="2544"/>
      <c r="AE31" s="2544"/>
      <c r="AF31" s="2544"/>
      <c r="AG31" s="2544"/>
      <c r="AH31" s="2542"/>
      <c r="AI31" s="2542"/>
      <c r="AJ31" s="2546"/>
      <c r="AK31" s="2544"/>
      <c r="AL31" s="2544"/>
      <c r="AM31" s="2544"/>
      <c r="AN31" s="2544"/>
      <c r="AO31" s="2542"/>
      <c r="AP31" s="2542"/>
      <c r="AQ31" s="2546"/>
      <c r="AR31" s="2544"/>
      <c r="AS31" s="2544"/>
      <c r="AT31" s="2544"/>
      <c r="AU31" s="2544"/>
      <c r="AV31" s="2542"/>
      <c r="AW31" s="2542"/>
      <c r="AX31" s="2546"/>
      <c r="AY31" s="2544"/>
      <c r="AZ31" s="2544"/>
      <c r="BA31" s="2544"/>
      <c r="BB31" s="2544"/>
      <c r="BC31" s="2542"/>
      <c r="BD31" s="2542"/>
      <c r="BE31" s="2546"/>
      <c r="BF31" s="2544"/>
      <c r="BG31" s="2544"/>
      <c r="BH31" s="2544"/>
      <c r="BI31" s="2544"/>
      <c r="BJ31" s="2542"/>
      <c r="BK31" s="2542"/>
      <c r="BL31" s="2546"/>
      <c r="BM31" s="2544"/>
      <c r="BN31" s="2544"/>
      <c r="BO31" s="2544"/>
      <c r="BP31" s="2544"/>
      <c r="BQ31" s="1588"/>
      <c r="BR31" s="1587" t="b">
        <f>+P31+W31+AD31+AR31+AY31+BF31+BM31=I31</f>
        <v>1</v>
      </c>
      <c r="BS31" s="1587" t="b">
        <f>+Q31+X31+AE31+AS31+AZ31+BG31+BN31=K31</f>
        <v>1</v>
      </c>
      <c r="BT31" s="1587"/>
      <c r="BU31" s="401"/>
      <c r="BV31" s="401"/>
      <c r="BW31" s="401"/>
      <c r="BX31" s="401"/>
      <c r="BY31" s="401"/>
      <c r="BZ31" s="401"/>
      <c r="CA31" s="401"/>
      <c r="CB31" s="401"/>
      <c r="CC31" s="404"/>
      <c r="CD31" s="404"/>
    </row>
    <row r="32" spans="1:82" ht="13.5" customHeight="1">
      <c r="A32" s="1649"/>
      <c r="B32" s="2517"/>
      <c r="C32" s="2520"/>
      <c r="D32" s="2518"/>
      <c r="E32" s="2518"/>
      <c r="F32" s="1661" t="s">
        <v>128</v>
      </c>
      <c r="G32" s="1701">
        <f>+'PAYMENT RATIO_RAW'!G18*'PAYMENT RATIO_RAW'!F18*D29/1000</f>
        <v>198720000</v>
      </c>
      <c r="H32" s="1701"/>
      <c r="I32" s="1701">
        <f t="shared" ref="I32:I33" si="122">SUM(G32:H32)</f>
        <v>198720000</v>
      </c>
      <c r="J32" s="2119">
        <f t="shared" ref="J32:J33" si="123">+IFERROR(K32/I32,"-")</f>
        <v>0</v>
      </c>
      <c r="K32" s="1701">
        <f t="shared" ref="K32:K33" si="124">+IFERROR(Q32+X32+AE32+AS32+AZ32+BG32+BN32,"-")</f>
        <v>0</v>
      </c>
      <c r="L32" s="1701">
        <f>+I32-K32</f>
        <v>198720000</v>
      </c>
      <c r="M32" s="1701"/>
      <c r="N32" s="2121"/>
      <c r="O32" s="2120">
        <f t="shared" ref="O32:O33" si="125">+IFERROR(P32/$I32,"-")</f>
        <v>1</v>
      </c>
      <c r="P32" s="1701">
        <f>+'PAYMENT RATIO_RAW'!G18*$I32</f>
        <v>198720000</v>
      </c>
      <c r="Q32" s="1701"/>
      <c r="R32" s="1678">
        <f>+P32-Q32</f>
        <v>198720000</v>
      </c>
      <c r="S32" s="1701"/>
      <c r="T32" s="1701"/>
      <c r="U32" s="2121"/>
      <c r="V32" s="2120">
        <f t="shared" ref="V32:V33" si="126">+IFERROR(W32/$I32,"-")</f>
        <v>0</v>
      </c>
      <c r="W32" s="1701"/>
      <c r="X32" s="1701"/>
      <c r="Y32" s="1701"/>
      <c r="Z32" s="1701"/>
      <c r="AA32" s="1701"/>
      <c r="AB32" s="2121"/>
      <c r="AC32" s="2120">
        <f t="shared" ref="AC32:AC33" si="127">+IFERROR(AD32/$I32,"-")</f>
        <v>0</v>
      </c>
      <c r="AD32" s="1701"/>
      <c r="AE32" s="1701"/>
      <c r="AF32" s="1701"/>
      <c r="AG32" s="1701"/>
      <c r="AH32" s="1701"/>
      <c r="AI32" s="2121"/>
      <c r="AJ32" s="2120">
        <f t="shared" ref="AJ32:AJ33" si="128">+IFERROR(AK32/$I32,"-")</f>
        <v>0</v>
      </c>
      <c r="AK32" s="1701">
        <f>+'PAYMENT RATIO_RAW'!AB30*$I32</f>
        <v>0</v>
      </c>
      <c r="AL32" s="1701"/>
      <c r="AM32" s="1701"/>
      <c r="AN32" s="1701"/>
      <c r="AO32" s="1701"/>
      <c r="AP32" s="2121"/>
      <c r="AQ32" s="2120">
        <f t="shared" ref="AQ32:AQ33" si="129">+IFERROR(AR32/$I32,"-")</f>
        <v>0</v>
      </c>
      <c r="AR32" s="1701"/>
      <c r="AS32" s="1701"/>
      <c r="AT32" s="1701"/>
      <c r="AU32" s="1701"/>
      <c r="AV32" s="1701"/>
      <c r="AW32" s="2121"/>
      <c r="AX32" s="2120">
        <f t="shared" ref="AX32:AX33" si="130">+IFERROR(AY32/$I32,"-")</f>
        <v>0</v>
      </c>
      <c r="AY32" s="1701"/>
      <c r="AZ32" s="1701"/>
      <c r="BA32" s="1701"/>
      <c r="BB32" s="1701"/>
      <c r="BC32" s="1701"/>
      <c r="BD32" s="2121"/>
      <c r="BE32" s="2120">
        <f t="shared" ref="BE32:BE33" si="131">+IFERROR(BF32/$I32,"-")</f>
        <v>0</v>
      </c>
      <c r="BF32" s="1701"/>
      <c r="BG32" s="1701"/>
      <c r="BH32" s="1701"/>
      <c r="BI32" s="1701"/>
      <c r="BJ32" s="1701"/>
      <c r="BK32" s="2121"/>
      <c r="BL32" s="2120">
        <f t="shared" ref="BL32:BL33" si="132">+IFERROR(BM32/$I32,"-")</f>
        <v>0</v>
      </c>
      <c r="BM32" s="1701"/>
      <c r="BN32" s="1701"/>
      <c r="BO32" s="1701"/>
      <c r="BP32" s="1701"/>
      <c r="BQ32" s="1588"/>
      <c r="BR32" s="1587" t="b">
        <f>+P32+W32+AD32+AR32+AY32+BF32+BM32=I32</f>
        <v>1</v>
      </c>
      <c r="BS32" s="1587" t="b">
        <f>+Q32+X32+AE32+AS32+AZ32+BG32+BN32=K32</f>
        <v>1</v>
      </c>
      <c r="BT32" s="1587"/>
      <c r="BU32" s="401"/>
      <c r="BV32" s="401"/>
      <c r="BW32" s="401"/>
      <c r="BX32" s="401"/>
      <c r="BY32" s="401"/>
      <c r="BZ32" s="401"/>
      <c r="CA32" s="401"/>
      <c r="CB32" s="401"/>
      <c r="CC32" s="404"/>
      <c r="CD32" s="404"/>
    </row>
    <row r="33" spans="1:82" ht="13.5" customHeight="1">
      <c r="A33" s="1649"/>
      <c r="B33" s="2517"/>
      <c r="C33" s="2520"/>
      <c r="D33" s="2518"/>
      <c r="E33" s="2518"/>
      <c r="F33" s="1627" t="s">
        <v>129</v>
      </c>
      <c r="G33" s="2118"/>
      <c r="H33" s="2123"/>
      <c r="I33" s="2123">
        <f t="shared" si="122"/>
        <v>0</v>
      </c>
      <c r="J33" s="2119" t="str">
        <f t="shared" si="123"/>
        <v>-</v>
      </c>
      <c r="K33" s="2123">
        <f t="shared" si="124"/>
        <v>0</v>
      </c>
      <c r="L33" s="2123"/>
      <c r="M33" s="2123"/>
      <c r="N33" s="2126"/>
      <c r="O33" s="2122" t="str">
        <f t="shared" si="125"/>
        <v>-</v>
      </c>
      <c r="P33" s="2123"/>
      <c r="Q33" s="2123"/>
      <c r="R33" s="1678">
        <f>+P33-Q33</f>
        <v>0</v>
      </c>
      <c r="S33" s="2123"/>
      <c r="T33" s="2123"/>
      <c r="U33" s="2126"/>
      <c r="V33" s="2122" t="str">
        <f t="shared" si="126"/>
        <v>-</v>
      </c>
      <c r="W33" s="2123"/>
      <c r="X33" s="2123"/>
      <c r="Y33" s="2123"/>
      <c r="Z33" s="2123"/>
      <c r="AA33" s="2123"/>
      <c r="AB33" s="2126"/>
      <c r="AC33" s="2122" t="str">
        <f t="shared" si="127"/>
        <v>-</v>
      </c>
      <c r="AD33" s="2123"/>
      <c r="AE33" s="2123"/>
      <c r="AF33" s="2123"/>
      <c r="AG33" s="2123"/>
      <c r="AH33" s="2123"/>
      <c r="AI33" s="2126"/>
      <c r="AJ33" s="2122" t="str">
        <f t="shared" si="128"/>
        <v>-</v>
      </c>
      <c r="AK33" s="2123"/>
      <c r="AL33" s="2123"/>
      <c r="AM33" s="2123"/>
      <c r="AN33" s="2123"/>
      <c r="AO33" s="2123"/>
      <c r="AP33" s="2126"/>
      <c r="AQ33" s="2122" t="str">
        <f t="shared" si="129"/>
        <v>-</v>
      </c>
      <c r="AR33" s="2123"/>
      <c r="AS33" s="2123"/>
      <c r="AT33" s="2123"/>
      <c r="AU33" s="2123"/>
      <c r="AV33" s="2123"/>
      <c r="AW33" s="2126"/>
      <c r="AX33" s="2122" t="str">
        <f t="shared" si="130"/>
        <v>-</v>
      </c>
      <c r="AY33" s="2123"/>
      <c r="AZ33" s="2123"/>
      <c r="BA33" s="2123"/>
      <c r="BB33" s="2123"/>
      <c r="BC33" s="2123"/>
      <c r="BD33" s="2126"/>
      <c r="BE33" s="2122" t="str">
        <f t="shared" si="131"/>
        <v>-</v>
      </c>
      <c r="BF33" s="2123"/>
      <c r="BG33" s="2123"/>
      <c r="BH33" s="2123"/>
      <c r="BI33" s="2123"/>
      <c r="BJ33" s="2123"/>
      <c r="BK33" s="2126"/>
      <c r="BL33" s="2122" t="str">
        <f t="shared" si="132"/>
        <v>-</v>
      </c>
      <c r="BM33" s="2123"/>
      <c r="BN33" s="2123"/>
      <c r="BO33" s="2123"/>
      <c r="BP33" s="2123"/>
      <c r="BQ33" s="1589"/>
      <c r="BR33" s="1591" t="b">
        <f>+P33+W33+AD33+AR33+AY33+BF33+BM33=I33</f>
        <v>1</v>
      </c>
      <c r="BS33" s="1592" t="b">
        <f>+Q33+X33+AE33+AS33+AZ33+BG33+BN33=K33</f>
        <v>1</v>
      </c>
      <c r="BT33" s="1592"/>
      <c r="BU33" s="401"/>
      <c r="BV33" s="401"/>
      <c r="BW33" s="401"/>
      <c r="BX33" s="401"/>
      <c r="BY33" s="401"/>
      <c r="BZ33" s="401"/>
      <c r="CA33" s="401"/>
      <c r="CB33" s="401"/>
      <c r="CC33" s="404"/>
      <c r="CD33" s="404"/>
    </row>
    <row r="34" spans="1:82" ht="13.5" customHeight="1">
      <c r="A34" s="1649"/>
      <c r="B34" s="2517"/>
      <c r="C34" s="2520"/>
      <c r="D34" s="2518"/>
      <c r="E34" s="2518"/>
      <c r="F34" s="419" t="s">
        <v>130</v>
      </c>
      <c r="G34" s="1628">
        <f>SUM(G29:G33)</f>
        <v>1700479720</v>
      </c>
      <c r="H34" s="1628">
        <f>SUM(H29:H33)</f>
        <v>104328000</v>
      </c>
      <c r="I34" s="1628">
        <f t="shared" ref="I34" si="133">SUM(I29:I33)</f>
        <v>1804807720</v>
      </c>
      <c r="J34" s="419">
        <f t="shared" si="0"/>
        <v>0.254032446182134</v>
      </c>
      <c r="K34" s="1628">
        <f t="shared" ref="K34:L34" si="134">SUM(K29:K33)</f>
        <v>458479720</v>
      </c>
      <c r="L34" s="1628">
        <f t="shared" si="134"/>
        <v>1346328000</v>
      </c>
      <c r="M34" s="419"/>
      <c r="N34" s="419"/>
      <c r="O34" s="1634">
        <f t="shared" si="114"/>
        <v>0.36413835818477108</v>
      </c>
      <c r="P34" s="1628">
        <f t="shared" ref="P34:Q34" si="135">SUM(P29:P33)</f>
        <v>657199720</v>
      </c>
      <c r="Q34" s="1628">
        <f t="shared" si="135"/>
        <v>458479720</v>
      </c>
      <c r="R34" s="1684">
        <f t="shared" ref="R34" si="136">+P34-Q34</f>
        <v>198720000</v>
      </c>
      <c r="S34" s="419"/>
      <c r="T34" s="1631"/>
      <c r="U34" s="419"/>
      <c r="V34" s="1634">
        <f t="shared" ref="V34:V36" si="137">+IFERROR(W34/$I34,"-")</f>
        <v>0</v>
      </c>
      <c r="W34" s="1628">
        <f t="shared" ref="W34:X34" si="138">SUM(W29:W33)</f>
        <v>0</v>
      </c>
      <c r="X34" s="1628">
        <f t="shared" si="138"/>
        <v>0</v>
      </c>
      <c r="Y34" s="1684">
        <f t="shared" ref="Y34" si="139">+W34-X34</f>
        <v>0</v>
      </c>
      <c r="Z34" s="419"/>
      <c r="AA34" s="1631"/>
      <c r="AB34" s="419"/>
      <c r="AC34" s="1634">
        <f t="shared" ref="AC34:AC36" si="140">+IFERROR(AD34/$I34,"-")</f>
        <v>0.19075849254456867</v>
      </c>
      <c r="AD34" s="1628">
        <f t="shared" ref="AD34:AE34" si="141">SUM(AD29:AD33)</f>
        <v>344282400</v>
      </c>
      <c r="AE34" s="1628">
        <f t="shared" si="141"/>
        <v>0</v>
      </c>
      <c r="AF34" s="1684">
        <f t="shared" ref="AF34" si="142">+AD34-AE34</f>
        <v>344282400</v>
      </c>
      <c r="AG34" s="419"/>
      <c r="AH34" s="1631"/>
      <c r="AI34" s="419"/>
      <c r="AJ34" s="1634">
        <f t="shared" ref="AJ34:AJ36" si="143">+IFERROR(AK34/$I34,"-")</f>
        <v>0.25434465672609158</v>
      </c>
      <c r="AK34" s="1628">
        <f t="shared" ref="AK34:AL34" si="144">SUM(AK29:AK33)</f>
        <v>459043200</v>
      </c>
      <c r="AL34" s="1628">
        <f t="shared" si="144"/>
        <v>0</v>
      </c>
      <c r="AM34" s="1684">
        <f t="shared" ref="AM34" si="145">+AK34-AL34</f>
        <v>459043200</v>
      </c>
      <c r="AN34" s="419"/>
      <c r="AO34" s="1631"/>
      <c r="AP34" s="419"/>
      <c r="AQ34" s="1634">
        <f t="shared" ref="AQ34:AQ36" si="146">+IFERROR(AR34/$I34,"-")</f>
        <v>0</v>
      </c>
      <c r="AR34" s="1628">
        <f t="shared" ref="AR34" si="147">SUM(AR29:AR33)</f>
        <v>0</v>
      </c>
      <c r="AS34" s="1628">
        <f t="shared" ref="AS34" si="148">SUM(AS29:AS33)</f>
        <v>0</v>
      </c>
      <c r="AT34" s="1684">
        <f t="shared" ref="AT34" si="149">+AR34-AS34</f>
        <v>0</v>
      </c>
      <c r="AU34" s="419"/>
      <c r="AV34" s="1631"/>
      <c r="AW34" s="419"/>
      <c r="AX34" s="1634">
        <f t="shared" ref="AX34:AX36" si="150">+IFERROR(AY34/$I34,"-")</f>
        <v>0</v>
      </c>
      <c r="AY34" s="1628">
        <f t="shared" ref="AY34" si="151">SUM(AY29:AY33)</f>
        <v>0</v>
      </c>
      <c r="AZ34" s="1628">
        <f t="shared" ref="AZ34" si="152">SUM(AZ29:AZ33)</f>
        <v>0</v>
      </c>
      <c r="BA34" s="1684">
        <f t="shared" ref="BA34" si="153">+AY34-AZ34</f>
        <v>0</v>
      </c>
      <c r="BB34" s="419"/>
      <c r="BC34" s="1631"/>
      <c r="BD34" s="419"/>
      <c r="BE34" s="1634">
        <f t="shared" ref="BE34:BE36" si="154">+IFERROR(BF34/$I34,"-")</f>
        <v>0</v>
      </c>
      <c r="BF34" s="1628">
        <f t="shared" ref="BF34" si="155">SUM(BF29:BF33)</f>
        <v>0</v>
      </c>
      <c r="BG34" s="1628">
        <f t="shared" ref="BG34" si="156">SUM(BG29:BG33)</f>
        <v>0</v>
      </c>
      <c r="BH34" s="1684">
        <f t="shared" ref="BH34" si="157">+BF34-BG34</f>
        <v>0</v>
      </c>
      <c r="BI34" s="419"/>
      <c r="BJ34" s="1631"/>
      <c r="BK34" s="419"/>
      <c r="BL34" s="1634">
        <f t="shared" si="37"/>
        <v>0.19075849254456867</v>
      </c>
      <c r="BM34" s="1628">
        <f t="shared" ref="BM34:BN34" si="158">SUM(BM29:BM33)</f>
        <v>344282400</v>
      </c>
      <c r="BN34" s="1628">
        <f t="shared" si="158"/>
        <v>0</v>
      </c>
      <c r="BO34" s="1684">
        <f t="shared" ref="BO34" si="159">+BM34-BN34</f>
        <v>344282400</v>
      </c>
      <c r="BP34" s="419"/>
      <c r="BQ34" s="1589"/>
      <c r="BR34" s="1632"/>
      <c r="BS34" s="1633"/>
      <c r="BT34" s="1633"/>
      <c r="BU34" s="401"/>
      <c r="BV34" s="401"/>
      <c r="BW34" s="401"/>
      <c r="BX34" s="401"/>
      <c r="BY34" s="401"/>
      <c r="BZ34" s="401"/>
      <c r="CA34" s="401"/>
      <c r="CB34" s="401"/>
      <c r="CC34" s="404"/>
      <c r="CD34" s="404"/>
    </row>
    <row r="35" spans="1:82" ht="16.5" customHeight="1">
      <c r="A35" s="1649"/>
      <c r="B35" s="2514" t="s">
        <v>130</v>
      </c>
      <c r="C35" s="2514"/>
      <c r="D35" s="2516">
        <f>+SUM(D11:D34)</f>
        <v>3974.4</v>
      </c>
      <c r="E35" s="2514"/>
      <c r="F35" s="1673" t="s">
        <v>125</v>
      </c>
      <c r="G35" s="2128">
        <f>+G11+G17+G23+G29</f>
        <v>4173120000</v>
      </c>
      <c r="H35" s="2128">
        <f>+H11+H17+H23+H29</f>
        <v>417312000</v>
      </c>
      <c r="I35" s="2128">
        <f t="shared" ref="I35" si="160">+I11+I17+I23+I29</f>
        <v>4590432000</v>
      </c>
      <c r="J35" s="1673">
        <f t="shared" si="0"/>
        <v>0</v>
      </c>
      <c r="K35" s="2129">
        <f t="shared" ref="K35:L35" si="161">+K11+K17+K23+K29</f>
        <v>0</v>
      </c>
      <c r="L35" s="2129">
        <f t="shared" si="161"/>
        <v>4590432000</v>
      </c>
      <c r="M35" s="2129"/>
      <c r="N35" s="2129"/>
      <c r="O35" s="1664">
        <f t="shared" ref="O35:O36" si="162">+IFERROR(P35/$I35,"-")</f>
        <v>0</v>
      </c>
      <c r="P35" s="2128">
        <f>+P11+P17+P23+P29</f>
        <v>0</v>
      </c>
      <c r="Q35" s="2128">
        <f>+Q11+Q17+Q23+Q29</f>
        <v>0</v>
      </c>
      <c r="R35" s="2132">
        <f>+P35-Q35</f>
        <v>0</v>
      </c>
      <c r="S35" s="1675"/>
      <c r="T35" s="2129"/>
      <c r="U35" s="2129"/>
      <c r="V35" s="1664">
        <f t="shared" si="137"/>
        <v>0</v>
      </c>
      <c r="W35" s="2128">
        <f>+W11+W17+W23+W29</f>
        <v>0</v>
      </c>
      <c r="X35" s="2128">
        <f>+X11+X17+X23+X29</f>
        <v>0</v>
      </c>
      <c r="Y35" s="2132">
        <f>+W35-X35</f>
        <v>0</v>
      </c>
      <c r="Z35" s="1675"/>
      <c r="AA35" s="2129"/>
      <c r="AB35" s="2129"/>
      <c r="AC35" s="1664">
        <f t="shared" si="140"/>
        <v>0.3</v>
      </c>
      <c r="AD35" s="2128">
        <f>+AD11+AD17+AD23+AD29</f>
        <v>1377129600</v>
      </c>
      <c r="AE35" s="2128">
        <f>+AE11+AE17+AE23+AE29</f>
        <v>0</v>
      </c>
      <c r="AF35" s="2132">
        <f>+AD35-AE35</f>
        <v>1377129600</v>
      </c>
      <c r="AG35" s="1675"/>
      <c r="AH35" s="2129"/>
      <c r="AI35" s="2129"/>
      <c r="AJ35" s="1664">
        <f t="shared" si="143"/>
        <v>0.4</v>
      </c>
      <c r="AK35" s="2128">
        <f>+AK11+AK17+AK23+AK29</f>
        <v>1836172800</v>
      </c>
      <c r="AL35" s="2128">
        <f>+AL11+AL17+AL23+AL29</f>
        <v>0</v>
      </c>
      <c r="AM35" s="2132">
        <f>+AK35-AL35</f>
        <v>1836172800</v>
      </c>
      <c r="AN35" s="1675"/>
      <c r="AO35" s="2129"/>
      <c r="AP35" s="2129"/>
      <c r="AQ35" s="1664">
        <f t="shared" si="146"/>
        <v>0</v>
      </c>
      <c r="AR35" s="2128">
        <f>+AR11+AR17+AR23+AR29</f>
        <v>0</v>
      </c>
      <c r="AS35" s="2128">
        <f>+AS11+AS17+AS23+AS29</f>
        <v>0</v>
      </c>
      <c r="AT35" s="2132">
        <f>+AR35-AS35</f>
        <v>0</v>
      </c>
      <c r="AU35" s="1675"/>
      <c r="AV35" s="2129"/>
      <c r="AW35" s="2129"/>
      <c r="AX35" s="1664">
        <f t="shared" si="150"/>
        <v>0</v>
      </c>
      <c r="AY35" s="2128">
        <f>+AY11+AY17+AY23+AY29</f>
        <v>0</v>
      </c>
      <c r="AZ35" s="2128">
        <f>+AZ11+AZ17+AZ23+AZ29</f>
        <v>0</v>
      </c>
      <c r="BA35" s="2132">
        <f>+AY35-AZ35</f>
        <v>0</v>
      </c>
      <c r="BB35" s="1675"/>
      <c r="BC35" s="2129"/>
      <c r="BD35" s="2129"/>
      <c r="BE35" s="1664">
        <f t="shared" si="154"/>
        <v>0</v>
      </c>
      <c r="BF35" s="2128">
        <f>+BF11+BF17+BF23+BF29</f>
        <v>0</v>
      </c>
      <c r="BG35" s="2128">
        <f>+BG11+BG17+BG23+BG29</f>
        <v>0</v>
      </c>
      <c r="BH35" s="2132">
        <f>+BF35-BG35</f>
        <v>0</v>
      </c>
      <c r="BI35" s="1675"/>
      <c r="BJ35" s="2129"/>
      <c r="BK35" s="2129"/>
      <c r="BL35" s="1664">
        <f t="shared" si="37"/>
        <v>0.3</v>
      </c>
      <c r="BM35" s="2128">
        <f>+BM11+BM17+BM23+BM29</f>
        <v>1377129600</v>
      </c>
      <c r="BN35" s="2128">
        <f>+BN11+BN17+BN23+BN29</f>
        <v>0</v>
      </c>
      <c r="BO35" s="2132">
        <f>+BM35-BN35</f>
        <v>1377129600</v>
      </c>
      <c r="BP35" s="1675"/>
      <c r="BQ35" s="1588"/>
      <c r="BR35" s="1641" t="b">
        <f>+P35+W35+AD35+AK35+AR35+AY35+BF35+BM35=I35</f>
        <v>1</v>
      </c>
      <c r="BS35" s="1641" t="b">
        <f>+Q35+X35+AE35+AS35+AZ35+BG35+BN35=K35</f>
        <v>1</v>
      </c>
      <c r="BT35" s="1641"/>
      <c r="BU35" s="401"/>
      <c r="BV35" s="401"/>
      <c r="BW35" s="401"/>
      <c r="BX35" s="401"/>
      <c r="BY35" s="401"/>
      <c r="BZ35" s="401"/>
      <c r="CA35" s="401"/>
      <c r="CB35" s="401"/>
      <c r="CC35" s="404"/>
      <c r="CD35" s="404"/>
    </row>
    <row r="36" spans="1:82">
      <c r="A36" s="1649"/>
      <c r="B36" s="2514"/>
      <c r="C36" s="2514"/>
      <c r="D36" s="2516"/>
      <c r="E36" s="2514"/>
      <c r="F36" s="1665" t="s">
        <v>126</v>
      </c>
      <c r="G36" s="2535">
        <f>+G12+G18+G24+G30</f>
        <v>901492000</v>
      </c>
      <c r="H36" s="2535">
        <f>+H12+H18+H24+H30</f>
        <v>0</v>
      </c>
      <c r="I36" s="2535">
        <f>+G36+H36</f>
        <v>901492000</v>
      </c>
      <c r="J36" s="2554">
        <f t="shared" si="0"/>
        <v>1</v>
      </c>
      <c r="K36" s="2537">
        <f t="shared" ref="K36:L36" si="163">+K12+K18+K24+K30</f>
        <v>901492000</v>
      </c>
      <c r="L36" s="2537">
        <f t="shared" si="163"/>
        <v>0</v>
      </c>
      <c r="M36" s="2537"/>
      <c r="N36" s="2537"/>
      <c r="O36" s="2539">
        <f t="shared" si="162"/>
        <v>1</v>
      </c>
      <c r="P36" s="2535">
        <f>+P12+P18+P24+P30</f>
        <v>901492000</v>
      </c>
      <c r="Q36" s="2535">
        <f>+Q12+Q18+Q24+Q30</f>
        <v>901492000</v>
      </c>
      <c r="R36" s="2537">
        <f>+P36-Q36</f>
        <v>0</v>
      </c>
      <c r="S36" s="2537"/>
      <c r="T36" s="2537"/>
      <c r="U36" s="2537"/>
      <c r="V36" s="2539">
        <f t="shared" si="137"/>
        <v>0</v>
      </c>
      <c r="W36" s="2535">
        <f>+W12+W18+W24+W30</f>
        <v>0</v>
      </c>
      <c r="X36" s="2535">
        <f>+X12+X18+X24+X30</f>
        <v>0</v>
      </c>
      <c r="Y36" s="2537">
        <f>+W36-X36</f>
        <v>0</v>
      </c>
      <c r="Z36" s="2537"/>
      <c r="AA36" s="2537"/>
      <c r="AB36" s="2537"/>
      <c r="AC36" s="2539">
        <f t="shared" si="140"/>
        <v>0</v>
      </c>
      <c r="AD36" s="2535">
        <f>+AD12+AD18+AD24+AD30</f>
        <v>0</v>
      </c>
      <c r="AE36" s="2535">
        <f>+AE12+AE18+AE24+AE30</f>
        <v>0</v>
      </c>
      <c r="AF36" s="2537">
        <f>+AD36-AE36</f>
        <v>0</v>
      </c>
      <c r="AG36" s="2537"/>
      <c r="AH36" s="2537"/>
      <c r="AI36" s="2537"/>
      <c r="AJ36" s="2539">
        <f t="shared" si="143"/>
        <v>0</v>
      </c>
      <c r="AK36" s="2535">
        <f>+AK12+AK18+AK24+AK30</f>
        <v>0</v>
      </c>
      <c r="AL36" s="2535">
        <f>+AL12+AL18+AL24+AL30</f>
        <v>0</v>
      </c>
      <c r="AM36" s="2537">
        <f>+AK36-AL36</f>
        <v>0</v>
      </c>
      <c r="AN36" s="2537"/>
      <c r="AO36" s="2537"/>
      <c r="AP36" s="2537"/>
      <c r="AQ36" s="2539">
        <f t="shared" si="146"/>
        <v>0</v>
      </c>
      <c r="AR36" s="2535">
        <f>+AR12+AR18+AR24+AR30</f>
        <v>0</v>
      </c>
      <c r="AS36" s="2535">
        <f>+AS12+AS18+AS24+AS30</f>
        <v>0</v>
      </c>
      <c r="AT36" s="2537">
        <f>+AR36-AS36</f>
        <v>0</v>
      </c>
      <c r="AU36" s="2537"/>
      <c r="AV36" s="2537"/>
      <c r="AW36" s="2537"/>
      <c r="AX36" s="2539">
        <f t="shared" si="150"/>
        <v>0</v>
      </c>
      <c r="AY36" s="2535">
        <f>+AY12+AY18+AY24+AY30</f>
        <v>0</v>
      </c>
      <c r="AZ36" s="2535">
        <f>+AZ12+AZ18+AZ24+AZ30</f>
        <v>0</v>
      </c>
      <c r="BA36" s="2537">
        <f>+AY36-AZ36</f>
        <v>0</v>
      </c>
      <c r="BB36" s="2537"/>
      <c r="BC36" s="2537"/>
      <c r="BD36" s="2537"/>
      <c r="BE36" s="2539">
        <f t="shared" si="154"/>
        <v>0</v>
      </c>
      <c r="BF36" s="2535">
        <f>+BF12+BF18+BF24+BF30</f>
        <v>0</v>
      </c>
      <c r="BG36" s="2535">
        <f>+BG12+BG18+BG24+BG30</f>
        <v>0</v>
      </c>
      <c r="BH36" s="2537">
        <f>+BF36-BG36</f>
        <v>0</v>
      </c>
      <c r="BI36" s="2537"/>
      <c r="BJ36" s="2537"/>
      <c r="BK36" s="2537"/>
      <c r="BL36" s="2539">
        <f t="shared" si="37"/>
        <v>0</v>
      </c>
      <c r="BM36" s="2535">
        <f>+BM12+BM18+BM24+BM30</f>
        <v>0</v>
      </c>
      <c r="BN36" s="2535">
        <f>+BN12+BN18+BN24+BN30</f>
        <v>0</v>
      </c>
      <c r="BO36" s="2537">
        <f>+BM36-BN36</f>
        <v>0</v>
      </c>
      <c r="BP36" s="2537"/>
      <c r="BQ36" s="1588"/>
      <c r="BR36" s="1641" t="b">
        <f>+BM36+BF36+AY36+AR36+AD36+W36+P36=I36</f>
        <v>1</v>
      </c>
      <c r="BS36" s="1641" t="b">
        <f>+Q36+X36+AE36+AS36+AZ36+BG36+BN36=K36</f>
        <v>1</v>
      </c>
      <c r="BT36" s="1641" t="b">
        <f>+BF36+BF38+AY36+AY38+AR36+AR38+AD36+AD38+W36+W38+P36+P38+BM36+BM38=('PAYMENT RATIO_RAW'!$F$16+'PAYMENT RATIO_RAW'!$F$18)*D35*1.1/1000</f>
        <v>0</v>
      </c>
      <c r="BU36" s="401"/>
      <c r="BV36" s="401"/>
      <c r="BW36" s="401"/>
      <c r="BX36" s="401"/>
      <c r="BY36" s="401"/>
      <c r="BZ36" s="401"/>
      <c r="CA36" s="401"/>
      <c r="CB36" s="401"/>
      <c r="CC36" s="404"/>
      <c r="CD36" s="404"/>
    </row>
    <row r="37" spans="1:82">
      <c r="A37" s="1649"/>
      <c r="B37" s="2514"/>
      <c r="C37" s="2514"/>
      <c r="D37" s="2516"/>
      <c r="E37" s="2514"/>
      <c r="F37" s="1665" t="s">
        <v>127</v>
      </c>
      <c r="G37" s="2536"/>
      <c r="H37" s="2536"/>
      <c r="I37" s="2536"/>
      <c r="J37" s="2555"/>
      <c r="K37" s="2538"/>
      <c r="L37" s="2538"/>
      <c r="M37" s="2538"/>
      <c r="N37" s="2538"/>
      <c r="O37" s="2540"/>
      <c r="P37" s="2536"/>
      <c r="Q37" s="2536"/>
      <c r="R37" s="2538"/>
      <c r="S37" s="2538"/>
      <c r="T37" s="2538"/>
      <c r="U37" s="2538"/>
      <c r="V37" s="2540"/>
      <c r="W37" s="2536"/>
      <c r="X37" s="2536"/>
      <c r="Y37" s="2538"/>
      <c r="Z37" s="2538"/>
      <c r="AA37" s="2538"/>
      <c r="AB37" s="2538"/>
      <c r="AC37" s="2540"/>
      <c r="AD37" s="2536"/>
      <c r="AE37" s="2536"/>
      <c r="AF37" s="2538"/>
      <c r="AG37" s="2538"/>
      <c r="AH37" s="2538"/>
      <c r="AI37" s="2538"/>
      <c r="AJ37" s="2540"/>
      <c r="AK37" s="2536"/>
      <c r="AL37" s="2536"/>
      <c r="AM37" s="2538"/>
      <c r="AN37" s="2538"/>
      <c r="AO37" s="2538"/>
      <c r="AP37" s="2538"/>
      <c r="AQ37" s="2540"/>
      <c r="AR37" s="2536"/>
      <c r="AS37" s="2536"/>
      <c r="AT37" s="2538"/>
      <c r="AU37" s="2538"/>
      <c r="AV37" s="2538"/>
      <c r="AW37" s="2538"/>
      <c r="AX37" s="2540"/>
      <c r="AY37" s="2536"/>
      <c r="AZ37" s="2536"/>
      <c r="BA37" s="2538"/>
      <c r="BB37" s="2538"/>
      <c r="BC37" s="2538"/>
      <c r="BD37" s="2538"/>
      <c r="BE37" s="2540"/>
      <c r="BF37" s="2536"/>
      <c r="BG37" s="2536"/>
      <c r="BH37" s="2538"/>
      <c r="BI37" s="2538"/>
      <c r="BJ37" s="2538"/>
      <c r="BK37" s="2538"/>
      <c r="BL37" s="2540"/>
      <c r="BM37" s="2536"/>
      <c r="BN37" s="2536"/>
      <c r="BO37" s="2538"/>
      <c r="BP37" s="2538"/>
      <c r="BQ37" s="1588"/>
      <c r="BR37" s="1641" t="b">
        <f>+P37+W37+AD37+AR37+AY37+BF37+BM37=I37</f>
        <v>1</v>
      </c>
      <c r="BS37" s="1641" t="b">
        <f>+Q37+X37+AE37+AS37+AZ37+BG37+BN37=K37</f>
        <v>1</v>
      </c>
      <c r="BT37" s="1641"/>
      <c r="BU37" s="401"/>
      <c r="BV37" s="401"/>
      <c r="BW37" s="401"/>
      <c r="BX37" s="401"/>
      <c r="BY37" s="401"/>
      <c r="BZ37" s="401"/>
      <c r="CA37" s="401"/>
      <c r="CB37" s="401"/>
      <c r="CC37" s="404"/>
      <c r="CD37" s="404"/>
    </row>
    <row r="38" spans="1:82" ht="16.5" customHeight="1">
      <c r="A38" s="1649"/>
      <c r="B38" s="2514"/>
      <c r="C38" s="2514"/>
      <c r="D38" s="2516"/>
      <c r="E38" s="2514"/>
      <c r="F38" s="1665" t="s">
        <v>128</v>
      </c>
      <c r="G38" s="2131">
        <f>+G14+G20+G26+G32</f>
        <v>794880000</v>
      </c>
      <c r="H38" s="2131">
        <f>+H14+H20+H26+H32</f>
        <v>0</v>
      </c>
      <c r="I38" s="2131">
        <f t="shared" ref="I38" si="164">+I14+I20+I26+I32</f>
        <v>794880000</v>
      </c>
      <c r="J38" s="2130"/>
      <c r="K38" s="2131"/>
      <c r="L38" s="2131"/>
      <c r="M38" s="2131"/>
      <c r="N38" s="2131"/>
      <c r="O38" s="2133">
        <f t="shared" ref="O38:O39" si="165">+IFERROR(P38/$I38,"-")</f>
        <v>1</v>
      </c>
      <c r="P38" s="2131">
        <f>+P14+P20+P26+P32</f>
        <v>794880000</v>
      </c>
      <c r="Q38" s="2131">
        <f>+Q14+Q20+Q26+Q32</f>
        <v>0</v>
      </c>
      <c r="R38" s="2132">
        <f>+P38-Q38</f>
        <v>794880000</v>
      </c>
      <c r="S38" s="2131"/>
      <c r="T38" s="2131"/>
      <c r="U38" s="2131"/>
      <c r="V38" s="2133">
        <f t="shared" ref="V38:V40" si="166">+IFERROR(W38/$I38,"-")</f>
        <v>0</v>
      </c>
      <c r="W38" s="2131">
        <f>+W14+W20+W26+W32</f>
        <v>0</v>
      </c>
      <c r="X38" s="2131">
        <f>+X14+X20+X26+X32</f>
        <v>0</v>
      </c>
      <c r="Y38" s="2132">
        <f>+W38-X38</f>
        <v>0</v>
      </c>
      <c r="Z38" s="2131"/>
      <c r="AA38" s="2131"/>
      <c r="AB38" s="2131"/>
      <c r="AC38" s="2133">
        <f t="shared" ref="AC38:AC40" si="167">+IFERROR(AD38/$I38,"-")</f>
        <v>0</v>
      </c>
      <c r="AD38" s="2131">
        <f>+AD14+AD20+AD26+AD32</f>
        <v>0</v>
      </c>
      <c r="AE38" s="2131">
        <f>+AE14+AE20+AE26+AE32</f>
        <v>0</v>
      </c>
      <c r="AF38" s="2132">
        <f>+AD38-AE38</f>
        <v>0</v>
      </c>
      <c r="AG38" s="2131"/>
      <c r="AH38" s="2131"/>
      <c r="AI38" s="2131"/>
      <c r="AJ38" s="2133">
        <f t="shared" ref="AJ38:AJ40" si="168">+IFERROR(AK38/$I38,"-")</f>
        <v>0</v>
      </c>
      <c r="AK38" s="2131">
        <f>+AK14+AK20+AK26+AK32</f>
        <v>0</v>
      </c>
      <c r="AL38" s="2131">
        <f>+AL14+AL20+AL26+AL32</f>
        <v>0</v>
      </c>
      <c r="AM38" s="2132">
        <f>+AK38-AL38</f>
        <v>0</v>
      </c>
      <c r="AN38" s="2131"/>
      <c r="AO38" s="2131"/>
      <c r="AP38" s="2131"/>
      <c r="AQ38" s="2133">
        <f t="shared" ref="AQ38:AQ40" si="169">+IFERROR(AR38/$I38,"-")</f>
        <v>0</v>
      </c>
      <c r="AR38" s="2131">
        <f>+AR14+AR20+AR26+AR32</f>
        <v>0</v>
      </c>
      <c r="AS38" s="2131">
        <f>+AS14+AS20+AS26+AS32</f>
        <v>0</v>
      </c>
      <c r="AT38" s="2132">
        <f>+AR38-AS38</f>
        <v>0</v>
      </c>
      <c r="AU38" s="2131"/>
      <c r="AV38" s="2131"/>
      <c r="AW38" s="2131"/>
      <c r="AX38" s="2133">
        <f t="shared" ref="AX38:AX40" si="170">+IFERROR(AY38/$I38,"-")</f>
        <v>0</v>
      </c>
      <c r="AY38" s="2131">
        <f>+AY14+AY20+AY26+AY32</f>
        <v>0</v>
      </c>
      <c r="AZ38" s="2131">
        <f>+AZ14+AZ20+AZ26+AZ32</f>
        <v>0</v>
      </c>
      <c r="BA38" s="2132">
        <f>+AY38-AZ38</f>
        <v>0</v>
      </c>
      <c r="BB38" s="2131"/>
      <c r="BC38" s="2131"/>
      <c r="BD38" s="2131"/>
      <c r="BE38" s="2133">
        <f t="shared" ref="BE38:BE40" si="171">+IFERROR(BF38/$I38,"-")</f>
        <v>0</v>
      </c>
      <c r="BF38" s="2131">
        <f>+BF14+BF20+BF26+BF32</f>
        <v>0</v>
      </c>
      <c r="BG38" s="2131">
        <f>+BG14+BG20+BG26+BG32</f>
        <v>0</v>
      </c>
      <c r="BH38" s="2132">
        <f>+BF38-BG38</f>
        <v>0</v>
      </c>
      <c r="BI38" s="2131"/>
      <c r="BJ38" s="2131"/>
      <c r="BK38" s="2131"/>
      <c r="BL38" s="2133">
        <f t="shared" ref="BL38:BL40" si="172">+IFERROR(BM38/$I38,"-")</f>
        <v>0</v>
      </c>
      <c r="BM38" s="2131">
        <f>+BM14+BM20+BM26+BM32</f>
        <v>0</v>
      </c>
      <c r="BN38" s="2131">
        <f>+BN14+BN20+BN26+BN32</f>
        <v>0</v>
      </c>
      <c r="BO38" s="2132">
        <f>+BM38-BN38</f>
        <v>0</v>
      </c>
      <c r="BP38" s="2131"/>
      <c r="BQ38" s="1588"/>
      <c r="BR38" s="1641" t="b">
        <f>+P38+W38+AD38+AR38+AY38+BF38+BM38=I38</f>
        <v>1</v>
      </c>
      <c r="BS38" s="1641" t="b">
        <f>+Q38+X38+AE38+AS38+AZ38+BG38+BN38=K38</f>
        <v>1</v>
      </c>
      <c r="BT38" s="1641"/>
      <c r="BU38" s="401"/>
      <c r="BV38" s="401"/>
      <c r="BW38" s="401"/>
      <c r="BX38" s="401"/>
      <c r="BY38" s="401"/>
      <c r="BZ38" s="401"/>
      <c r="CA38" s="401"/>
      <c r="CB38" s="401"/>
      <c r="CC38" s="404"/>
      <c r="CD38" s="404"/>
    </row>
    <row r="39" spans="1:82" ht="16.5" customHeight="1">
      <c r="A39" s="1649"/>
      <c r="B39" s="2514"/>
      <c r="C39" s="2514"/>
      <c r="D39" s="2516"/>
      <c r="E39" s="2514"/>
      <c r="F39" s="1667" t="s">
        <v>129</v>
      </c>
      <c r="G39" s="2114">
        <f>+G15+G21+G27+G33</f>
        <v>0</v>
      </c>
      <c r="H39" s="2114" t="e">
        <f>+#REF!+H21+H27+H33</f>
        <v>#REF!</v>
      </c>
      <c r="I39" s="1706">
        <f>+H15+I21+I27+I33</f>
        <v>0</v>
      </c>
      <c r="J39" s="2130"/>
      <c r="K39" s="1706"/>
      <c r="L39" s="1706"/>
      <c r="M39" s="1706"/>
      <c r="N39" s="1706"/>
      <c r="O39" s="2134" t="str">
        <f t="shared" si="165"/>
        <v>-</v>
      </c>
      <c r="P39" s="2114">
        <f>+P15+P21+P27+P33</f>
        <v>0</v>
      </c>
      <c r="Q39" s="2114">
        <f>+Q15+Q21+Q27+Q33</f>
        <v>0</v>
      </c>
      <c r="R39" s="2132">
        <f>+P39-Q39</f>
        <v>0</v>
      </c>
      <c r="S39" s="1706"/>
      <c r="T39" s="1706"/>
      <c r="U39" s="1706"/>
      <c r="V39" s="2134" t="str">
        <f t="shared" si="166"/>
        <v>-</v>
      </c>
      <c r="W39" s="2114">
        <f>+W15+W21+W27+W33</f>
        <v>0</v>
      </c>
      <c r="X39" s="2114">
        <f>+X15+X21+X27+X33</f>
        <v>0</v>
      </c>
      <c r="Y39" s="2132">
        <f>+W39-X39</f>
        <v>0</v>
      </c>
      <c r="Z39" s="1706"/>
      <c r="AA39" s="1706"/>
      <c r="AB39" s="1706"/>
      <c r="AC39" s="2134" t="str">
        <f t="shared" si="167"/>
        <v>-</v>
      </c>
      <c r="AD39" s="2114">
        <f>+AD15+AD21+AD27+AD33</f>
        <v>0</v>
      </c>
      <c r="AE39" s="2114">
        <f>+AE15+AE21+AE27+AE33</f>
        <v>0</v>
      </c>
      <c r="AF39" s="2132">
        <f>+AD39-AE39</f>
        <v>0</v>
      </c>
      <c r="AG39" s="1706"/>
      <c r="AH39" s="1706"/>
      <c r="AI39" s="1706"/>
      <c r="AJ39" s="2134" t="str">
        <f t="shared" si="168"/>
        <v>-</v>
      </c>
      <c r="AK39" s="2114">
        <f>+AK15+AK21+AK27+AK33</f>
        <v>0</v>
      </c>
      <c r="AL39" s="2114">
        <f>+AL15+AL21+AL27+AL33</f>
        <v>0</v>
      </c>
      <c r="AM39" s="2132">
        <f>+AK39-AL39</f>
        <v>0</v>
      </c>
      <c r="AN39" s="1706"/>
      <c r="AO39" s="1706"/>
      <c r="AP39" s="1706"/>
      <c r="AQ39" s="2134" t="str">
        <f t="shared" si="169"/>
        <v>-</v>
      </c>
      <c r="AR39" s="2114">
        <f>+AR15+AR21+AR27+AR33</f>
        <v>0</v>
      </c>
      <c r="AS39" s="2114">
        <f>+AS15+AS21+AS27+AS33</f>
        <v>0</v>
      </c>
      <c r="AT39" s="2132">
        <f>+AR39-AS39</f>
        <v>0</v>
      </c>
      <c r="AU39" s="1706"/>
      <c r="AV39" s="1706"/>
      <c r="AW39" s="1706"/>
      <c r="AX39" s="2134" t="str">
        <f t="shared" si="170"/>
        <v>-</v>
      </c>
      <c r="AY39" s="2114">
        <f>+AY15+AY21+AY27+AY33</f>
        <v>0</v>
      </c>
      <c r="AZ39" s="2114">
        <f>+AZ15+AZ21+AZ27+AZ33</f>
        <v>0</v>
      </c>
      <c r="BA39" s="2132">
        <f>+AY39-AZ39</f>
        <v>0</v>
      </c>
      <c r="BB39" s="1706"/>
      <c r="BC39" s="1706"/>
      <c r="BD39" s="1706"/>
      <c r="BE39" s="2134" t="str">
        <f t="shared" si="171"/>
        <v>-</v>
      </c>
      <c r="BF39" s="2114">
        <f>+BF15+BF21+BF27+BF33</f>
        <v>0</v>
      </c>
      <c r="BG39" s="2114">
        <f>+BG15+BG21+BG27+BG33</f>
        <v>0</v>
      </c>
      <c r="BH39" s="2132">
        <f>+BF39-BG39</f>
        <v>0</v>
      </c>
      <c r="BI39" s="1706"/>
      <c r="BJ39" s="1706"/>
      <c r="BK39" s="1706"/>
      <c r="BL39" s="2134" t="str">
        <f t="shared" si="172"/>
        <v>-</v>
      </c>
      <c r="BM39" s="2114">
        <f>+BM15+BM21+BM27+BM33</f>
        <v>0</v>
      </c>
      <c r="BN39" s="2114">
        <f>+BN15+BN21+BN27+BN33</f>
        <v>0</v>
      </c>
      <c r="BO39" s="2132">
        <f>+BM39-BN39</f>
        <v>0</v>
      </c>
      <c r="BP39" s="1706"/>
      <c r="BQ39" s="1589"/>
      <c r="BR39" s="1642" t="b">
        <f>+P39+W39+AD39+AR39+AY39+BF39+BM39=I39</f>
        <v>1</v>
      </c>
      <c r="BS39" s="1643" t="b">
        <f>+Q39+X39+AE39+AS39+AZ39+BG39+BN39=K39</f>
        <v>1</v>
      </c>
      <c r="BT39" s="1643"/>
      <c r="BU39" s="401"/>
      <c r="BV39" s="401"/>
      <c r="BW39" s="401"/>
      <c r="BX39" s="401"/>
      <c r="BY39" s="401"/>
      <c r="BZ39" s="401"/>
      <c r="CA39" s="401"/>
      <c r="CB39" s="401"/>
      <c r="CC39" s="404"/>
      <c r="CD39" s="404"/>
    </row>
    <row r="40" spans="1:82">
      <c r="A40" s="1649"/>
      <c r="B40" s="2515"/>
      <c r="C40" s="2515"/>
      <c r="D40" s="2515"/>
      <c r="E40" s="2515"/>
      <c r="F40" s="1640" t="s">
        <v>130</v>
      </c>
      <c r="G40" s="1637">
        <f>SUM(G35:G39)</f>
        <v>5869492000</v>
      </c>
      <c r="H40" s="1637" t="e">
        <f>SUM(H35:H39)</f>
        <v>#REF!</v>
      </c>
      <c r="I40" s="1637">
        <f t="shared" ref="I40" si="173">SUM(I35:I39)</f>
        <v>6286804000</v>
      </c>
      <c r="J40" s="1640">
        <f t="shared" si="0"/>
        <v>0.14339432245700678</v>
      </c>
      <c r="K40" s="1637">
        <f t="shared" ref="K40" si="174">SUM(K35:K39)</f>
        <v>901492000</v>
      </c>
      <c r="L40" s="1637">
        <f t="shared" ref="L40" si="175">SUM(L35:L39)</f>
        <v>4590432000</v>
      </c>
      <c r="M40" s="1638"/>
      <c r="N40" s="1640"/>
      <c r="O40" s="1639">
        <f t="shared" ref="O40" si="176">+IFERROR(P40/$I40,"-")</f>
        <v>0.26983058482497624</v>
      </c>
      <c r="P40" s="1637">
        <f t="shared" ref="P40:Q40" si="177">SUM(P35:P39)</f>
        <v>1696372000</v>
      </c>
      <c r="Q40" s="1637">
        <f t="shared" si="177"/>
        <v>901492000</v>
      </c>
      <c r="R40" s="1669">
        <f t="shared" si="15"/>
        <v>794880000</v>
      </c>
      <c r="S40" s="1640"/>
      <c r="T40" s="1638"/>
      <c r="U40" s="1640"/>
      <c r="V40" s="1639">
        <f t="shared" si="166"/>
        <v>0</v>
      </c>
      <c r="W40" s="1637">
        <f t="shared" ref="W40:X40" si="178">SUM(W35:W39)</f>
        <v>0</v>
      </c>
      <c r="X40" s="1637">
        <f t="shared" si="178"/>
        <v>0</v>
      </c>
      <c r="Y40" s="1669">
        <f t="shared" ref="Y40" si="179">+W40-X40</f>
        <v>0</v>
      </c>
      <c r="Z40" s="1640"/>
      <c r="AA40" s="1638"/>
      <c r="AB40" s="1640"/>
      <c r="AC40" s="1639">
        <f t="shared" si="167"/>
        <v>0.21905082455250713</v>
      </c>
      <c r="AD40" s="1637">
        <f t="shared" ref="AD40:AE40" si="180">SUM(AD35:AD39)</f>
        <v>1377129600</v>
      </c>
      <c r="AE40" s="1637">
        <f t="shared" si="180"/>
        <v>0</v>
      </c>
      <c r="AF40" s="1669">
        <f t="shared" ref="AF40" si="181">+AD40-AE40</f>
        <v>1377129600</v>
      </c>
      <c r="AG40" s="1640"/>
      <c r="AH40" s="1638"/>
      <c r="AI40" s="1640"/>
      <c r="AJ40" s="1639">
        <f t="shared" si="168"/>
        <v>0.2920677660700095</v>
      </c>
      <c r="AK40" s="1637">
        <f t="shared" ref="AK40:AL40" si="182">SUM(AK35:AK39)</f>
        <v>1836172800</v>
      </c>
      <c r="AL40" s="1637">
        <f t="shared" si="182"/>
        <v>0</v>
      </c>
      <c r="AM40" s="1669">
        <f t="shared" ref="AM40" si="183">+AK40-AL40</f>
        <v>1836172800</v>
      </c>
      <c r="AN40" s="1640"/>
      <c r="AO40" s="1638"/>
      <c r="AP40" s="1640"/>
      <c r="AQ40" s="1639">
        <f t="shared" si="169"/>
        <v>0</v>
      </c>
      <c r="AR40" s="1637">
        <f t="shared" ref="AR40:AS40" si="184">SUM(AR35:AR39)</f>
        <v>0</v>
      </c>
      <c r="AS40" s="1637">
        <f t="shared" si="184"/>
        <v>0</v>
      </c>
      <c r="AT40" s="1669">
        <f t="shared" ref="AT40" si="185">+AR40-AS40</f>
        <v>0</v>
      </c>
      <c r="AU40" s="1640"/>
      <c r="AV40" s="1638"/>
      <c r="AW40" s="1640"/>
      <c r="AX40" s="1639">
        <f t="shared" si="170"/>
        <v>0</v>
      </c>
      <c r="AY40" s="1637">
        <f t="shared" ref="AY40:AZ40" si="186">SUM(AY35:AY39)</f>
        <v>0</v>
      </c>
      <c r="AZ40" s="1637">
        <f t="shared" si="186"/>
        <v>0</v>
      </c>
      <c r="BA40" s="1669">
        <f t="shared" ref="BA40" si="187">+AY40-AZ40</f>
        <v>0</v>
      </c>
      <c r="BB40" s="1640"/>
      <c r="BC40" s="1638"/>
      <c r="BD40" s="1640"/>
      <c r="BE40" s="1639">
        <f t="shared" si="171"/>
        <v>0</v>
      </c>
      <c r="BF40" s="1637">
        <f t="shared" ref="BF40:BG40" si="188">SUM(BF35:BF39)</f>
        <v>0</v>
      </c>
      <c r="BG40" s="1637">
        <f t="shared" si="188"/>
        <v>0</v>
      </c>
      <c r="BH40" s="1669">
        <f t="shared" ref="BH40" si="189">+BF40-BG40</f>
        <v>0</v>
      </c>
      <c r="BI40" s="1640"/>
      <c r="BJ40" s="1638"/>
      <c r="BK40" s="1640"/>
      <c r="BL40" s="1639">
        <f t="shared" si="172"/>
        <v>0.21905082455250713</v>
      </c>
      <c r="BM40" s="1637">
        <f t="shared" ref="BM40:BN40" si="190">SUM(BM35:BM39)</f>
        <v>1377129600</v>
      </c>
      <c r="BN40" s="1637">
        <f t="shared" si="190"/>
        <v>0</v>
      </c>
      <c r="BO40" s="1669">
        <f t="shared" ref="BO40" si="191">+BM40-BN40</f>
        <v>1377129600</v>
      </c>
      <c r="BP40" s="1640"/>
      <c r="BQ40" s="1589"/>
      <c r="BR40" s="1644"/>
      <c r="BS40" s="1645"/>
      <c r="BT40" s="1645"/>
      <c r="BU40" s="401"/>
      <c r="BV40" s="401"/>
      <c r="BW40" s="401"/>
      <c r="BX40" s="401"/>
      <c r="BY40" s="401"/>
      <c r="BZ40" s="401"/>
      <c r="CA40" s="401"/>
      <c r="CB40" s="401"/>
      <c r="CC40" s="404"/>
      <c r="CD40" s="404"/>
    </row>
    <row r="41" spans="1:82">
      <c r="G41" s="1651"/>
      <c r="H41" s="1651"/>
    </row>
    <row r="43" spans="1:82">
      <c r="D43" s="1616"/>
      <c r="G43" s="1651">
        <f>G38+'GM Batch2-APA'!G50</f>
        <v>1274664000</v>
      </c>
    </row>
    <row r="47" spans="1:82">
      <c r="W47" s="1616"/>
      <c r="Y47" s="1616"/>
      <c r="AD47" s="1616"/>
      <c r="AF47" s="1616"/>
      <c r="AK47" s="1616"/>
      <c r="AM47" s="1616"/>
      <c r="AR47" s="1616"/>
      <c r="AT47" s="1616"/>
      <c r="AY47" s="1616"/>
      <c r="BA47" s="1616"/>
      <c r="BF47" s="1616"/>
      <c r="BH47" s="1616"/>
      <c r="BM47" s="1616"/>
      <c r="BO47" s="1616"/>
      <c r="BU47" s="1616"/>
      <c r="BV47" s="1652"/>
      <c r="BY47" s="1652"/>
    </row>
  </sheetData>
  <mergeCells count="348">
    <mergeCell ref="P36:P37"/>
    <mergeCell ref="Q36:Q37"/>
    <mergeCell ref="R36:R37"/>
    <mergeCell ref="S36:S37"/>
    <mergeCell ref="T36:T37"/>
    <mergeCell ref="U36:U37"/>
    <mergeCell ref="V36:V37"/>
    <mergeCell ref="W36:W37"/>
    <mergeCell ref="X36:X37"/>
    <mergeCell ref="G36:G37"/>
    <mergeCell ref="H36:H37"/>
    <mergeCell ref="I36:I37"/>
    <mergeCell ref="J36:J37"/>
    <mergeCell ref="K36:K37"/>
    <mergeCell ref="L36:L37"/>
    <mergeCell ref="M36:M37"/>
    <mergeCell ref="N36:N37"/>
    <mergeCell ref="O36:O37"/>
    <mergeCell ref="BN30:BN31"/>
    <mergeCell ref="BO30:BO31"/>
    <mergeCell ref="BP30:BP31"/>
    <mergeCell ref="G30:G31"/>
    <mergeCell ref="H30:H31"/>
    <mergeCell ref="I30:I31"/>
    <mergeCell ref="J30:J31"/>
    <mergeCell ref="K30:K31"/>
    <mergeCell ref="L30:L31"/>
    <mergeCell ref="M30:M31"/>
    <mergeCell ref="N30:N31"/>
    <mergeCell ref="O30:O31"/>
    <mergeCell ref="P30:P31"/>
    <mergeCell ref="Q30:Q31"/>
    <mergeCell ref="R30:R31"/>
    <mergeCell ref="S30:S31"/>
    <mergeCell ref="BE30:BE31"/>
    <mergeCell ref="BF30:BF31"/>
    <mergeCell ref="BG30:BG31"/>
    <mergeCell ref="BH30:BH31"/>
    <mergeCell ref="BI30:BI31"/>
    <mergeCell ref="BJ30:BJ31"/>
    <mergeCell ref="BK30:BK31"/>
    <mergeCell ref="BL30:BL31"/>
    <mergeCell ref="BM30:BM31"/>
    <mergeCell ref="BK24:BK25"/>
    <mergeCell ref="BL24:BL25"/>
    <mergeCell ref="BM24:BM25"/>
    <mergeCell ref="BN24:BN25"/>
    <mergeCell ref="BO24:BO25"/>
    <mergeCell ref="BP24:BP25"/>
    <mergeCell ref="T30:T31"/>
    <mergeCell ref="U30:U31"/>
    <mergeCell ref="V30:V31"/>
    <mergeCell ref="W30:W31"/>
    <mergeCell ref="X30:X31"/>
    <mergeCell ref="Y30:Y31"/>
    <mergeCell ref="Z30:Z31"/>
    <mergeCell ref="AA30:AA31"/>
    <mergeCell ref="AB30:AB31"/>
    <mergeCell ref="AC30:AC31"/>
    <mergeCell ref="AD30:AD31"/>
    <mergeCell ref="AE30:AE31"/>
    <mergeCell ref="AF30:AF31"/>
    <mergeCell ref="AG30:AG31"/>
    <mergeCell ref="AH30:AH31"/>
    <mergeCell ref="AI30:AI31"/>
    <mergeCell ref="AJ30:AJ31"/>
    <mergeCell ref="AK30:AK31"/>
    <mergeCell ref="BP18:BP19"/>
    <mergeCell ref="G24:G25"/>
    <mergeCell ref="I24:I25"/>
    <mergeCell ref="H24:H25"/>
    <mergeCell ref="J24:J25"/>
    <mergeCell ref="K24:K25"/>
    <mergeCell ref="L24:L25"/>
    <mergeCell ref="M24:M25"/>
    <mergeCell ref="N24:N25"/>
    <mergeCell ref="O24:O25"/>
    <mergeCell ref="P24:P25"/>
    <mergeCell ref="Q24:Q25"/>
    <mergeCell ref="R24:R25"/>
    <mergeCell ref="S24:S25"/>
    <mergeCell ref="T24:T25"/>
    <mergeCell ref="U24:U25"/>
    <mergeCell ref="V24:V25"/>
    <mergeCell ref="W24:W25"/>
    <mergeCell ref="X24:X25"/>
    <mergeCell ref="Y24:Y25"/>
    <mergeCell ref="Z24:Z25"/>
    <mergeCell ref="AA24:AA25"/>
    <mergeCell ref="AB24:AB25"/>
    <mergeCell ref="AC24:AC25"/>
    <mergeCell ref="BG18:BG19"/>
    <mergeCell ref="BH18:BH19"/>
    <mergeCell ref="BI18:BI19"/>
    <mergeCell ref="BJ18:BJ19"/>
    <mergeCell ref="BK18:BK19"/>
    <mergeCell ref="BL18:BL19"/>
    <mergeCell ref="BM18:BM19"/>
    <mergeCell ref="BN18:BN19"/>
    <mergeCell ref="AD24:AD25"/>
    <mergeCell ref="AE24:AE25"/>
    <mergeCell ref="AF24:AF25"/>
    <mergeCell ref="AG24:AG25"/>
    <mergeCell ref="AH24:AH25"/>
    <mergeCell ref="AI24:AI25"/>
    <mergeCell ref="AJ24:AJ25"/>
    <mergeCell ref="AK24:AK25"/>
    <mergeCell ref="AL24:AL25"/>
    <mergeCell ref="AM24:AM25"/>
    <mergeCell ref="AN24:AN25"/>
    <mergeCell ref="AO24:AO25"/>
    <mergeCell ref="AP24:AP25"/>
    <mergeCell ref="AQ24:AQ25"/>
    <mergeCell ref="AR24:AR25"/>
    <mergeCell ref="BO18:BO19"/>
    <mergeCell ref="Y18:Y19"/>
    <mergeCell ref="Z18:Z19"/>
    <mergeCell ref="AA18:AA19"/>
    <mergeCell ref="AB18:AB19"/>
    <mergeCell ref="AC18:AC19"/>
    <mergeCell ref="AD18:AD19"/>
    <mergeCell ref="AE18:AE19"/>
    <mergeCell ref="AF18:AF19"/>
    <mergeCell ref="AG18:AG19"/>
    <mergeCell ref="AZ18:AZ19"/>
    <mergeCell ref="BA18:BA19"/>
    <mergeCell ref="BB18:BB19"/>
    <mergeCell ref="BC18:BC19"/>
    <mergeCell ref="BD18:BD19"/>
    <mergeCell ref="BE18:BE19"/>
    <mergeCell ref="BF18:BF19"/>
    <mergeCell ref="P18:P19"/>
    <mergeCell ref="Q18:Q19"/>
    <mergeCell ref="R18:R19"/>
    <mergeCell ref="S18:S19"/>
    <mergeCell ref="T18:T19"/>
    <mergeCell ref="U18:U19"/>
    <mergeCell ref="V18:V19"/>
    <mergeCell ref="W18:W19"/>
    <mergeCell ref="X18:X19"/>
    <mergeCell ref="X12:X13"/>
    <mergeCell ref="Y12:Y13"/>
    <mergeCell ref="Z12:Z13"/>
    <mergeCell ref="AA12:AA13"/>
    <mergeCell ref="AB12:AB13"/>
    <mergeCell ref="AC12:AC13"/>
    <mergeCell ref="AK12:AK13"/>
    <mergeCell ref="AL12:AL13"/>
    <mergeCell ref="L12:L13"/>
    <mergeCell ref="M12:M13"/>
    <mergeCell ref="N12:N13"/>
    <mergeCell ref="O12:O13"/>
    <mergeCell ref="P12:P13"/>
    <mergeCell ref="Q12:Q13"/>
    <mergeCell ref="R12:R13"/>
    <mergeCell ref="S12:S13"/>
    <mergeCell ref="T12:T13"/>
    <mergeCell ref="U12:U13"/>
    <mergeCell ref="V12:V13"/>
    <mergeCell ref="W12:W13"/>
    <mergeCell ref="B8:C8"/>
    <mergeCell ref="B9:B10"/>
    <mergeCell ref="C9:C10"/>
    <mergeCell ref="D9:D10"/>
    <mergeCell ref="E9:E10"/>
    <mergeCell ref="BR9:BT10"/>
    <mergeCell ref="B11:B16"/>
    <mergeCell ref="C11:C16"/>
    <mergeCell ref="D11:D16"/>
    <mergeCell ref="E11:E16"/>
    <mergeCell ref="AH9:AN9"/>
    <mergeCell ref="AO9:AU9"/>
    <mergeCell ref="AV9:BB9"/>
    <mergeCell ref="BC9:BI9"/>
    <mergeCell ref="BJ9:BP9"/>
    <mergeCell ref="H9:H10"/>
    <mergeCell ref="G9:G10"/>
    <mergeCell ref="I9:I10"/>
    <mergeCell ref="J9:L9"/>
    <mergeCell ref="M9:S9"/>
    <mergeCell ref="T9:Z9"/>
    <mergeCell ref="F9:F10"/>
    <mergeCell ref="AJ12:AJ13"/>
    <mergeCell ref="BD12:BD13"/>
    <mergeCell ref="B35:C40"/>
    <mergeCell ref="D35:D40"/>
    <mergeCell ref="E35:E40"/>
    <mergeCell ref="B23:B28"/>
    <mergeCell ref="C23:C28"/>
    <mergeCell ref="D23:D28"/>
    <mergeCell ref="E23:E28"/>
    <mergeCell ref="B29:B34"/>
    <mergeCell ref="C29:C34"/>
    <mergeCell ref="D29:D34"/>
    <mergeCell ref="E29:E34"/>
    <mergeCell ref="B17:B22"/>
    <mergeCell ref="C17:C22"/>
    <mergeCell ref="D17:D22"/>
    <mergeCell ref="E17:E22"/>
    <mergeCell ref="AE12:AE13"/>
    <mergeCell ref="AF12:AF13"/>
    <mergeCell ref="AG12:AG13"/>
    <mergeCell ref="AH12:AH13"/>
    <mergeCell ref="AI12:AI13"/>
    <mergeCell ref="AD12:AD13"/>
    <mergeCell ref="O18:O19"/>
    <mergeCell ref="J12:J13"/>
    <mergeCell ref="G18:G19"/>
    <mergeCell ref="H18:H19"/>
    <mergeCell ref="I18:I19"/>
    <mergeCell ref="J18:J19"/>
    <mergeCell ref="K18:K19"/>
    <mergeCell ref="L18:L19"/>
    <mergeCell ref="M18:M19"/>
    <mergeCell ref="N18:N19"/>
    <mergeCell ref="G12:G13"/>
    <mergeCell ref="H12:H13"/>
    <mergeCell ref="I12:I13"/>
    <mergeCell ref="K12:K13"/>
    <mergeCell ref="BE12:BE13"/>
    <mergeCell ref="BF12:BF13"/>
    <mergeCell ref="BG12:BG13"/>
    <mergeCell ref="BH12:BH13"/>
    <mergeCell ref="BI12:BI13"/>
    <mergeCell ref="BJ12:BJ13"/>
    <mergeCell ref="BK12:BK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Y12:AY13"/>
    <mergeCell ref="AZ12:AZ13"/>
    <mergeCell ref="BA12:BA13"/>
    <mergeCell ref="BB12:BB13"/>
    <mergeCell ref="BC12:BC13"/>
    <mergeCell ref="BL12:BL13"/>
    <mergeCell ref="BM12:BM13"/>
    <mergeCell ref="BN12:BN13"/>
    <mergeCell ref="BO12:BO13"/>
    <mergeCell ref="BP12:BP13"/>
    <mergeCell ref="AA9:AG9"/>
    <mergeCell ref="AH18:AH19"/>
    <mergeCell ref="AI18:AI19"/>
    <mergeCell ref="AJ18:AJ19"/>
    <mergeCell ref="AK18:AK19"/>
    <mergeCell ref="AL18:AL19"/>
    <mergeCell ref="AM18:AM19"/>
    <mergeCell ref="AN18:AN19"/>
    <mergeCell ref="AO18:AO19"/>
    <mergeCell ref="AP18:AP19"/>
    <mergeCell ref="AQ18:AQ19"/>
    <mergeCell ref="AR18:AR19"/>
    <mergeCell ref="AS18:AS19"/>
    <mergeCell ref="AT18:AT19"/>
    <mergeCell ref="AU18:AU19"/>
    <mergeCell ref="AV18:AV19"/>
    <mergeCell ref="AW18:AW19"/>
    <mergeCell ref="AX18:AX19"/>
    <mergeCell ref="AY18:AY19"/>
    <mergeCell ref="AS24:AS25"/>
    <mergeCell ref="AT24:AT25"/>
    <mergeCell ref="AU24:AU25"/>
    <mergeCell ref="AV24:AV25"/>
    <mergeCell ref="AW24:AW25"/>
    <mergeCell ref="AX24:AX25"/>
    <mergeCell ref="AY24:AY25"/>
    <mergeCell ref="AZ24:AZ25"/>
    <mergeCell ref="BA24:BA25"/>
    <mergeCell ref="BB24:BB25"/>
    <mergeCell ref="BC24:BC25"/>
    <mergeCell ref="BD24:BD25"/>
    <mergeCell ref="BE24:BE25"/>
    <mergeCell ref="BF24:BF25"/>
    <mergeCell ref="BG24:BG25"/>
    <mergeCell ref="BH24:BH25"/>
    <mergeCell ref="BI24:BI25"/>
    <mergeCell ref="BJ24:BJ25"/>
    <mergeCell ref="AL30:AL31"/>
    <mergeCell ref="AM30:AM31"/>
    <mergeCell ref="AN30:AN31"/>
    <mergeCell ref="AO30:AO31"/>
    <mergeCell ref="AP30:AP31"/>
    <mergeCell ref="AQ30:AQ31"/>
    <mergeCell ref="AR30:AR31"/>
    <mergeCell ref="AS30:AS31"/>
    <mergeCell ref="AT30:AT31"/>
    <mergeCell ref="AU30:AU31"/>
    <mergeCell ref="AV30:AV31"/>
    <mergeCell ref="AW30:AW31"/>
    <mergeCell ref="AX30:AX31"/>
    <mergeCell ref="AY30:AY31"/>
    <mergeCell ref="AZ30:AZ31"/>
    <mergeCell ref="BA30:BA31"/>
    <mergeCell ref="BB30:BB31"/>
    <mergeCell ref="BC30:BC31"/>
    <mergeCell ref="BD30:BD31"/>
    <mergeCell ref="Y36:Y37"/>
    <mergeCell ref="Z36:Z37"/>
    <mergeCell ref="AA36:AA37"/>
    <mergeCell ref="AB36:AB37"/>
    <mergeCell ref="AC36:AC37"/>
    <mergeCell ref="AD36:AD37"/>
    <mergeCell ref="AE36:AE37"/>
    <mergeCell ref="AF36:AF37"/>
    <mergeCell ref="AG36:AG37"/>
    <mergeCell ref="AH36:AH37"/>
    <mergeCell ref="AI36:AI37"/>
    <mergeCell ref="AJ36:AJ37"/>
    <mergeCell ref="AK36:AK37"/>
    <mergeCell ref="AL36:AL37"/>
    <mergeCell ref="AM36:AM37"/>
    <mergeCell ref="AN36:AN37"/>
    <mergeCell ref="AO36:AO37"/>
    <mergeCell ref="AP36:AP37"/>
    <mergeCell ref="AQ36:AQ37"/>
    <mergeCell ref="AR36:AR37"/>
    <mergeCell ref="AS36:AS37"/>
    <mergeCell ref="AT36:AT37"/>
    <mergeCell ref="AU36:AU37"/>
    <mergeCell ref="AV36:AV37"/>
    <mergeCell ref="AW36:AW37"/>
    <mergeCell ref="AX36:AX37"/>
    <mergeCell ref="AY36:AY37"/>
    <mergeCell ref="AZ36:AZ37"/>
    <mergeCell ref="BA36:BA37"/>
    <mergeCell ref="BB36:BB37"/>
    <mergeCell ref="BC36:BC37"/>
    <mergeCell ref="BD36:BD37"/>
    <mergeCell ref="BN36:BN37"/>
    <mergeCell ref="BO36:BO37"/>
    <mergeCell ref="BP36:BP37"/>
    <mergeCell ref="BE36:BE37"/>
    <mergeCell ref="BF36:BF37"/>
    <mergeCell ref="BG36:BG37"/>
    <mergeCell ref="BH36:BH37"/>
    <mergeCell ref="BI36:BI37"/>
    <mergeCell ref="BJ36:BJ37"/>
    <mergeCell ref="BK36:BK37"/>
    <mergeCell ref="BL36:BL37"/>
    <mergeCell ref="BM36:BM37"/>
  </mergeCells>
  <phoneticPr fontId="19" type="noConversion"/>
  <printOptions horizontalCentered="1"/>
  <pageMargins left="0" right="0" top="0.39370078740157483" bottom="0" header="0" footer="0"/>
  <pageSetup paperSize="8" scale="2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C690-00DC-400F-AEAB-D8E130B403C7}">
  <sheetPr>
    <tabColor rgb="FFFFC000"/>
    <pageSetUpPr fitToPage="1"/>
  </sheetPr>
  <dimension ref="A1:CD63"/>
  <sheetViews>
    <sheetView showGridLines="0" zoomScaleNormal="100" zoomScaleSheetLayoutView="55" workbookViewId="0">
      <pane xSplit="9" ySplit="10" topLeftCell="Q11" activePane="bottomRight" state="frozen"/>
      <selection activeCell="B4" sqref="B4:E19"/>
      <selection pane="topRight" activeCell="B4" sqref="B4:E19"/>
      <selection pane="bottomLeft" activeCell="B4" sqref="B4:E19"/>
      <selection pane="bottomRight" activeCell="B4" sqref="B4:E19"/>
    </sheetView>
  </sheetViews>
  <sheetFormatPr defaultColWidth="9" defaultRowHeight="12.75" outlineLevelCol="1"/>
  <cols>
    <col min="1" max="1" width="1.625" style="1600" customWidth="1"/>
    <col min="2" max="2" width="4.875" style="1600" customWidth="1"/>
    <col min="3" max="3" width="17.625" style="1600" customWidth="1"/>
    <col min="4" max="4" width="12.625" style="1600" customWidth="1"/>
    <col min="5" max="5" width="12.375" style="1600" customWidth="1"/>
    <col min="6" max="6" width="17" style="1600" customWidth="1"/>
    <col min="7" max="9" width="11.625" style="1600" customWidth="1"/>
    <col min="10" max="10" width="6.625" style="1600" customWidth="1"/>
    <col min="11" max="12" width="11.625" style="1600" customWidth="1"/>
    <col min="13" max="14" width="10.125" style="1600" customWidth="1"/>
    <col min="15" max="15" width="6.625" style="1600" customWidth="1"/>
    <col min="16" max="18" width="11.625" style="1600" customWidth="1"/>
    <col min="19" max="20" width="11.5" style="1600" bestFit="1" customWidth="1"/>
    <col min="21" max="21" width="10.125" style="1600" customWidth="1"/>
    <col min="22" max="22" width="6.625" style="1600" customWidth="1"/>
    <col min="23" max="25" width="11.625" style="1600" customWidth="1"/>
    <col min="26" max="26" width="12.125" style="1600" customWidth="1"/>
    <col min="27" max="28" width="10.125" style="1600" customWidth="1"/>
    <col min="29" max="29" width="6.625" style="1600" customWidth="1"/>
    <col min="30" max="32" width="11.625" style="1600" customWidth="1"/>
    <col min="33" max="33" width="12.125" style="1600" customWidth="1"/>
    <col min="34" max="35" width="10.125" style="1600" customWidth="1" outlineLevel="1"/>
    <col min="36" max="36" width="6.625" style="1600" customWidth="1" outlineLevel="1"/>
    <col min="37" max="39" width="11.625" style="1600" customWidth="1" outlineLevel="1"/>
    <col min="40" max="40" width="12.125" style="1600" customWidth="1" outlineLevel="1"/>
    <col min="41" max="42" width="10.125" style="1600" customWidth="1"/>
    <col min="43" max="43" width="6.625" style="1600" customWidth="1"/>
    <col min="44" max="46" width="11.625" style="1600" customWidth="1"/>
    <col min="47" max="47" width="12.125" style="1600" customWidth="1"/>
    <col min="48" max="49" width="10.125" style="1600" customWidth="1"/>
    <col min="50" max="50" width="6.625" style="1600" customWidth="1"/>
    <col min="51" max="53" width="11.625" style="1600" customWidth="1"/>
    <col min="54" max="54" width="12.125" style="1600" customWidth="1"/>
    <col min="55" max="56" width="10.125" style="1600" customWidth="1"/>
    <col min="57" max="57" width="6.625" style="1600" customWidth="1"/>
    <col min="58" max="60" width="11.625" style="1600" customWidth="1"/>
    <col min="61" max="61" width="12.125" style="1600" customWidth="1"/>
    <col min="62" max="63" width="10.125" style="1600" customWidth="1"/>
    <col min="64" max="64" width="6.625" style="1600" customWidth="1"/>
    <col min="65" max="67" width="11.625" style="1600" customWidth="1"/>
    <col min="68" max="68" width="12.125" style="1600" customWidth="1"/>
    <col min="69" max="69" width="1.625" style="1600" customWidth="1"/>
    <col min="70" max="72" width="9.625" style="1600" customWidth="1"/>
    <col min="73" max="73" width="12.125" style="1600" customWidth="1"/>
    <col min="74" max="74" width="1.625" style="1600" customWidth="1"/>
    <col min="75" max="76" width="13.625" style="1600" customWidth="1"/>
    <col min="77" max="77" width="12.125" style="1600" customWidth="1"/>
    <col min="78" max="78" width="15" style="1600" bestFit="1" customWidth="1"/>
    <col min="79" max="16384" width="9" style="1600"/>
  </cols>
  <sheetData>
    <row r="1" spans="1:82" s="1599" customFormat="1">
      <c r="E1" s="1991"/>
      <c r="F1" s="1991"/>
      <c r="G1" s="1991"/>
      <c r="H1" s="1991"/>
      <c r="I1" s="1991"/>
      <c r="J1" s="1991"/>
      <c r="K1" s="1991"/>
      <c r="L1" s="1991"/>
      <c r="M1" s="1991"/>
      <c r="N1" s="1991"/>
      <c r="O1" s="1991"/>
      <c r="P1" s="1991"/>
      <c r="Q1" s="1991"/>
      <c r="R1" s="1991"/>
      <c r="S1" s="1991"/>
      <c r="T1" s="1991"/>
      <c r="BV1" s="1600"/>
      <c r="BY1" s="1600"/>
    </row>
    <row r="2" spans="1:82" s="1599" customFormat="1" ht="13.5">
      <c r="B2" s="1599" t="s">
        <v>181</v>
      </c>
      <c r="E2" s="1992" t="s">
        <v>2450</v>
      </c>
      <c r="F2" s="1957">
        <v>44000000</v>
      </c>
      <c r="G2" s="1993" t="s">
        <v>2451</v>
      </c>
      <c r="H2" s="1991"/>
      <c r="I2" s="1991"/>
      <c r="J2" s="1991"/>
      <c r="K2" s="1991"/>
      <c r="L2" s="1991"/>
      <c r="M2" s="1991"/>
      <c r="N2" s="1991"/>
      <c r="O2" s="1991"/>
      <c r="P2" s="1991"/>
      <c r="Q2" s="1991"/>
      <c r="R2" s="1991"/>
      <c r="S2" s="1991"/>
      <c r="T2" s="1991"/>
      <c r="BV2" s="1600"/>
      <c r="BY2" s="1600"/>
    </row>
    <row r="3" spans="1:82" s="1599" customFormat="1" ht="13.5">
      <c r="B3" s="1599" t="s">
        <v>182</v>
      </c>
      <c r="E3" s="1994">
        <f>+D11</f>
        <v>340.8</v>
      </c>
      <c r="F3" s="1957">
        <f>+ROUND(E3/$C$57*$D$52,)</f>
        <v>9714811</v>
      </c>
      <c r="G3" s="1991"/>
      <c r="H3" s="1991"/>
      <c r="I3" s="1991"/>
      <c r="J3" s="1991"/>
      <c r="K3" s="1991"/>
      <c r="L3" s="1991"/>
      <c r="M3" s="1991"/>
      <c r="N3" s="1991"/>
      <c r="O3" s="1991"/>
      <c r="P3" s="1993" t="s">
        <v>2454</v>
      </c>
      <c r="Q3" s="1995">
        <v>1050000000</v>
      </c>
      <c r="R3" s="1995">
        <v>1100000000</v>
      </c>
      <c r="S3" s="1995"/>
      <c r="T3" s="1991"/>
      <c r="BV3" s="1600"/>
      <c r="BY3" s="1600"/>
    </row>
    <row r="4" spans="1:82" s="1599" customFormat="1" ht="13.5">
      <c r="B4" s="1599" t="s">
        <v>184</v>
      </c>
      <c r="E4" s="1994">
        <f>+D17</f>
        <v>144.84</v>
      </c>
      <c r="F4" s="1957">
        <f>+ROUND(E4/$C$57*$D$52,)</f>
        <v>4128795</v>
      </c>
      <c r="G4" s="1991"/>
      <c r="H4" s="1991"/>
      <c r="I4" s="1991"/>
      <c r="J4" s="1991"/>
      <c r="K4" s="1991"/>
      <c r="L4" s="1991"/>
      <c r="M4" s="1993" t="s">
        <v>2453</v>
      </c>
      <c r="N4" s="1993" t="s">
        <v>2452</v>
      </c>
      <c r="O4" s="1991"/>
      <c r="P4" s="1995">
        <v>46492230</v>
      </c>
      <c r="Q4" s="1995">
        <f>+Q3*D35/1000*1.1</f>
        <v>1782788700.0000002</v>
      </c>
      <c r="R4" s="1995">
        <f>+R3*D35*1.1/1000</f>
        <v>1867683400.0000002</v>
      </c>
      <c r="S4" s="1995">
        <f>+R4-P4</f>
        <v>1821191170.0000002</v>
      </c>
      <c r="T4" s="1995">
        <f>+S4*0.5</f>
        <v>910595585.00000012</v>
      </c>
      <c r="BV4" s="1600"/>
      <c r="BY4" s="1600"/>
    </row>
    <row r="5" spans="1:82" s="1599" customFormat="1" ht="13.5">
      <c r="B5" s="1599" t="s">
        <v>186</v>
      </c>
      <c r="E5" s="1994">
        <f>+D23</f>
        <v>807.98</v>
      </c>
      <c r="F5" s="1957">
        <f>+ROUND(E5/$C$57*$D$52,)</f>
        <v>23032199</v>
      </c>
      <c r="G5" s="1991"/>
      <c r="H5" s="1991"/>
      <c r="I5" s="1991"/>
      <c r="J5" s="1991"/>
      <c r="K5" s="1991"/>
      <c r="L5" s="1991"/>
      <c r="M5" s="1991"/>
      <c r="N5" s="1991"/>
      <c r="O5" s="1991"/>
      <c r="P5" s="1991"/>
      <c r="Q5" s="1996">
        <f>+F2</f>
        <v>44000000</v>
      </c>
      <c r="R5" s="1996">
        <f>+Q5</f>
        <v>44000000</v>
      </c>
      <c r="S5" s="1991" t="s">
        <v>2497</v>
      </c>
      <c r="T5" s="1997">
        <f>+T4+R5</f>
        <v>954595585.00000012</v>
      </c>
      <c r="BV5" s="1600"/>
      <c r="BY5" s="1600"/>
    </row>
    <row r="6" spans="1:82" s="1599" customFormat="1" ht="13.5">
      <c r="B6" s="1599" t="s">
        <v>188</v>
      </c>
      <c r="E6" s="1994">
        <f>+D29</f>
        <v>249.92</v>
      </c>
      <c r="F6" s="1957">
        <f>+ROUND(E6/$C$57*$D$52,)</f>
        <v>7124195</v>
      </c>
      <c r="G6" s="1991"/>
      <c r="H6" s="1991"/>
      <c r="I6" s="1991"/>
      <c r="J6" s="1991"/>
      <c r="K6" s="1991"/>
      <c r="L6" s="1991"/>
      <c r="M6" s="1991"/>
      <c r="N6" s="1991"/>
      <c r="O6" s="1991"/>
      <c r="P6" s="1991"/>
      <c r="Q6" s="1996">
        <f>+Q4+Q5</f>
        <v>1826788700.0000002</v>
      </c>
      <c r="R6" s="1996">
        <f>+R4+R5</f>
        <v>1911683400.0000002</v>
      </c>
      <c r="S6" s="1991" t="s">
        <v>2498</v>
      </c>
      <c r="T6" s="1996">
        <f>+T4</f>
        <v>910595585.00000012</v>
      </c>
      <c r="BV6" s="1600"/>
      <c r="BY6" s="1600"/>
    </row>
    <row r="7" spans="1:82" s="1599" customFormat="1" ht="13.5">
      <c r="B7" s="1599" t="s">
        <v>190</v>
      </c>
      <c r="E7" s="1994">
        <f>SUM(E3:E6)</f>
        <v>1543.54</v>
      </c>
      <c r="F7" s="1998">
        <f>SUM(F3:F6)</f>
        <v>44000000</v>
      </c>
      <c r="G7" s="1991"/>
      <c r="H7" s="1991"/>
      <c r="I7" s="1991"/>
      <c r="J7" s="1991"/>
      <c r="K7" s="1991"/>
      <c r="L7" s="1991"/>
      <c r="M7" s="1991"/>
      <c r="N7" s="1991"/>
      <c r="O7" s="1991"/>
      <c r="P7" s="1993" t="s">
        <v>2455</v>
      </c>
      <c r="Q7" s="1997">
        <f>+Q6-P4</f>
        <v>1780296470.0000002</v>
      </c>
      <c r="R7" s="1996">
        <f>+R6-P4</f>
        <v>1865191170.0000002</v>
      </c>
      <c r="S7" s="1996">
        <f>+R7-Q7</f>
        <v>84894700</v>
      </c>
      <c r="T7" s="1995">
        <f>+T5+T6</f>
        <v>1865191170.0000002</v>
      </c>
      <c r="BV7" s="1600"/>
      <c r="BY7" s="1600"/>
    </row>
    <row r="8" spans="1:82">
      <c r="A8" s="401"/>
      <c r="B8" s="2522"/>
      <c r="C8" s="2522"/>
      <c r="D8" s="1601"/>
      <c r="E8" s="1601"/>
      <c r="F8" s="401"/>
      <c r="G8" s="1648"/>
      <c r="H8" s="1648"/>
      <c r="I8" s="1648"/>
      <c r="J8" s="401"/>
      <c r="K8" s="401"/>
      <c r="L8" s="401"/>
      <c r="M8" s="401"/>
      <c r="N8" s="401"/>
      <c r="O8" s="401"/>
      <c r="P8" s="401"/>
      <c r="Q8" s="401"/>
      <c r="R8" s="401"/>
      <c r="S8" s="401"/>
      <c r="T8" s="401"/>
      <c r="U8" s="401"/>
      <c r="V8" s="401"/>
      <c r="W8" s="401"/>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c r="BK8" s="401"/>
      <c r="BL8" s="401"/>
      <c r="BM8" s="401"/>
      <c r="BN8" s="401"/>
      <c r="BO8" s="401"/>
      <c r="BP8" s="401"/>
      <c r="BQ8" s="404"/>
      <c r="BR8" s="401"/>
      <c r="BS8" s="401"/>
      <c r="BT8" s="401"/>
      <c r="BU8" s="401"/>
      <c r="BV8" s="401"/>
      <c r="BW8" s="401"/>
      <c r="BX8" s="401"/>
      <c r="BY8" s="401"/>
      <c r="BZ8" s="401"/>
      <c r="CA8" s="401"/>
      <c r="CB8" s="401"/>
      <c r="CC8" s="401"/>
      <c r="CD8" s="401"/>
    </row>
    <row r="9" spans="1:82" ht="28.15" customHeight="1">
      <c r="A9" s="401"/>
      <c r="B9" s="2375" t="s">
        <v>98</v>
      </c>
      <c r="C9" s="2375" t="s">
        <v>99</v>
      </c>
      <c r="D9" s="2373" t="s">
        <v>100</v>
      </c>
      <c r="E9" s="2523" t="s">
        <v>101</v>
      </c>
      <c r="F9" s="2373" t="s">
        <v>102</v>
      </c>
      <c r="G9" s="2373" t="s">
        <v>103</v>
      </c>
      <c r="H9" s="2373" t="s">
        <v>104</v>
      </c>
      <c r="I9" s="2373" t="s">
        <v>105</v>
      </c>
      <c r="J9" s="2521" t="s">
        <v>106</v>
      </c>
      <c r="K9" s="2521"/>
      <c r="L9" s="2521"/>
      <c r="M9" s="2521" t="s">
        <v>107</v>
      </c>
      <c r="N9" s="2521"/>
      <c r="O9" s="2521"/>
      <c r="P9" s="2521"/>
      <c r="Q9" s="2521"/>
      <c r="R9" s="2521"/>
      <c r="S9" s="2521"/>
      <c r="T9" s="2521" t="s">
        <v>238</v>
      </c>
      <c r="U9" s="2521"/>
      <c r="V9" s="2521"/>
      <c r="W9" s="2521"/>
      <c r="X9" s="2521"/>
      <c r="Y9" s="2521"/>
      <c r="Z9" s="2521"/>
      <c r="AA9" s="2521" t="s">
        <v>109</v>
      </c>
      <c r="AB9" s="2521"/>
      <c r="AC9" s="2521"/>
      <c r="AD9" s="2521"/>
      <c r="AE9" s="2521"/>
      <c r="AF9" s="2521"/>
      <c r="AG9" s="2521"/>
      <c r="AH9" s="2521" t="s">
        <v>110</v>
      </c>
      <c r="AI9" s="2521"/>
      <c r="AJ9" s="2521"/>
      <c r="AK9" s="2521"/>
      <c r="AL9" s="2521"/>
      <c r="AM9" s="2521"/>
      <c r="AN9" s="2521"/>
      <c r="AO9" s="2521" t="s">
        <v>111</v>
      </c>
      <c r="AP9" s="2521"/>
      <c r="AQ9" s="2521"/>
      <c r="AR9" s="2521"/>
      <c r="AS9" s="2521"/>
      <c r="AT9" s="2521"/>
      <c r="AU9" s="2521"/>
      <c r="AV9" s="2521" t="s">
        <v>112</v>
      </c>
      <c r="AW9" s="2521"/>
      <c r="AX9" s="2521"/>
      <c r="AY9" s="2521"/>
      <c r="AZ9" s="2521"/>
      <c r="BA9" s="2521"/>
      <c r="BB9" s="2521"/>
      <c r="BC9" s="2521" t="s">
        <v>113</v>
      </c>
      <c r="BD9" s="2521"/>
      <c r="BE9" s="2521"/>
      <c r="BF9" s="2521"/>
      <c r="BG9" s="2521"/>
      <c r="BH9" s="2521"/>
      <c r="BI9" s="2521"/>
      <c r="BJ9" s="2521" t="s">
        <v>209</v>
      </c>
      <c r="BK9" s="2521"/>
      <c r="BL9" s="2521"/>
      <c r="BM9" s="2521"/>
      <c r="BN9" s="2521"/>
      <c r="BO9" s="2521"/>
      <c r="BP9" s="2521"/>
      <c r="BQ9" s="1646"/>
      <c r="BR9" s="2521" t="s">
        <v>114</v>
      </c>
      <c r="BS9" s="2521"/>
      <c r="BT9" s="2521"/>
      <c r="BU9" s="401"/>
      <c r="BV9" s="401"/>
      <c r="BW9" s="401"/>
      <c r="BX9" s="401"/>
      <c r="BY9" s="401"/>
      <c r="BZ9" s="401"/>
      <c r="CA9" s="401"/>
      <c r="CB9" s="401"/>
      <c r="CC9" s="404"/>
      <c r="CD9" s="404"/>
    </row>
    <row r="10" spans="1:82" ht="42" customHeight="1">
      <c r="A10" s="401"/>
      <c r="B10" s="2376"/>
      <c r="C10" s="2376"/>
      <c r="D10" s="2374"/>
      <c r="E10" s="2524"/>
      <c r="F10" s="2374"/>
      <c r="G10" s="2374"/>
      <c r="H10" s="2374"/>
      <c r="I10" s="2374"/>
      <c r="J10" s="1590" t="s">
        <v>115</v>
      </c>
      <c r="K10" s="1590" t="s">
        <v>116</v>
      </c>
      <c r="L10" s="1590" t="s">
        <v>117</v>
      </c>
      <c r="M10" s="1590" t="s">
        <v>219</v>
      </c>
      <c r="N10" s="1590" t="s">
        <v>119</v>
      </c>
      <c r="O10" s="1590" t="s">
        <v>115</v>
      </c>
      <c r="P10" s="1590" t="s">
        <v>120</v>
      </c>
      <c r="Q10" s="1590" t="s">
        <v>121</v>
      </c>
      <c r="R10" s="1590" t="s">
        <v>122</v>
      </c>
      <c r="S10" s="1590" t="s">
        <v>123</v>
      </c>
      <c r="T10" s="1590" t="s">
        <v>118</v>
      </c>
      <c r="U10" s="1590" t="s">
        <v>119</v>
      </c>
      <c r="V10" s="1590" t="s">
        <v>115</v>
      </c>
      <c r="W10" s="1590" t="s">
        <v>120</v>
      </c>
      <c r="X10" s="1590" t="s">
        <v>121</v>
      </c>
      <c r="Y10" s="1590" t="s">
        <v>122</v>
      </c>
      <c r="Z10" s="1590" t="s">
        <v>123</v>
      </c>
      <c r="AA10" s="1590" t="s">
        <v>118</v>
      </c>
      <c r="AB10" s="1590" t="s">
        <v>119</v>
      </c>
      <c r="AC10" s="1590" t="s">
        <v>115</v>
      </c>
      <c r="AD10" s="1590" t="s">
        <v>120</v>
      </c>
      <c r="AE10" s="1590" t="s">
        <v>121</v>
      </c>
      <c r="AF10" s="1590" t="s">
        <v>122</v>
      </c>
      <c r="AG10" s="1590" t="s">
        <v>123</v>
      </c>
      <c r="AH10" s="1590" t="s">
        <v>118</v>
      </c>
      <c r="AI10" s="1590" t="s">
        <v>119</v>
      </c>
      <c r="AJ10" s="1590" t="s">
        <v>115</v>
      </c>
      <c r="AK10" s="1590" t="s">
        <v>120</v>
      </c>
      <c r="AL10" s="1590" t="s">
        <v>121</v>
      </c>
      <c r="AM10" s="1590" t="s">
        <v>122</v>
      </c>
      <c r="AN10" s="1590" t="s">
        <v>123</v>
      </c>
      <c r="AO10" s="1590" t="s">
        <v>118</v>
      </c>
      <c r="AP10" s="1590" t="s">
        <v>119</v>
      </c>
      <c r="AQ10" s="1590" t="s">
        <v>115</v>
      </c>
      <c r="AR10" s="1590" t="s">
        <v>120</v>
      </c>
      <c r="AS10" s="1590" t="s">
        <v>121</v>
      </c>
      <c r="AT10" s="1590" t="s">
        <v>122</v>
      </c>
      <c r="AU10" s="1590" t="s">
        <v>123</v>
      </c>
      <c r="AV10" s="1590" t="s">
        <v>118</v>
      </c>
      <c r="AW10" s="1590" t="s">
        <v>119</v>
      </c>
      <c r="AX10" s="1590" t="s">
        <v>115</v>
      </c>
      <c r="AY10" s="1590" t="s">
        <v>120</v>
      </c>
      <c r="AZ10" s="1590" t="s">
        <v>121</v>
      </c>
      <c r="BA10" s="1590" t="s">
        <v>122</v>
      </c>
      <c r="BB10" s="1590" t="s">
        <v>123</v>
      </c>
      <c r="BC10" s="1590" t="s">
        <v>118</v>
      </c>
      <c r="BD10" s="1590" t="s">
        <v>119</v>
      </c>
      <c r="BE10" s="1590" t="s">
        <v>115</v>
      </c>
      <c r="BF10" s="1590" t="s">
        <v>120</v>
      </c>
      <c r="BG10" s="1590" t="s">
        <v>121</v>
      </c>
      <c r="BH10" s="1590" t="s">
        <v>122</v>
      </c>
      <c r="BI10" s="1590" t="s">
        <v>123</v>
      </c>
      <c r="BJ10" s="1590" t="s">
        <v>118</v>
      </c>
      <c r="BK10" s="1590" t="s">
        <v>119</v>
      </c>
      <c r="BL10" s="1590" t="s">
        <v>115</v>
      </c>
      <c r="BM10" s="1590" t="s">
        <v>120</v>
      </c>
      <c r="BN10" s="1590" t="s">
        <v>121</v>
      </c>
      <c r="BO10" s="1590" t="s">
        <v>122</v>
      </c>
      <c r="BP10" s="1590" t="s">
        <v>123</v>
      </c>
      <c r="BQ10" s="1647"/>
      <c r="BR10" s="2521"/>
      <c r="BS10" s="2521"/>
      <c r="BT10" s="2521"/>
      <c r="BU10" s="401"/>
      <c r="BV10" s="401"/>
      <c r="BW10" s="401"/>
      <c r="BX10" s="401"/>
      <c r="BY10" s="401"/>
      <c r="BZ10" s="401"/>
      <c r="CA10" s="401"/>
      <c r="CB10" s="401"/>
      <c r="CC10" s="404"/>
      <c r="CD10" s="404"/>
    </row>
    <row r="11" spans="1:82" ht="16.5" customHeight="1">
      <c r="A11" s="1649"/>
      <c r="B11" s="2517">
        <v>1</v>
      </c>
      <c r="C11" s="2520" t="s">
        <v>169</v>
      </c>
      <c r="D11" s="2518">
        <v>340.8</v>
      </c>
      <c r="E11" s="2518" t="s">
        <v>124</v>
      </c>
      <c r="F11" s="1659" t="s">
        <v>125</v>
      </c>
      <c r="G11" s="1596">
        <f>+'PAYMENT RATIO_RAW'!$F$53*D11/1000</f>
        <v>374880000</v>
      </c>
      <c r="H11" s="1596">
        <f>+G11*10%</f>
        <v>37488000</v>
      </c>
      <c r="I11" s="1596">
        <f>SUM(G11:H11)</f>
        <v>412368000</v>
      </c>
      <c r="J11" s="1676">
        <f t="shared" ref="J11:J40" si="0">+IFERROR(K11/I11,"-")</f>
        <v>0</v>
      </c>
      <c r="K11" s="1670">
        <f>+IFERROR(Q11+X11+AE11+AS11+AZ11+BG11+BN11,"-")</f>
        <v>0</v>
      </c>
      <c r="L11" s="1670">
        <f>+I11-K11</f>
        <v>412368000</v>
      </c>
      <c r="M11" s="1586"/>
      <c r="N11" s="1586"/>
      <c r="O11" s="1660">
        <f t="shared" ref="O11:O14" si="1">+IFERROR(P11/$I11,"-")</f>
        <v>0</v>
      </c>
      <c r="P11" s="1654">
        <f>+$I11*'PAYMENT RATIO_RAW'!G$53</f>
        <v>0</v>
      </c>
      <c r="Q11" s="1678"/>
      <c r="R11" s="1678">
        <f>+P11-Q11</f>
        <v>0</v>
      </c>
      <c r="S11" s="1679"/>
      <c r="T11" s="1625"/>
      <c r="U11" s="1586"/>
      <c r="V11" s="1677"/>
      <c r="W11" s="1654">
        <f>+$I11*'PAYMENT RATIO_RAW'!N$53</f>
        <v>0</v>
      </c>
      <c r="X11" s="1678"/>
      <c r="Y11" s="1678">
        <f>+W11-X11</f>
        <v>0</v>
      </c>
      <c r="Z11" s="1679"/>
      <c r="AA11" s="1625">
        <f>+EDATE(AH11,1)</f>
        <v>45960</v>
      </c>
      <c r="AB11" s="1586"/>
      <c r="AC11" s="1677">
        <f>+IFERROR(AD11/$I11,"-")</f>
        <v>0.5</v>
      </c>
      <c r="AD11" s="1654">
        <f>+$I11*'PAYMENT RATIO_RAW'!U$53</f>
        <v>206184000</v>
      </c>
      <c r="AE11" s="1678"/>
      <c r="AF11" s="1678">
        <f>+AD11-AE11</f>
        <v>206184000</v>
      </c>
      <c r="AG11" s="1679"/>
      <c r="AH11" s="1625">
        <f>+EDATE(AO11,-1)</f>
        <v>45930</v>
      </c>
      <c r="AI11" s="1585"/>
      <c r="AJ11" s="1677">
        <f>+IFERROR(AK11/$I11,"-")</f>
        <v>0</v>
      </c>
      <c r="AK11" s="1678">
        <f>+$I11*'PAYMENT RATIO_RAW'!AB34</f>
        <v>0</v>
      </c>
      <c r="AL11" s="1678"/>
      <c r="AM11" s="1678">
        <f>+AK11-AL11</f>
        <v>0</v>
      </c>
      <c r="AN11" s="1679"/>
      <c r="AO11" s="1625">
        <f>+EDATE(AV11,-1)</f>
        <v>45960</v>
      </c>
      <c r="AP11" s="1586"/>
      <c r="AQ11" s="1677">
        <f>+IFERROR(AR11/$I11,"-")</f>
        <v>0</v>
      </c>
      <c r="AR11" s="1654">
        <f>+$I11*'PAYMENT RATIO_RAW'!AI$53</f>
        <v>0</v>
      </c>
      <c r="AS11" s="1678"/>
      <c r="AT11" s="1678">
        <f>+AR11-AS11</f>
        <v>0</v>
      </c>
      <c r="AU11" s="1679"/>
      <c r="AV11" s="1625">
        <f>+EDATE(BC11,-1)</f>
        <v>45991</v>
      </c>
      <c r="AW11" s="1586"/>
      <c r="AX11" s="1677">
        <f>+IFERROR(AY11/$I11,"-")</f>
        <v>0</v>
      </c>
      <c r="AY11" s="1654">
        <f>+$I11*'PAYMENT RATIO_RAW'!AP$53</f>
        <v>0</v>
      </c>
      <c r="AZ11" s="1678"/>
      <c r="BA11" s="1678">
        <f>+AY11-AZ11</f>
        <v>0</v>
      </c>
      <c r="BB11" s="1679"/>
      <c r="BC11" s="1625">
        <f>+EDATE(BJ11,-1)</f>
        <v>46022</v>
      </c>
      <c r="BD11" s="1586"/>
      <c r="BE11" s="1677">
        <f>+IFERROR(BF11/$I11,"-")</f>
        <v>0</v>
      </c>
      <c r="BF11" s="1654">
        <f>+$I11*'PAYMENT RATIO_RAW'!AW$53</f>
        <v>0</v>
      </c>
      <c r="BG11" s="1678"/>
      <c r="BH11" s="1678">
        <f>+BF11-BG11</f>
        <v>0</v>
      </c>
      <c r="BI11" s="1679"/>
      <c r="BJ11" s="1625">
        <v>46053</v>
      </c>
      <c r="BK11" s="1586"/>
      <c r="BL11" s="1677">
        <f>+IFERROR(BM11/$I11,"-")</f>
        <v>0.5</v>
      </c>
      <c r="BM11" s="1654">
        <f>+$I11*'PAYMENT RATIO_RAW'!BD$53</f>
        <v>206184000</v>
      </c>
      <c r="BN11" s="1678"/>
      <c r="BO11" s="1678">
        <f>+BM11-BN11</f>
        <v>206184000</v>
      </c>
      <c r="BP11" s="1679"/>
      <c r="BQ11" s="1588"/>
      <c r="BR11" s="1587" t="b">
        <f>+P11+W11+AD11+AR11+AY11+BF11+BM11=I11</f>
        <v>1</v>
      </c>
      <c r="BS11" s="1587" t="b">
        <f>+Q11+X11+AE11+AS11+AZ11+BG11+BN11=K11</f>
        <v>1</v>
      </c>
      <c r="BT11" s="1587"/>
      <c r="BU11" s="1653">
        <f>+BM11+AD11</f>
        <v>412368000</v>
      </c>
      <c r="BV11" s="401"/>
      <c r="BW11" s="401">
        <f>+D11*1050000000*1.1/1000</f>
        <v>393624000.00000006</v>
      </c>
      <c r="BX11" s="401"/>
      <c r="BY11" s="401"/>
      <c r="BZ11" s="401"/>
      <c r="CA11" s="401"/>
      <c r="CB11" s="401"/>
      <c r="CC11" s="404"/>
      <c r="CD11" s="404"/>
    </row>
    <row r="12" spans="1:82" ht="13.5">
      <c r="A12" s="1649"/>
      <c r="B12" s="2517"/>
      <c r="C12" s="2520"/>
      <c r="D12" s="2518"/>
      <c r="E12" s="2518"/>
      <c r="F12" s="1661" t="s">
        <v>126</v>
      </c>
      <c r="G12" s="1597">
        <f>+'PAYMENT RATIO_RAW'!F54*$D$11/1000</f>
        <v>136320000</v>
      </c>
      <c r="H12" s="1597"/>
      <c r="I12" s="1597">
        <f t="shared" ref="I12:I15" si="2">SUM(G12:H12)</f>
        <v>136320000</v>
      </c>
      <c r="J12" s="1661">
        <f t="shared" si="0"/>
        <v>0.94535211267605634</v>
      </c>
      <c r="K12" s="1671">
        <f t="shared" ref="K12:K33" si="3">+IFERROR(Q12+X12+AE12+AS12+AZ12+BG12+BN12,"-")</f>
        <v>128870400</v>
      </c>
      <c r="L12" s="1671">
        <f t="shared" ref="L12:L15" si="4">+I12-K12</f>
        <v>7449600</v>
      </c>
      <c r="M12" s="1626">
        <v>45900</v>
      </c>
      <c r="N12" s="1626">
        <v>45845</v>
      </c>
      <c r="O12" s="1660">
        <f t="shared" si="1"/>
        <v>0.7</v>
      </c>
      <c r="P12" s="1654">
        <f>+$I12*'PAYMENT RATIO_RAW'!G$54</f>
        <v>95424000</v>
      </c>
      <c r="Q12" s="1654">
        <v>101606400</v>
      </c>
      <c r="R12" s="1654">
        <f t="shared" ref="R12:R40" si="5">+P12-Q12</f>
        <v>-6182400</v>
      </c>
      <c r="S12" s="1662"/>
      <c r="T12" s="1626">
        <v>45943</v>
      </c>
      <c r="U12" s="1626"/>
      <c r="V12" s="1660">
        <f t="shared" ref="V12:V16" si="6">+IFERROR(W12/$I12,"-")</f>
        <v>0.2</v>
      </c>
      <c r="W12" s="1654">
        <f>+$I12*'PAYMENT RATIO_RAW'!N$54</f>
        <v>27264000</v>
      </c>
      <c r="X12" s="1654">
        <f>+W12</f>
        <v>27264000</v>
      </c>
      <c r="Y12" s="1654">
        <f t="shared" ref="Y12:Y16" si="7">+W12-X12</f>
        <v>0</v>
      </c>
      <c r="Z12" s="1686"/>
      <c r="AA12" s="1626"/>
      <c r="AB12" s="1626"/>
      <c r="AC12" s="1660">
        <f t="shared" ref="AC12:AC16" si="8">+IFERROR(AD12/$I12,"-")</f>
        <v>0</v>
      </c>
      <c r="AD12" s="1654">
        <f>+$I12*'PAYMENT RATIO_RAW'!U$54</f>
        <v>0</v>
      </c>
      <c r="AE12" s="1654"/>
      <c r="AF12" s="1654">
        <f t="shared" ref="AF12:AF16" si="9">+AD12-AE12</f>
        <v>0</v>
      </c>
      <c r="AG12" s="1662"/>
      <c r="AH12" s="1626"/>
      <c r="AI12" s="1626"/>
      <c r="AJ12" s="1660">
        <f t="shared" ref="AJ12:AJ16" si="10">+IFERROR(AK12/$I12,"-")</f>
        <v>0</v>
      </c>
      <c r="AK12" s="1654"/>
      <c r="AL12" s="1654"/>
      <c r="AM12" s="1654">
        <f t="shared" ref="AM12:AM16" si="11">+AK12-AL12</f>
        <v>0</v>
      </c>
      <c r="AN12" s="1662"/>
      <c r="AO12" s="1626"/>
      <c r="AP12" s="1626"/>
      <c r="AQ12" s="1660"/>
      <c r="AR12" s="1654">
        <f>+$I12*'PAYMENT RATIO_RAW'!AI$54</f>
        <v>0</v>
      </c>
      <c r="AS12" s="1654"/>
      <c r="AT12" s="1654">
        <f t="shared" ref="AT12:AT16" si="12">+AR12-AS12</f>
        <v>0</v>
      </c>
      <c r="AU12" s="1662"/>
      <c r="AV12" s="1626"/>
      <c r="AW12" s="1626"/>
      <c r="AX12" s="1660"/>
      <c r="AY12" s="1654">
        <f>+$I12*'PAYMENT RATIO_RAW'!AP$54</f>
        <v>0</v>
      </c>
      <c r="AZ12" s="1654"/>
      <c r="BA12" s="1654">
        <f t="shared" ref="BA12:BA16" si="13">+AY12-AZ12</f>
        <v>0</v>
      </c>
      <c r="BB12" s="1662"/>
      <c r="BC12" s="1626"/>
      <c r="BD12" s="1626"/>
      <c r="BE12" s="1660">
        <f t="shared" ref="BE12:BE34" si="14">+IFERROR(BF12/$I12,"-")</f>
        <v>0</v>
      </c>
      <c r="BF12" s="1654">
        <f>+$I12*'PAYMENT RATIO_RAW'!AW$54</f>
        <v>0</v>
      </c>
      <c r="BG12" s="1654"/>
      <c r="BH12" s="1678">
        <f t="shared" ref="BH12:BH16" si="15">+BF12-BG12</f>
        <v>0</v>
      </c>
      <c r="BI12" s="1662"/>
      <c r="BJ12" s="1626">
        <v>46053</v>
      </c>
      <c r="BK12" s="1626"/>
      <c r="BL12" s="1660">
        <f t="shared" ref="BL12:BL34" si="16">+IFERROR(BM12/$I12,"-")</f>
        <v>0.1</v>
      </c>
      <c r="BM12" s="1654">
        <f>+$I12*'PAYMENT RATIO_RAW'!BD$54</f>
        <v>13632000</v>
      </c>
      <c r="BN12" s="1654"/>
      <c r="BO12" s="1654">
        <f t="shared" ref="BO12:BO16" si="17">+BM12-BN12</f>
        <v>13632000</v>
      </c>
      <c r="BP12" s="1662"/>
      <c r="BQ12" s="1588"/>
      <c r="BR12" s="1587" t="b">
        <f>+BM12+BF12+AY12+AR12+AD12+W12+P12=I12</f>
        <v>1</v>
      </c>
      <c r="BS12" s="1587" t="b">
        <f t="shared" ref="BS12:BS15" si="18">+Q12+X12+AE12+AS12+AZ12+BG12+BN12=K12</f>
        <v>1</v>
      </c>
      <c r="BT12" s="1587" t="b">
        <f>+BF12+BF14+AY12+AY14+AR12+AR14+AD12+AD14+W12+W14+P12+P14+BM12+BM14=('PAYMENT RATIO_RAW'!$F$54+'PAYMENT RATIO_RAW'!$F$56)*D11*1.1/1000</f>
        <v>0</v>
      </c>
      <c r="BU12" s="1687"/>
      <c r="BV12" s="401"/>
      <c r="BW12" s="1688"/>
      <c r="BX12" s="401"/>
      <c r="BY12" s="401"/>
      <c r="BZ12" s="401"/>
      <c r="CA12" s="401"/>
      <c r="CB12" s="401"/>
      <c r="CC12" s="404"/>
      <c r="CD12" s="404"/>
    </row>
    <row r="13" spans="1:82">
      <c r="A13" s="1649"/>
      <c r="B13" s="2517"/>
      <c r="C13" s="2520"/>
      <c r="D13" s="2518"/>
      <c r="E13" s="2518"/>
      <c r="F13" s="1661" t="s">
        <v>127</v>
      </c>
      <c r="G13" s="1597">
        <f>+'PAYMENT RATIO_RAW'!F55*$D$11/1000</f>
        <v>0</v>
      </c>
      <c r="H13" s="1597">
        <f t="shared" ref="H13:H15" si="19">+G13*10%</f>
        <v>0</v>
      </c>
      <c r="I13" s="1597">
        <f t="shared" si="2"/>
        <v>0</v>
      </c>
      <c r="J13" s="1661" t="str">
        <f t="shared" si="0"/>
        <v>-</v>
      </c>
      <c r="K13" s="1671">
        <f t="shared" si="3"/>
        <v>0</v>
      </c>
      <c r="L13" s="1671">
        <f t="shared" si="4"/>
        <v>0</v>
      </c>
      <c r="M13" s="1626">
        <v>45900</v>
      </c>
      <c r="N13" s="1626"/>
      <c r="O13" s="1660" t="str">
        <f t="shared" si="1"/>
        <v>-</v>
      </c>
      <c r="P13" s="1654">
        <f>+$I13*'PAYMENT RATIO_RAW'!G$55</f>
        <v>0</v>
      </c>
      <c r="Q13" s="1654"/>
      <c r="R13" s="1654">
        <f t="shared" si="5"/>
        <v>0</v>
      </c>
      <c r="S13" s="1662"/>
      <c r="T13" s="1626"/>
      <c r="U13" s="1626"/>
      <c r="V13" s="1660" t="str">
        <f t="shared" si="6"/>
        <v>-</v>
      </c>
      <c r="W13" s="1654">
        <f>+$I13*'PAYMENT RATIO_RAW'!N$55</f>
        <v>0</v>
      </c>
      <c r="X13" s="1654"/>
      <c r="Y13" s="1654">
        <f t="shared" si="7"/>
        <v>0</v>
      </c>
      <c r="Z13" s="1662"/>
      <c r="AA13" s="1626"/>
      <c r="AB13" s="1626"/>
      <c r="AC13" s="1660" t="str">
        <f t="shared" si="8"/>
        <v>-</v>
      </c>
      <c r="AD13" s="1654">
        <f>+$I13*'PAYMENT RATIO_RAW'!U$55</f>
        <v>0</v>
      </c>
      <c r="AE13" s="1654"/>
      <c r="AF13" s="1654">
        <f t="shared" si="9"/>
        <v>0</v>
      </c>
      <c r="AG13" s="1662"/>
      <c r="AH13" s="1626"/>
      <c r="AI13" s="1626"/>
      <c r="AJ13" s="1660" t="str">
        <f t="shared" si="10"/>
        <v>-</v>
      </c>
      <c r="AK13" s="1654"/>
      <c r="AL13" s="1654"/>
      <c r="AM13" s="1654">
        <f t="shared" si="11"/>
        <v>0</v>
      </c>
      <c r="AN13" s="1662"/>
      <c r="AO13" s="1626"/>
      <c r="AP13" s="1626"/>
      <c r="AQ13" s="1660"/>
      <c r="AR13" s="1654">
        <f>+$I13*'PAYMENT RATIO_RAW'!AI$55</f>
        <v>0</v>
      </c>
      <c r="AS13" s="1654"/>
      <c r="AT13" s="1654">
        <f t="shared" si="12"/>
        <v>0</v>
      </c>
      <c r="AU13" s="1662"/>
      <c r="AV13" s="1626"/>
      <c r="AW13" s="1626"/>
      <c r="AX13" s="1660"/>
      <c r="AY13" s="1654">
        <f>+$I13*'PAYMENT RATIO_RAW'!AP$55</f>
        <v>0</v>
      </c>
      <c r="AZ13" s="1654"/>
      <c r="BA13" s="1654">
        <f t="shared" si="13"/>
        <v>0</v>
      </c>
      <c r="BB13" s="1662"/>
      <c r="BC13" s="1626"/>
      <c r="BD13" s="1626"/>
      <c r="BE13" s="1660" t="str">
        <f t="shared" si="14"/>
        <v>-</v>
      </c>
      <c r="BF13" s="1654">
        <f>+$I13*'PAYMENT RATIO_RAW'!AW$55</f>
        <v>0</v>
      </c>
      <c r="BG13" s="1654"/>
      <c r="BH13" s="1678">
        <f t="shared" si="15"/>
        <v>0</v>
      </c>
      <c r="BI13" s="1662"/>
      <c r="BJ13" s="1626"/>
      <c r="BK13" s="1626"/>
      <c r="BL13" s="1660" t="str">
        <f t="shared" si="16"/>
        <v>-</v>
      </c>
      <c r="BM13" s="1654">
        <f>+$I13*'PAYMENT RATIO_RAW'!BD$55</f>
        <v>0</v>
      </c>
      <c r="BN13" s="1654"/>
      <c r="BO13" s="1654">
        <f t="shared" si="17"/>
        <v>0</v>
      </c>
      <c r="BP13" s="1662"/>
      <c r="BQ13" s="1588"/>
      <c r="BR13" s="1587" t="b">
        <f>+P13+W13+AD13+AR13+AY13+BF13+BM13=I13</f>
        <v>1</v>
      </c>
      <c r="BS13" s="1587" t="b">
        <f>+Q13+X13+AE13+AS13+AZ13+BG13+BN13=K13</f>
        <v>1</v>
      </c>
      <c r="BT13" s="1587"/>
      <c r="BU13" s="401"/>
      <c r="BV13" s="401"/>
      <c r="BW13" s="1653"/>
      <c r="BX13" s="401"/>
      <c r="BY13" s="401"/>
      <c r="BZ13" s="401"/>
      <c r="CA13" s="401"/>
      <c r="CB13" s="401"/>
      <c r="CC13" s="404"/>
      <c r="CD13" s="404"/>
    </row>
    <row r="14" spans="1:82">
      <c r="A14" s="1649"/>
      <c r="B14" s="2517"/>
      <c r="C14" s="2520"/>
      <c r="D14" s="2518"/>
      <c r="E14" s="2518"/>
      <c r="F14" s="1661" t="s">
        <v>128</v>
      </c>
      <c r="G14" s="1597">
        <f>+'PAYMENT RATIO_RAW'!F56*$D$11/1000</f>
        <v>0</v>
      </c>
      <c r="H14" s="1680">
        <f t="shared" si="19"/>
        <v>0</v>
      </c>
      <c r="I14" s="1680">
        <f t="shared" si="2"/>
        <v>0</v>
      </c>
      <c r="J14" s="1661" t="str">
        <f t="shared" si="0"/>
        <v>-</v>
      </c>
      <c r="K14" s="1671">
        <f t="shared" si="3"/>
        <v>0</v>
      </c>
      <c r="L14" s="1671">
        <f t="shared" si="4"/>
        <v>0</v>
      </c>
      <c r="M14" s="1626">
        <v>45900</v>
      </c>
      <c r="N14" s="1585"/>
      <c r="O14" s="1660" t="str">
        <f t="shared" si="1"/>
        <v>-</v>
      </c>
      <c r="P14" s="1654">
        <f>+$I14*'PAYMENT RATIO_RAW'!G$56</f>
        <v>0</v>
      </c>
      <c r="Q14" s="1654"/>
      <c r="R14" s="1654">
        <f t="shared" si="5"/>
        <v>0</v>
      </c>
      <c r="S14" s="1662"/>
      <c r="T14" s="1626"/>
      <c r="U14" s="1585"/>
      <c r="V14" s="1660" t="str">
        <f t="shared" si="6"/>
        <v>-</v>
      </c>
      <c r="W14" s="1654">
        <f>+$I14*'PAYMENT RATIO_RAW'!N$56</f>
        <v>0</v>
      </c>
      <c r="X14" s="1654"/>
      <c r="Y14" s="1654">
        <f t="shared" si="7"/>
        <v>0</v>
      </c>
      <c r="Z14" s="1662"/>
      <c r="AA14" s="1626"/>
      <c r="AB14" s="1585"/>
      <c r="AC14" s="1660" t="str">
        <f t="shared" si="8"/>
        <v>-</v>
      </c>
      <c r="AD14" s="1654">
        <f>+$I14*'PAYMENT RATIO_RAW'!U$56</f>
        <v>0</v>
      </c>
      <c r="AE14" s="1654"/>
      <c r="AF14" s="1654">
        <f t="shared" si="9"/>
        <v>0</v>
      </c>
      <c r="AG14" s="1662"/>
      <c r="AH14" s="1585"/>
      <c r="AI14" s="1585"/>
      <c r="AJ14" s="1660" t="str">
        <f t="shared" si="10"/>
        <v>-</v>
      </c>
      <c r="AK14" s="1654"/>
      <c r="AL14" s="1654"/>
      <c r="AM14" s="1654">
        <f t="shared" si="11"/>
        <v>0</v>
      </c>
      <c r="AN14" s="1662"/>
      <c r="AO14" s="1626"/>
      <c r="AP14" s="1585"/>
      <c r="AQ14" s="1660"/>
      <c r="AR14" s="1654">
        <f>+$I14*'PAYMENT RATIO_RAW'!AI$56</f>
        <v>0</v>
      </c>
      <c r="AS14" s="1654"/>
      <c r="AT14" s="1654">
        <f t="shared" si="12"/>
        <v>0</v>
      </c>
      <c r="AU14" s="1662"/>
      <c r="AV14" s="1626"/>
      <c r="AW14" s="1585"/>
      <c r="AX14" s="1660"/>
      <c r="AY14" s="1654">
        <f>+$I14*'PAYMENT RATIO_RAW'!AP$56</f>
        <v>0</v>
      </c>
      <c r="AZ14" s="1654"/>
      <c r="BA14" s="1654">
        <f t="shared" si="13"/>
        <v>0</v>
      </c>
      <c r="BB14" s="1662"/>
      <c r="BC14" s="1626"/>
      <c r="BD14" s="1585"/>
      <c r="BE14" s="1660" t="str">
        <f t="shared" si="14"/>
        <v>-</v>
      </c>
      <c r="BF14" s="1654">
        <f>+$I14*'PAYMENT RATIO_RAW'!AW$56</f>
        <v>0</v>
      </c>
      <c r="BG14" s="1654"/>
      <c r="BH14" s="1678">
        <f t="shared" si="15"/>
        <v>0</v>
      </c>
      <c r="BI14" s="1662"/>
      <c r="BJ14" s="1626"/>
      <c r="BK14" s="1585"/>
      <c r="BL14" s="1660" t="str">
        <f t="shared" si="16"/>
        <v>-</v>
      </c>
      <c r="BM14" s="1654">
        <f>+$I14*'PAYMENT RATIO_RAW'!BD$56</f>
        <v>0</v>
      </c>
      <c r="BN14" s="1654"/>
      <c r="BO14" s="1654">
        <f t="shared" si="17"/>
        <v>0</v>
      </c>
      <c r="BP14" s="1662"/>
      <c r="BQ14" s="1588"/>
      <c r="BR14" s="1587" t="b">
        <f t="shared" ref="BR14:BR15" si="20">+P14+W14+AD14+AR14+AY14+BF14+BM14=I14</f>
        <v>1</v>
      </c>
      <c r="BS14" s="1587" t="b">
        <f t="shared" si="18"/>
        <v>1</v>
      </c>
      <c r="BT14" s="1587"/>
      <c r="BU14" s="401"/>
      <c r="BV14" s="401"/>
      <c r="BW14" s="401"/>
      <c r="BX14" s="401"/>
      <c r="BY14" s="401"/>
      <c r="BZ14" s="401"/>
      <c r="CA14" s="401"/>
      <c r="CB14" s="401"/>
      <c r="CC14" s="404"/>
      <c r="CD14" s="404"/>
    </row>
    <row r="15" spans="1:82">
      <c r="A15" s="1649"/>
      <c r="B15" s="2517"/>
      <c r="C15" s="2520"/>
      <c r="D15" s="2518"/>
      <c r="E15" s="2518"/>
      <c r="F15" s="1630" t="s">
        <v>129</v>
      </c>
      <c r="G15" s="1680">
        <f>+D11*'PAYMENT RATIO_RAW'!F$57/1000</f>
        <v>46008000</v>
      </c>
      <c r="H15" s="1680">
        <f t="shared" si="19"/>
        <v>4600800</v>
      </c>
      <c r="I15" s="1680">
        <f t="shared" si="2"/>
        <v>50608800</v>
      </c>
      <c r="J15" s="1630">
        <f t="shared" si="0"/>
        <v>0</v>
      </c>
      <c r="K15" s="1681">
        <f t="shared" si="3"/>
        <v>0</v>
      </c>
      <c r="L15" s="1681">
        <f t="shared" si="4"/>
        <v>50608800</v>
      </c>
      <c r="M15" s="1630"/>
      <c r="N15" s="1630"/>
      <c r="O15" s="1682"/>
      <c r="P15" s="1654">
        <f>+$I15*'PAYMENT RATIO_RAW'!G$57</f>
        <v>0</v>
      </c>
      <c r="Q15" s="1683"/>
      <c r="R15" s="1683">
        <f t="shared" si="5"/>
        <v>0</v>
      </c>
      <c r="S15" s="1630"/>
      <c r="T15" s="1629"/>
      <c r="U15" s="1630"/>
      <c r="V15" s="1682"/>
      <c r="W15" s="1654">
        <f>+$I15*'PAYMENT RATIO_RAW'!N$57</f>
        <v>0</v>
      </c>
      <c r="X15" s="1683"/>
      <c r="Y15" s="1683">
        <f t="shared" si="7"/>
        <v>0</v>
      </c>
      <c r="Z15" s="1630"/>
      <c r="AA15" s="1629"/>
      <c r="AB15" s="1630"/>
      <c r="AC15" s="1682"/>
      <c r="AD15" s="1654">
        <f>+$I15*'PAYMENT RATIO_RAW'!U$57</f>
        <v>0</v>
      </c>
      <c r="AE15" s="1683"/>
      <c r="AF15" s="1683">
        <f t="shared" si="9"/>
        <v>0</v>
      </c>
      <c r="AG15" s="1630"/>
      <c r="AH15" s="1629"/>
      <c r="AI15" s="1630"/>
      <c r="AJ15" s="1682"/>
      <c r="AK15" s="1683"/>
      <c r="AL15" s="1683"/>
      <c r="AM15" s="1683"/>
      <c r="AN15" s="1630"/>
      <c r="AO15" s="1629"/>
      <c r="AP15" s="1630"/>
      <c r="AQ15" s="1682"/>
      <c r="AR15" s="1654">
        <f>+$I15*'PAYMENT RATIO_RAW'!AI$57</f>
        <v>0</v>
      </c>
      <c r="AS15" s="1683"/>
      <c r="AT15" s="1683"/>
      <c r="AU15" s="1630"/>
      <c r="AV15" s="1629"/>
      <c r="AW15" s="1630"/>
      <c r="AX15" s="1682"/>
      <c r="AY15" s="1654">
        <f>+$I15*'PAYMENT RATIO_RAW'!AP$57</f>
        <v>0</v>
      </c>
      <c r="AZ15" s="1683"/>
      <c r="BA15" s="1683"/>
      <c r="BB15" s="1630"/>
      <c r="BC15" s="1629"/>
      <c r="BD15" s="1630"/>
      <c r="BE15" s="1682">
        <f t="shared" si="14"/>
        <v>0</v>
      </c>
      <c r="BF15" s="1654">
        <f>+$I15*'PAYMENT RATIO_RAW'!AW$57</f>
        <v>0</v>
      </c>
      <c r="BG15" s="1683"/>
      <c r="BH15" s="1678">
        <f t="shared" si="15"/>
        <v>0</v>
      </c>
      <c r="BI15" s="1630"/>
      <c r="BJ15" s="1626">
        <v>46053</v>
      </c>
      <c r="BK15" s="1630"/>
      <c r="BL15" s="1682">
        <f t="shared" si="16"/>
        <v>1</v>
      </c>
      <c r="BM15" s="1654">
        <f>+$I15*'PAYMENT RATIO_RAW'!BD$57</f>
        <v>50608800</v>
      </c>
      <c r="BN15" s="1683"/>
      <c r="BO15" s="1683">
        <f t="shared" si="17"/>
        <v>50608800</v>
      </c>
      <c r="BP15" s="1630"/>
      <c r="BQ15" s="1589"/>
      <c r="BR15" s="1591" t="b">
        <f t="shared" si="20"/>
        <v>1</v>
      </c>
      <c r="BS15" s="1592" t="b">
        <f t="shared" si="18"/>
        <v>1</v>
      </c>
      <c r="BT15" s="1592"/>
      <c r="BU15" s="401"/>
      <c r="BV15" s="401"/>
      <c r="BW15" s="401"/>
      <c r="BX15" s="401"/>
      <c r="BY15" s="401"/>
      <c r="BZ15" s="401"/>
      <c r="CA15" s="401"/>
      <c r="CB15" s="401"/>
      <c r="CC15" s="404"/>
      <c r="CD15" s="404"/>
    </row>
    <row r="16" spans="1:82">
      <c r="A16" s="1649"/>
      <c r="B16" s="2517"/>
      <c r="C16" s="2520"/>
      <c r="D16" s="2518"/>
      <c r="E16" s="2518"/>
      <c r="F16" s="419" t="s">
        <v>130</v>
      </c>
      <c r="G16" s="1628">
        <f>SUM(G11:G15)</f>
        <v>557208000</v>
      </c>
      <c r="H16" s="1628">
        <f>SUM(H11:H15)</f>
        <v>42088800</v>
      </c>
      <c r="I16" s="1628">
        <f t="shared" ref="I16:L16" si="21">SUM(I11:I15)</f>
        <v>599296800</v>
      </c>
      <c r="J16" s="419">
        <f t="shared" si="0"/>
        <v>0.21503602221803955</v>
      </c>
      <c r="K16" s="1628">
        <f t="shared" si="21"/>
        <v>128870400</v>
      </c>
      <c r="L16" s="1628">
        <f t="shared" si="21"/>
        <v>470426400</v>
      </c>
      <c r="M16" s="419"/>
      <c r="N16" s="419"/>
      <c r="O16" s="1634">
        <f t="shared" ref="O16:O21" si="22">+IFERROR(P16/$I16,"-")</f>
        <v>0.1592266135911288</v>
      </c>
      <c r="P16" s="1628">
        <f t="shared" ref="P16" si="23">SUM(P11:P15)</f>
        <v>95424000</v>
      </c>
      <c r="Q16" s="1628">
        <f t="shared" ref="Q16" si="24">SUM(Q11:Q15)</f>
        <v>101606400</v>
      </c>
      <c r="R16" s="1684">
        <f t="shared" si="5"/>
        <v>-6182400</v>
      </c>
      <c r="S16" s="419"/>
      <c r="T16" s="1631"/>
      <c r="U16" s="419"/>
      <c r="V16" s="1634">
        <f t="shared" si="6"/>
        <v>4.5493318168893945E-2</v>
      </c>
      <c r="W16" s="1628">
        <f t="shared" ref="W16:X16" si="25">SUM(W11:W15)</f>
        <v>27264000</v>
      </c>
      <c r="X16" s="1628">
        <f t="shared" si="25"/>
        <v>27264000</v>
      </c>
      <c r="Y16" s="1684">
        <f t="shared" si="7"/>
        <v>0</v>
      </c>
      <c r="Z16" s="419"/>
      <c r="AA16" s="1631"/>
      <c r="AB16" s="419"/>
      <c r="AC16" s="1634">
        <f t="shared" si="8"/>
        <v>0.34404321865226045</v>
      </c>
      <c r="AD16" s="1628">
        <f t="shared" ref="AD16:AE16" si="26">SUM(AD11:AD15)</f>
        <v>206184000</v>
      </c>
      <c r="AE16" s="1628">
        <f t="shared" si="26"/>
        <v>0</v>
      </c>
      <c r="AF16" s="1684">
        <f t="shared" si="9"/>
        <v>206184000</v>
      </c>
      <c r="AG16" s="419"/>
      <c r="AH16" s="1631"/>
      <c r="AI16" s="419"/>
      <c r="AJ16" s="1634">
        <f t="shared" si="10"/>
        <v>0</v>
      </c>
      <c r="AK16" s="1628">
        <f t="shared" ref="AK16:AL16" si="27">SUM(AK11:AK15)</f>
        <v>0</v>
      </c>
      <c r="AL16" s="1628">
        <f t="shared" si="27"/>
        <v>0</v>
      </c>
      <c r="AM16" s="1684">
        <f t="shared" si="11"/>
        <v>0</v>
      </c>
      <c r="AN16" s="419"/>
      <c r="AO16" s="1631"/>
      <c r="AP16" s="419"/>
      <c r="AQ16" s="1634">
        <f t="shared" ref="AQ16" si="28">+IFERROR(AR16/$I16,"-")</f>
        <v>0</v>
      </c>
      <c r="AR16" s="1628">
        <f t="shared" ref="AR16" si="29">SUM(AR11:AR15)</f>
        <v>0</v>
      </c>
      <c r="AS16" s="1628">
        <f t="shared" ref="AS16" si="30">SUM(AS11:AS15)</f>
        <v>0</v>
      </c>
      <c r="AT16" s="1684">
        <f t="shared" si="12"/>
        <v>0</v>
      </c>
      <c r="AU16" s="419"/>
      <c r="AV16" s="1631"/>
      <c r="AW16" s="419"/>
      <c r="AX16" s="1634">
        <f t="shared" ref="AX16:AX22" si="31">+IFERROR(AY16/$I16,"-")</f>
        <v>0</v>
      </c>
      <c r="AY16" s="1628">
        <f t="shared" ref="AY16" si="32">SUM(AY11:AY15)</f>
        <v>0</v>
      </c>
      <c r="AZ16" s="1628">
        <f t="shared" ref="AZ16" si="33">SUM(AZ11:AZ15)</f>
        <v>0</v>
      </c>
      <c r="BA16" s="1684">
        <f t="shared" si="13"/>
        <v>0</v>
      </c>
      <c r="BB16" s="419"/>
      <c r="BC16" s="1631"/>
      <c r="BD16" s="419"/>
      <c r="BE16" s="1634">
        <f t="shared" si="14"/>
        <v>0</v>
      </c>
      <c r="BF16" s="1628">
        <f t="shared" ref="BF16:BG16" si="34">SUM(BF11:BF15)</f>
        <v>0</v>
      </c>
      <c r="BG16" s="1628">
        <f t="shared" si="34"/>
        <v>0</v>
      </c>
      <c r="BH16" s="1684">
        <f t="shared" si="15"/>
        <v>0</v>
      </c>
      <c r="BI16" s="419"/>
      <c r="BJ16" s="1631"/>
      <c r="BK16" s="419"/>
      <c r="BL16" s="1634">
        <f t="shared" si="16"/>
        <v>0.45123684958771682</v>
      </c>
      <c r="BM16" s="1628">
        <f t="shared" ref="BM16:BN16" si="35">SUM(BM11:BM15)</f>
        <v>270424800</v>
      </c>
      <c r="BN16" s="1628">
        <f t="shared" si="35"/>
        <v>0</v>
      </c>
      <c r="BO16" s="1684">
        <f t="shared" si="17"/>
        <v>270424800</v>
      </c>
      <c r="BP16" s="419"/>
      <c r="BQ16" s="1589"/>
      <c r="BR16" s="1632"/>
      <c r="BS16" s="1633"/>
      <c r="BT16" s="1633"/>
      <c r="BU16" s="401"/>
      <c r="BV16" s="401"/>
      <c r="BW16" s="401"/>
      <c r="BX16" s="401"/>
      <c r="BY16" s="401"/>
      <c r="BZ16" s="401"/>
      <c r="CA16" s="401"/>
      <c r="CB16" s="401"/>
      <c r="CC16" s="404"/>
      <c r="CD16" s="404"/>
    </row>
    <row r="17" spans="1:82">
      <c r="A17" s="1649"/>
      <c r="B17" s="2517">
        <v>2</v>
      </c>
      <c r="C17" s="2520" t="s">
        <v>170</v>
      </c>
      <c r="D17" s="2518">
        <v>144.84</v>
      </c>
      <c r="E17" s="2518" t="s">
        <v>124</v>
      </c>
      <c r="F17" s="1676" t="s">
        <v>125</v>
      </c>
      <c r="G17" s="1596">
        <f>+'PAYMENT RATIO_RAW'!$F$53*D17/1000</f>
        <v>159324000</v>
      </c>
      <c r="H17" s="1596">
        <f>+G17*10%</f>
        <v>15932400</v>
      </c>
      <c r="I17" s="1596">
        <f>SUM(G17:H17)</f>
        <v>175256400</v>
      </c>
      <c r="J17" s="1630">
        <f t="shared" si="0"/>
        <v>0</v>
      </c>
      <c r="K17" s="1681">
        <f t="shared" ref="K17" si="36">+IFERROR(Q17+X17+AE17+AS17+AZ17+BG17+BN17,"-")</f>
        <v>0</v>
      </c>
      <c r="L17" s="1672">
        <f>+I17-K17</f>
        <v>175256400</v>
      </c>
      <c r="M17" s="1586"/>
      <c r="N17" s="1586"/>
      <c r="O17" s="1660">
        <f t="shared" si="22"/>
        <v>0</v>
      </c>
      <c r="P17" s="1654">
        <f>+$I17*'PAYMENT RATIO_RAW'!G$53</f>
        <v>0</v>
      </c>
      <c r="Q17" s="1678"/>
      <c r="R17" s="1678">
        <f>+P17-Q17</f>
        <v>0</v>
      </c>
      <c r="S17" s="1679"/>
      <c r="T17" s="1625"/>
      <c r="U17" s="1586"/>
      <c r="V17" s="1677"/>
      <c r="W17" s="1654">
        <f>+$I17*'PAYMENT RATIO_RAW'!N$53</f>
        <v>0</v>
      </c>
      <c r="X17" s="1678"/>
      <c r="Y17" s="1678">
        <f>+W17-X17</f>
        <v>0</v>
      </c>
      <c r="Z17" s="1679"/>
      <c r="AA17" s="1625">
        <f>+EDATE(AH17,1)</f>
        <v>45960</v>
      </c>
      <c r="AB17" s="1586"/>
      <c r="AC17" s="1677">
        <f>+IFERROR(AD17/$I17,"-")</f>
        <v>0.5</v>
      </c>
      <c r="AD17" s="1654">
        <f>+$I17*'PAYMENT RATIO_RAW'!U$53</f>
        <v>87628200</v>
      </c>
      <c r="AE17" s="1678"/>
      <c r="AF17" s="1678">
        <f>+AD17-AE17</f>
        <v>87628200</v>
      </c>
      <c r="AG17" s="1679"/>
      <c r="AH17" s="1625">
        <f>+EDATE(AO17,-1)</f>
        <v>45930</v>
      </c>
      <c r="AI17" s="1585"/>
      <c r="AJ17" s="1677">
        <f>+IFERROR(AK17/$I17,"-")</f>
        <v>0</v>
      </c>
      <c r="AK17" s="1678">
        <f>+$I17*'PAYMENT RATIO_RAW'!AB39</f>
        <v>0</v>
      </c>
      <c r="AL17" s="1678"/>
      <c r="AM17" s="1678">
        <f>+AK17-AL17</f>
        <v>0</v>
      </c>
      <c r="AN17" s="1679"/>
      <c r="AO17" s="1625">
        <f>+EDATE(AV17,-1)</f>
        <v>45960</v>
      </c>
      <c r="AP17" s="1586"/>
      <c r="AQ17" s="1677">
        <f>+IFERROR(AR17/$I17,"-")</f>
        <v>0</v>
      </c>
      <c r="AR17" s="1654">
        <f>+$I17*'PAYMENT RATIO_RAW'!AI$53</f>
        <v>0</v>
      </c>
      <c r="AS17" s="1678"/>
      <c r="AT17" s="1678">
        <f>+AR17-AS17</f>
        <v>0</v>
      </c>
      <c r="AU17" s="1679"/>
      <c r="AV17" s="1625">
        <f>+EDATE(BC17,-1)</f>
        <v>45991</v>
      </c>
      <c r="AW17" s="1586"/>
      <c r="AX17" s="1677">
        <f>+IFERROR(AY17/$I17,"-")</f>
        <v>0</v>
      </c>
      <c r="AY17" s="1654">
        <f>+$I17*'PAYMENT RATIO_RAW'!AP$53</f>
        <v>0</v>
      </c>
      <c r="AZ17" s="1678"/>
      <c r="BA17" s="1678">
        <f>+AY17-AZ17</f>
        <v>0</v>
      </c>
      <c r="BB17" s="1679"/>
      <c r="BC17" s="1625">
        <f>+EDATE(BJ17,-1)</f>
        <v>46022</v>
      </c>
      <c r="BD17" s="1586"/>
      <c r="BE17" s="1677">
        <f>+IFERROR(BF17/$I17,"-")</f>
        <v>0</v>
      </c>
      <c r="BF17" s="1654">
        <f>+$I17*'PAYMENT RATIO_RAW'!AW$53</f>
        <v>0</v>
      </c>
      <c r="BG17" s="1678"/>
      <c r="BH17" s="1678">
        <f>+BF17-BG17</f>
        <v>0</v>
      </c>
      <c r="BI17" s="1679"/>
      <c r="BJ17" s="1625">
        <v>46053</v>
      </c>
      <c r="BK17" s="1586"/>
      <c r="BL17" s="1677">
        <f>+IFERROR(BM17/$I17,"-")</f>
        <v>0.5</v>
      </c>
      <c r="BM17" s="1654">
        <f>+$I17*'PAYMENT RATIO_RAW'!BD$53</f>
        <v>87628200</v>
      </c>
      <c r="BN17" s="1678"/>
      <c r="BO17" s="1678">
        <f>+BM17-BN17</f>
        <v>87628200</v>
      </c>
      <c r="BP17" s="1679"/>
      <c r="BQ17" s="1588"/>
      <c r="BR17" s="1587" t="b">
        <f>+P17+W17+AD17+AR17+AY17+BF17+BM17=I17</f>
        <v>1</v>
      </c>
      <c r="BS17" s="1587" t="b">
        <f>+Q17+X17+AE17+AS17+AZ17+BG17+BN17=K17</f>
        <v>1</v>
      </c>
      <c r="BT17" s="1587"/>
      <c r="BU17" s="401"/>
      <c r="BV17" s="401"/>
      <c r="BW17" s="401"/>
      <c r="BX17" s="401"/>
      <c r="BY17" s="401"/>
      <c r="BZ17" s="401"/>
      <c r="CA17" s="401"/>
      <c r="CB17" s="401"/>
      <c r="CC17" s="404"/>
      <c r="CD17" s="404"/>
    </row>
    <row r="18" spans="1:82" ht="13.5">
      <c r="A18" s="1649"/>
      <c r="B18" s="2517"/>
      <c r="C18" s="2520"/>
      <c r="D18" s="2518"/>
      <c r="E18" s="2518"/>
      <c r="F18" s="1661" t="s">
        <v>126</v>
      </c>
      <c r="G18" s="1597">
        <f>+'PAYMENT RATIO_RAW'!F54*'DG M&amp;A-SPA_POSN'!D17/1000</f>
        <v>57936000</v>
      </c>
      <c r="H18" s="1597"/>
      <c r="I18" s="1597">
        <f t="shared" ref="I18:I21" si="37">SUM(G18:H18)</f>
        <v>57936000</v>
      </c>
      <c r="J18" s="1661">
        <f t="shared" si="0"/>
        <v>0.88202154101077046</v>
      </c>
      <c r="K18" s="1671">
        <f t="shared" si="3"/>
        <v>51100800</v>
      </c>
      <c r="L18" s="1671">
        <f t="shared" ref="L18:L21" si="38">+I18-K18</f>
        <v>6835200</v>
      </c>
      <c r="M18" s="1626">
        <v>45900</v>
      </c>
      <c r="N18" s="1626">
        <v>45845</v>
      </c>
      <c r="O18" s="1660">
        <f t="shared" si="22"/>
        <v>0.7</v>
      </c>
      <c r="P18" s="1654">
        <f>+$I18*'PAYMENT RATIO_RAW'!G$54</f>
        <v>40555200</v>
      </c>
      <c r="Q18" s="1654">
        <v>39513600</v>
      </c>
      <c r="R18" s="1654">
        <f t="shared" ref="R18:R22" si="39">+P18-Q18</f>
        <v>1041600</v>
      </c>
      <c r="S18" s="1662"/>
      <c r="T18" s="1626">
        <v>45943</v>
      </c>
      <c r="U18" s="1626"/>
      <c r="V18" s="1660">
        <f t="shared" ref="V18:V20" si="40">+IFERROR(W18/$I18,"-")</f>
        <v>0.2</v>
      </c>
      <c r="W18" s="1654">
        <f>+$I18*'PAYMENT RATIO_RAW'!N$54</f>
        <v>11587200</v>
      </c>
      <c r="X18" s="1654">
        <f>+W18</f>
        <v>11587200</v>
      </c>
      <c r="Y18" s="1654">
        <f t="shared" ref="Y18:Y22" si="41">+W18-X18</f>
        <v>0</v>
      </c>
      <c r="Z18" s="1686"/>
      <c r="AA18" s="1626"/>
      <c r="AB18" s="1626"/>
      <c r="AC18" s="1660">
        <f t="shared" ref="AC18:AC20" si="42">+IFERROR(AD18/$I18,"-")</f>
        <v>0</v>
      </c>
      <c r="AD18" s="1654">
        <f>+$I18*'PAYMENT RATIO_RAW'!U$54</f>
        <v>0</v>
      </c>
      <c r="AE18" s="1654"/>
      <c r="AF18" s="1654">
        <f t="shared" ref="AF18:AF22" si="43">+AD18-AE18</f>
        <v>0</v>
      </c>
      <c r="AG18" s="1662"/>
      <c r="AH18" s="1626"/>
      <c r="AI18" s="1626"/>
      <c r="AJ18" s="1660">
        <f t="shared" ref="AJ18:AJ20" si="44">+IFERROR(AK18/$I18,"-")</f>
        <v>0</v>
      </c>
      <c r="AK18" s="1654"/>
      <c r="AL18" s="1654"/>
      <c r="AM18" s="1654">
        <f t="shared" ref="AM18:AM20" si="45">+AK18-AL18</f>
        <v>0</v>
      </c>
      <c r="AN18" s="1662"/>
      <c r="AO18" s="1626"/>
      <c r="AP18" s="1626"/>
      <c r="AQ18" s="1660"/>
      <c r="AR18" s="1654">
        <f>+$I18*'PAYMENT RATIO_RAW'!AI$54</f>
        <v>0</v>
      </c>
      <c r="AS18" s="1654"/>
      <c r="AT18" s="1654">
        <f t="shared" ref="AT18:AT20" si="46">+AR18-AS18</f>
        <v>0</v>
      </c>
      <c r="AU18" s="1662"/>
      <c r="AV18" s="1626"/>
      <c r="AW18" s="1626"/>
      <c r="AX18" s="1660"/>
      <c r="AY18" s="1654">
        <f>+$I18*'PAYMENT RATIO_RAW'!AP$54</f>
        <v>0</v>
      </c>
      <c r="AZ18" s="1654"/>
      <c r="BA18" s="1654">
        <f t="shared" ref="BA18:BA20" si="47">+AY18-AZ18</f>
        <v>0</v>
      </c>
      <c r="BB18" s="1662"/>
      <c r="BC18" s="1626"/>
      <c r="BD18" s="1626"/>
      <c r="BE18" s="1660">
        <f t="shared" si="14"/>
        <v>0</v>
      </c>
      <c r="BF18" s="1654">
        <f>+$I18*'PAYMENT RATIO_RAW'!AW$54</f>
        <v>0</v>
      </c>
      <c r="BG18" s="1654"/>
      <c r="BH18" s="1678">
        <f t="shared" ref="BH18:BH22" si="48">+BF18-BG18</f>
        <v>0</v>
      </c>
      <c r="BI18" s="1662"/>
      <c r="BJ18" s="1626">
        <v>46053</v>
      </c>
      <c r="BK18" s="1626"/>
      <c r="BL18" s="1660">
        <f t="shared" ref="BL18:BL21" si="49">+IFERROR(BM18/$I18,"-")</f>
        <v>0.1</v>
      </c>
      <c r="BM18" s="1654">
        <f>+$I18*'PAYMENT RATIO_RAW'!BD$54</f>
        <v>5793600</v>
      </c>
      <c r="BN18" s="1654"/>
      <c r="BO18" s="1654">
        <f t="shared" ref="BO18:BO22" si="50">+BM18-BN18</f>
        <v>5793600</v>
      </c>
      <c r="BP18" s="1662"/>
      <c r="BQ18" s="1588"/>
      <c r="BR18" s="1587" t="b">
        <f>+BM18+BF18+AY18+AR18+AD18+W18+P18=I18</f>
        <v>1</v>
      </c>
      <c r="BS18" s="1587" t="b">
        <f t="shared" ref="BS18" si="51">+Q18+X18+AE18+AS18+AZ18+BG18+BN18=K18</f>
        <v>1</v>
      </c>
      <c r="BT18" s="1587" t="b">
        <f>+BF18+BF20+AY18+AY20+AR18+AR20+AD18+AD20+W18+W20+P18+P20+BM18+BM20=('PAYMENT RATIO_RAW'!$F$54+'PAYMENT RATIO_RAW'!$F$56)*D17*1.1/1000</f>
        <v>0</v>
      </c>
      <c r="BU18" s="401"/>
      <c r="BV18" s="401"/>
      <c r="BW18" s="401"/>
      <c r="BX18" s="401"/>
      <c r="BY18" s="401"/>
      <c r="BZ18" s="401"/>
      <c r="CA18" s="401"/>
      <c r="CB18" s="401"/>
      <c r="CC18" s="404"/>
      <c r="CD18" s="404"/>
    </row>
    <row r="19" spans="1:82">
      <c r="A19" s="1649"/>
      <c r="B19" s="2517"/>
      <c r="C19" s="2520"/>
      <c r="D19" s="2518"/>
      <c r="E19" s="2518"/>
      <c r="F19" s="1661" t="s">
        <v>127</v>
      </c>
      <c r="G19" s="1597">
        <f>+$D$17*'PAYMENT RATIO_RAW'!F$55/1000</f>
        <v>0</v>
      </c>
      <c r="H19" s="1597">
        <f t="shared" ref="H19:H21" si="52">+G19*10%</f>
        <v>0</v>
      </c>
      <c r="I19" s="1597">
        <f t="shared" si="37"/>
        <v>0</v>
      </c>
      <c r="J19" s="1661" t="str">
        <f t="shared" si="0"/>
        <v>-</v>
      </c>
      <c r="K19" s="1671">
        <f t="shared" si="3"/>
        <v>0</v>
      </c>
      <c r="L19" s="1671">
        <f t="shared" si="38"/>
        <v>0</v>
      </c>
      <c r="M19" s="1626">
        <v>45900</v>
      </c>
      <c r="N19" s="1626"/>
      <c r="O19" s="1660" t="str">
        <f t="shared" si="22"/>
        <v>-</v>
      </c>
      <c r="P19" s="1654">
        <f>+$I19*'PAYMENT RATIO_RAW'!G$55</f>
        <v>0</v>
      </c>
      <c r="Q19" s="1654"/>
      <c r="R19" s="1654">
        <f t="shared" si="39"/>
        <v>0</v>
      </c>
      <c r="S19" s="1662"/>
      <c r="T19" s="1626"/>
      <c r="U19" s="1626"/>
      <c r="V19" s="1660" t="str">
        <f t="shared" si="40"/>
        <v>-</v>
      </c>
      <c r="W19" s="1654">
        <f>+$I19*'PAYMENT RATIO_RAW'!N$55</f>
        <v>0</v>
      </c>
      <c r="X19" s="1654"/>
      <c r="Y19" s="1654">
        <f t="shared" si="41"/>
        <v>0</v>
      </c>
      <c r="Z19" s="1662"/>
      <c r="AA19" s="1626"/>
      <c r="AB19" s="1626"/>
      <c r="AC19" s="1660" t="str">
        <f t="shared" si="42"/>
        <v>-</v>
      </c>
      <c r="AD19" s="1654">
        <f>+$I19*'PAYMENT RATIO_RAW'!U$55</f>
        <v>0</v>
      </c>
      <c r="AE19" s="1654"/>
      <c r="AF19" s="1654">
        <f t="shared" si="43"/>
        <v>0</v>
      </c>
      <c r="AG19" s="1662"/>
      <c r="AH19" s="1626"/>
      <c r="AI19" s="1626"/>
      <c r="AJ19" s="1660" t="str">
        <f t="shared" si="44"/>
        <v>-</v>
      </c>
      <c r="AK19" s="1654"/>
      <c r="AL19" s="1654"/>
      <c r="AM19" s="1654">
        <f t="shared" si="45"/>
        <v>0</v>
      </c>
      <c r="AN19" s="1662"/>
      <c r="AO19" s="1626"/>
      <c r="AP19" s="1626"/>
      <c r="AQ19" s="1660"/>
      <c r="AR19" s="1654">
        <f>+$I19*'PAYMENT RATIO_RAW'!AI$55</f>
        <v>0</v>
      </c>
      <c r="AS19" s="1654"/>
      <c r="AT19" s="1654">
        <f t="shared" si="46"/>
        <v>0</v>
      </c>
      <c r="AU19" s="1662"/>
      <c r="AV19" s="1626"/>
      <c r="AW19" s="1626"/>
      <c r="AX19" s="1660"/>
      <c r="AY19" s="1654">
        <f>+$I19*'PAYMENT RATIO_RAW'!AP$55</f>
        <v>0</v>
      </c>
      <c r="AZ19" s="1654"/>
      <c r="BA19" s="1654">
        <f t="shared" si="47"/>
        <v>0</v>
      </c>
      <c r="BB19" s="1662"/>
      <c r="BC19" s="1626"/>
      <c r="BD19" s="1626"/>
      <c r="BE19" s="1660" t="str">
        <f t="shared" si="14"/>
        <v>-</v>
      </c>
      <c r="BF19" s="1654">
        <f>+$I19*'PAYMENT RATIO_RAW'!AW$55</f>
        <v>0</v>
      </c>
      <c r="BG19" s="1654"/>
      <c r="BH19" s="1678">
        <f t="shared" si="48"/>
        <v>0</v>
      </c>
      <c r="BI19" s="1662"/>
      <c r="BJ19" s="1626"/>
      <c r="BK19" s="1626"/>
      <c r="BL19" s="1660" t="str">
        <f t="shared" si="49"/>
        <v>-</v>
      </c>
      <c r="BM19" s="1654">
        <f>+$I19*'PAYMENT RATIO_RAW'!BD$55</f>
        <v>0</v>
      </c>
      <c r="BN19" s="1654"/>
      <c r="BO19" s="1654">
        <f t="shared" si="50"/>
        <v>0</v>
      </c>
      <c r="BP19" s="1662"/>
      <c r="BQ19" s="1588"/>
      <c r="BR19" s="1587" t="b">
        <f>+P19+W19+AD19+AR19+AY19+BF19+BM19=I19</f>
        <v>1</v>
      </c>
      <c r="BS19" s="1587" t="b">
        <f>+Q19+X19+AE19+AS19+AZ19+BG19+BN19=K19</f>
        <v>1</v>
      </c>
      <c r="BT19" s="1587"/>
      <c r="BU19" s="401"/>
      <c r="BV19" s="401"/>
      <c r="BW19" s="401"/>
      <c r="BX19" s="401"/>
      <c r="BY19" s="401"/>
      <c r="BZ19" s="401"/>
      <c r="CA19" s="401"/>
      <c r="CB19" s="401"/>
      <c r="CC19" s="404"/>
      <c r="CD19" s="404"/>
    </row>
    <row r="20" spans="1:82">
      <c r="A20" s="1649"/>
      <c r="B20" s="2517"/>
      <c r="C20" s="2520"/>
      <c r="D20" s="2518"/>
      <c r="E20" s="2518"/>
      <c r="F20" s="1661" t="s">
        <v>128</v>
      </c>
      <c r="G20" s="1597">
        <f>+$D$17*'PAYMENT RATIO_RAW'!F$56/1000</f>
        <v>0</v>
      </c>
      <c r="H20" s="1680">
        <f t="shared" si="52"/>
        <v>0</v>
      </c>
      <c r="I20" s="1680">
        <f t="shared" si="37"/>
        <v>0</v>
      </c>
      <c r="J20" s="1661" t="str">
        <f t="shared" si="0"/>
        <v>-</v>
      </c>
      <c r="K20" s="1671">
        <f t="shared" si="3"/>
        <v>0</v>
      </c>
      <c r="L20" s="1671">
        <f t="shared" si="38"/>
        <v>0</v>
      </c>
      <c r="M20" s="1626">
        <v>45900</v>
      </c>
      <c r="N20" s="1585"/>
      <c r="O20" s="1660" t="str">
        <f t="shared" si="22"/>
        <v>-</v>
      </c>
      <c r="P20" s="1654">
        <f>+$I20*'PAYMENT RATIO_RAW'!G$56</f>
        <v>0</v>
      </c>
      <c r="Q20" s="1654"/>
      <c r="R20" s="1654">
        <f t="shared" si="39"/>
        <v>0</v>
      </c>
      <c r="S20" s="1662"/>
      <c r="T20" s="1626"/>
      <c r="U20" s="1585"/>
      <c r="V20" s="1660" t="str">
        <f t="shared" si="40"/>
        <v>-</v>
      </c>
      <c r="W20" s="1654">
        <f>+$I20*'PAYMENT RATIO_RAW'!N$56</f>
        <v>0</v>
      </c>
      <c r="X20" s="1654"/>
      <c r="Y20" s="1654">
        <f t="shared" si="41"/>
        <v>0</v>
      </c>
      <c r="Z20" s="1662"/>
      <c r="AA20" s="1626"/>
      <c r="AB20" s="1585"/>
      <c r="AC20" s="1660" t="str">
        <f t="shared" si="42"/>
        <v>-</v>
      </c>
      <c r="AD20" s="1654">
        <f>+$I20*'PAYMENT RATIO_RAW'!U$56</f>
        <v>0</v>
      </c>
      <c r="AE20" s="1654"/>
      <c r="AF20" s="1654">
        <f t="shared" si="43"/>
        <v>0</v>
      </c>
      <c r="AG20" s="1662"/>
      <c r="AH20" s="1585"/>
      <c r="AI20" s="1585"/>
      <c r="AJ20" s="1660" t="str">
        <f t="shared" si="44"/>
        <v>-</v>
      </c>
      <c r="AK20" s="1654"/>
      <c r="AL20" s="1654"/>
      <c r="AM20" s="1654">
        <f t="shared" si="45"/>
        <v>0</v>
      </c>
      <c r="AN20" s="1662"/>
      <c r="AO20" s="1626"/>
      <c r="AP20" s="1585"/>
      <c r="AQ20" s="1660"/>
      <c r="AR20" s="1654">
        <f>+$I20*'PAYMENT RATIO_RAW'!AI$56</f>
        <v>0</v>
      </c>
      <c r="AS20" s="1654"/>
      <c r="AT20" s="1654">
        <f t="shared" si="46"/>
        <v>0</v>
      </c>
      <c r="AU20" s="1662"/>
      <c r="AV20" s="1626"/>
      <c r="AW20" s="1585"/>
      <c r="AX20" s="1660"/>
      <c r="AY20" s="1654">
        <f>+$I20*'PAYMENT RATIO_RAW'!AP$56</f>
        <v>0</v>
      </c>
      <c r="AZ20" s="1654"/>
      <c r="BA20" s="1654">
        <f t="shared" si="47"/>
        <v>0</v>
      </c>
      <c r="BB20" s="1662"/>
      <c r="BC20" s="1626"/>
      <c r="BD20" s="1585"/>
      <c r="BE20" s="1660" t="str">
        <f t="shared" si="14"/>
        <v>-</v>
      </c>
      <c r="BF20" s="1654">
        <f>+$I20*'PAYMENT RATIO_RAW'!AW$56</f>
        <v>0</v>
      </c>
      <c r="BG20" s="1654"/>
      <c r="BH20" s="1678">
        <f t="shared" si="48"/>
        <v>0</v>
      </c>
      <c r="BI20" s="1662"/>
      <c r="BJ20" s="1626"/>
      <c r="BK20" s="1585"/>
      <c r="BL20" s="1660" t="str">
        <f t="shared" si="49"/>
        <v>-</v>
      </c>
      <c r="BM20" s="1654">
        <f>+$I20*'PAYMENT RATIO_RAW'!BD$56</f>
        <v>0</v>
      </c>
      <c r="BN20" s="1654"/>
      <c r="BO20" s="1654">
        <f t="shared" si="50"/>
        <v>0</v>
      </c>
      <c r="BP20" s="1662"/>
      <c r="BQ20" s="1588"/>
      <c r="BR20" s="1587" t="b">
        <f t="shared" ref="BR20:BR21" si="53">+P20+W20+AD20+AR20+AY20+BF20+BM20=I20</f>
        <v>1</v>
      </c>
      <c r="BS20" s="1587" t="b">
        <f t="shared" ref="BS20:BS21" si="54">+Q20+X20+AE20+AS20+AZ20+BG20+BN20=K20</f>
        <v>1</v>
      </c>
      <c r="BT20" s="1587"/>
      <c r="BU20" s="401"/>
      <c r="BV20" s="401"/>
      <c r="BW20" s="401"/>
      <c r="BX20" s="401"/>
      <c r="BY20" s="401"/>
      <c r="BZ20" s="401"/>
      <c r="CA20" s="401"/>
      <c r="CB20" s="401"/>
      <c r="CC20" s="404"/>
      <c r="CD20" s="404"/>
    </row>
    <row r="21" spans="1:82">
      <c r="A21" s="1649"/>
      <c r="B21" s="2517"/>
      <c r="C21" s="2520"/>
      <c r="D21" s="2518"/>
      <c r="E21" s="2518"/>
      <c r="F21" s="1627" t="s">
        <v>129</v>
      </c>
      <c r="G21" s="1680">
        <f>+D17*'PAYMENT RATIO_RAW'!F$57/1000</f>
        <v>19553400</v>
      </c>
      <c r="H21" s="1680">
        <f t="shared" si="52"/>
        <v>1955340</v>
      </c>
      <c r="I21" s="1680">
        <f t="shared" si="37"/>
        <v>21508740</v>
      </c>
      <c r="J21" s="1627">
        <f t="shared" si="0"/>
        <v>0.38972659486329742</v>
      </c>
      <c r="K21" s="1663">
        <f t="shared" si="3"/>
        <v>8382528</v>
      </c>
      <c r="L21" s="1663">
        <f t="shared" si="38"/>
        <v>13126212</v>
      </c>
      <c r="M21" s="1630"/>
      <c r="N21" s="1913">
        <v>45908</v>
      </c>
      <c r="O21" s="1682">
        <f t="shared" si="22"/>
        <v>0</v>
      </c>
      <c r="P21" s="1654">
        <f>+$I21*'PAYMENT RATIO_RAW'!G$57</f>
        <v>0</v>
      </c>
      <c r="Q21" s="1683">
        <v>8382528</v>
      </c>
      <c r="R21" s="1683">
        <f t="shared" si="39"/>
        <v>-8382528</v>
      </c>
      <c r="S21" s="1630"/>
      <c r="T21" s="1629"/>
      <c r="U21" s="1630"/>
      <c r="V21" s="1682"/>
      <c r="W21" s="1654">
        <f>+$I21*'PAYMENT RATIO_RAW'!N$57</f>
        <v>0</v>
      </c>
      <c r="X21" s="1683"/>
      <c r="Y21" s="1683">
        <f t="shared" si="41"/>
        <v>0</v>
      </c>
      <c r="Z21" s="1630"/>
      <c r="AA21" s="1629"/>
      <c r="AB21" s="1630"/>
      <c r="AC21" s="1682"/>
      <c r="AD21" s="1654">
        <f>+$I21*'PAYMENT RATIO_RAW'!U$57</f>
        <v>0</v>
      </c>
      <c r="AE21" s="1683"/>
      <c r="AF21" s="1683">
        <f t="shared" si="43"/>
        <v>0</v>
      </c>
      <c r="AG21" s="1630"/>
      <c r="AH21" s="1629"/>
      <c r="AI21" s="1630"/>
      <c r="AJ21" s="1682"/>
      <c r="AK21" s="1683"/>
      <c r="AL21" s="1683"/>
      <c r="AM21" s="1683"/>
      <c r="AN21" s="1630"/>
      <c r="AO21" s="1629"/>
      <c r="AP21" s="1630"/>
      <c r="AQ21" s="1682"/>
      <c r="AR21" s="1654">
        <f>+$I21*'PAYMENT RATIO_RAW'!AI$57</f>
        <v>0</v>
      </c>
      <c r="AS21" s="1683"/>
      <c r="AT21" s="1683"/>
      <c r="AU21" s="1630"/>
      <c r="AV21" s="1629"/>
      <c r="AW21" s="1630"/>
      <c r="AX21" s="1682"/>
      <c r="AY21" s="1654">
        <f>+$I21*'PAYMENT RATIO_RAW'!AP$57</f>
        <v>0</v>
      </c>
      <c r="AZ21" s="1683"/>
      <c r="BA21" s="1683"/>
      <c r="BB21" s="1630"/>
      <c r="BC21" s="1629"/>
      <c r="BD21" s="1630"/>
      <c r="BE21" s="1682">
        <f t="shared" si="14"/>
        <v>0</v>
      </c>
      <c r="BF21" s="1654">
        <f>+$I21*'PAYMENT RATIO_RAW'!AW$57</f>
        <v>0</v>
      </c>
      <c r="BG21" s="1683"/>
      <c r="BH21" s="1678">
        <f t="shared" si="48"/>
        <v>0</v>
      </c>
      <c r="BI21" s="1630"/>
      <c r="BJ21" s="1626">
        <v>46053</v>
      </c>
      <c r="BK21" s="1630"/>
      <c r="BL21" s="1682">
        <f t="shared" si="49"/>
        <v>1</v>
      </c>
      <c r="BM21" s="1654">
        <f>+$I21*'PAYMENT RATIO_RAW'!BD$57</f>
        <v>21508740</v>
      </c>
      <c r="BN21" s="1683"/>
      <c r="BO21" s="1683">
        <f t="shared" si="50"/>
        <v>21508740</v>
      </c>
      <c r="BP21" s="1630"/>
      <c r="BQ21" s="1589"/>
      <c r="BR21" s="1591" t="b">
        <f t="shared" si="53"/>
        <v>1</v>
      </c>
      <c r="BS21" s="1592" t="b">
        <f t="shared" si="54"/>
        <v>1</v>
      </c>
      <c r="BT21" s="1592"/>
      <c r="BU21" s="401"/>
      <c r="BV21" s="401"/>
      <c r="BW21" s="401"/>
      <c r="BX21" s="401"/>
      <c r="BY21" s="401"/>
      <c r="BZ21" s="401"/>
      <c r="CA21" s="401"/>
      <c r="CB21" s="401"/>
      <c r="CC21" s="404"/>
      <c r="CD21" s="404"/>
    </row>
    <row r="22" spans="1:82">
      <c r="A22" s="1649"/>
      <c r="B22" s="2517"/>
      <c r="C22" s="2520"/>
      <c r="D22" s="2518"/>
      <c r="E22" s="2518"/>
      <c r="F22" s="419" t="s">
        <v>130</v>
      </c>
      <c r="G22" s="1628">
        <f>SUM(G17:G21)</f>
        <v>236813400</v>
      </c>
      <c r="H22" s="1628">
        <f>SUM(H17:H21)</f>
        <v>17887740</v>
      </c>
      <c r="I22" s="1628">
        <f t="shared" ref="I22" si="55">SUM(I17:I21)</f>
        <v>254701140</v>
      </c>
      <c r="J22" s="419">
        <f t="shared" si="0"/>
        <v>0.23354166377111621</v>
      </c>
      <c r="K22" s="1628">
        <f t="shared" ref="K22:L22" si="56">SUM(K17:K21)</f>
        <v>59483328</v>
      </c>
      <c r="L22" s="1628">
        <f t="shared" si="56"/>
        <v>195217812</v>
      </c>
      <c r="M22" s="419"/>
      <c r="N22" s="419"/>
      <c r="O22" s="1634">
        <f t="shared" ref="O22:O26" si="57">+IFERROR(P22/$I22,"-")</f>
        <v>0.1592266135911288</v>
      </c>
      <c r="P22" s="1628">
        <f t="shared" ref="P22:Q22" si="58">SUM(P17:P21)</f>
        <v>40555200</v>
      </c>
      <c r="Q22" s="1628">
        <f t="shared" si="58"/>
        <v>47896128</v>
      </c>
      <c r="R22" s="1684">
        <f t="shared" si="39"/>
        <v>-7340928</v>
      </c>
      <c r="S22" s="419"/>
      <c r="T22" s="1631"/>
      <c r="U22" s="419"/>
      <c r="V22" s="1634">
        <f t="shared" ref="V22" si="59">+IFERROR(W22/$I22,"-")</f>
        <v>4.5493318168893945E-2</v>
      </c>
      <c r="W22" s="1628">
        <f t="shared" ref="W22:X22" si="60">SUM(W17:W21)</f>
        <v>11587200</v>
      </c>
      <c r="X22" s="1628">
        <f t="shared" si="60"/>
        <v>11587200</v>
      </c>
      <c r="Y22" s="1684">
        <f t="shared" si="41"/>
        <v>0</v>
      </c>
      <c r="Z22" s="419"/>
      <c r="AA22" s="1631"/>
      <c r="AB22" s="419"/>
      <c r="AC22" s="1634">
        <f t="shared" ref="AC22" si="61">+IFERROR(AD22/$I22,"-")</f>
        <v>0.34404321865226045</v>
      </c>
      <c r="AD22" s="1628">
        <f t="shared" ref="AD22:AE22" si="62">SUM(AD17:AD21)</f>
        <v>87628200</v>
      </c>
      <c r="AE22" s="1628">
        <f t="shared" si="62"/>
        <v>0</v>
      </c>
      <c r="AF22" s="1684">
        <f t="shared" si="43"/>
        <v>87628200</v>
      </c>
      <c r="AG22" s="419"/>
      <c r="AH22" s="1631"/>
      <c r="AI22" s="419"/>
      <c r="AJ22" s="1634">
        <f t="shared" ref="AJ22" si="63">+IFERROR(AK22/$I22,"-")</f>
        <v>0</v>
      </c>
      <c r="AK22" s="1628">
        <f t="shared" ref="AK22:AL22" si="64">SUM(AK17:AK21)</f>
        <v>0</v>
      </c>
      <c r="AL22" s="1628">
        <f t="shared" si="64"/>
        <v>0</v>
      </c>
      <c r="AM22" s="1684">
        <f t="shared" ref="AM22" si="65">+AK22-AL22</f>
        <v>0</v>
      </c>
      <c r="AN22" s="419"/>
      <c r="AO22" s="1631"/>
      <c r="AP22" s="419"/>
      <c r="AQ22" s="1634">
        <f t="shared" ref="AQ22" si="66">+IFERROR(AR22/$I22,"-")</f>
        <v>0</v>
      </c>
      <c r="AR22" s="1628">
        <f t="shared" ref="AR22" si="67">SUM(AR17:AR21)</f>
        <v>0</v>
      </c>
      <c r="AS22" s="1628">
        <f t="shared" ref="AS22" si="68">SUM(AS17:AS21)</f>
        <v>0</v>
      </c>
      <c r="AT22" s="1684">
        <f t="shared" ref="AT22" si="69">+AR22-AS22</f>
        <v>0</v>
      </c>
      <c r="AU22" s="419"/>
      <c r="AV22" s="1631"/>
      <c r="AW22" s="419"/>
      <c r="AX22" s="1634">
        <f t="shared" si="31"/>
        <v>0</v>
      </c>
      <c r="AY22" s="1628">
        <f t="shared" ref="AY22:AZ22" si="70">SUM(AY17:AY21)</f>
        <v>0</v>
      </c>
      <c r="AZ22" s="1628">
        <f t="shared" si="70"/>
        <v>0</v>
      </c>
      <c r="BA22" s="1684">
        <f t="shared" ref="BA22" si="71">+AY22-AZ22</f>
        <v>0</v>
      </c>
      <c r="BB22" s="419"/>
      <c r="BC22" s="1631"/>
      <c r="BD22" s="419"/>
      <c r="BE22" s="1634">
        <f t="shared" si="14"/>
        <v>0</v>
      </c>
      <c r="BF22" s="1628">
        <f t="shared" ref="BF22:BG22" si="72">SUM(BF17:BF21)</f>
        <v>0</v>
      </c>
      <c r="BG22" s="1628">
        <f t="shared" si="72"/>
        <v>0</v>
      </c>
      <c r="BH22" s="1684">
        <f t="shared" si="48"/>
        <v>0</v>
      </c>
      <c r="BI22" s="419"/>
      <c r="BJ22" s="1631"/>
      <c r="BK22" s="419"/>
      <c r="BL22" s="1634">
        <f t="shared" si="16"/>
        <v>0.45123684958771682</v>
      </c>
      <c r="BM22" s="1628">
        <f t="shared" ref="BM22:BN22" si="73">SUM(BM17:BM21)</f>
        <v>114930540</v>
      </c>
      <c r="BN22" s="1628">
        <f t="shared" si="73"/>
        <v>0</v>
      </c>
      <c r="BO22" s="1684">
        <f t="shared" si="50"/>
        <v>114930540</v>
      </c>
      <c r="BP22" s="419"/>
      <c r="BQ22" s="1589"/>
      <c r="BR22" s="1632"/>
      <c r="BS22" s="1633"/>
      <c r="BT22" s="1633"/>
      <c r="BU22" s="401"/>
      <c r="BV22" s="401"/>
      <c r="BW22" s="401"/>
      <c r="BX22" s="401"/>
      <c r="BY22" s="401"/>
      <c r="BZ22" s="401"/>
      <c r="CA22" s="401"/>
      <c r="CB22" s="401"/>
      <c r="CC22" s="404"/>
      <c r="CD22" s="404"/>
    </row>
    <row r="23" spans="1:82">
      <c r="A23" s="1650"/>
      <c r="B23" s="2517">
        <v>3</v>
      </c>
      <c r="C23" s="2520" t="s">
        <v>171</v>
      </c>
      <c r="D23" s="2518">
        <v>807.98</v>
      </c>
      <c r="E23" s="2518" t="s">
        <v>124</v>
      </c>
      <c r="F23" s="1659" t="s">
        <v>125</v>
      </c>
      <c r="G23" s="1596">
        <f>+'PAYMENT RATIO_RAW'!$F$53*D23/1000</f>
        <v>888778000</v>
      </c>
      <c r="H23" s="1596">
        <f>+G23*10%</f>
        <v>88877800</v>
      </c>
      <c r="I23" s="1596">
        <f>SUM(G23:H23)</f>
        <v>977655800</v>
      </c>
      <c r="J23" s="1676">
        <f t="shared" si="0"/>
        <v>0</v>
      </c>
      <c r="K23" s="1678">
        <f t="shared" si="3"/>
        <v>0</v>
      </c>
      <c r="L23" s="1678">
        <f>+I23-K23</f>
        <v>977655800</v>
      </c>
      <c r="M23" s="1586"/>
      <c r="N23" s="1586"/>
      <c r="O23" s="1660">
        <f t="shared" si="57"/>
        <v>0</v>
      </c>
      <c r="P23" s="1654">
        <f>+$I23*'PAYMENT RATIO_RAW'!G$53</f>
        <v>0</v>
      </c>
      <c r="Q23" s="1678"/>
      <c r="R23" s="1678">
        <f>+P23-Q23</f>
        <v>0</v>
      </c>
      <c r="S23" s="1679"/>
      <c r="T23" s="1625"/>
      <c r="U23" s="1586"/>
      <c r="V23" s="1677"/>
      <c r="W23" s="1654">
        <f>+$I23*'PAYMENT RATIO_RAW'!N$53</f>
        <v>0</v>
      </c>
      <c r="X23" s="1678"/>
      <c r="Y23" s="1678">
        <f>+W23-X23</f>
        <v>0</v>
      </c>
      <c r="Z23" s="1679"/>
      <c r="AA23" s="1625">
        <f>+EDATE(AH23,1)</f>
        <v>45960</v>
      </c>
      <c r="AB23" s="1586"/>
      <c r="AC23" s="1677">
        <f>+IFERROR(AD23/$I23,"-")</f>
        <v>0.5</v>
      </c>
      <c r="AD23" s="1654">
        <f>+$I23*'PAYMENT RATIO_RAW'!U$53</f>
        <v>488827900</v>
      </c>
      <c r="AE23" s="1678"/>
      <c r="AF23" s="1678">
        <f>+AD23-AE23</f>
        <v>488827900</v>
      </c>
      <c r="AG23" s="1679"/>
      <c r="AH23" s="1625">
        <f>+EDATE(AO23,-1)</f>
        <v>45930</v>
      </c>
      <c r="AI23" s="1585"/>
      <c r="AJ23" s="1677">
        <f>+IFERROR(AK23/$I23,"-")</f>
        <v>0</v>
      </c>
      <c r="AK23" s="1678"/>
      <c r="AL23" s="1678"/>
      <c r="AM23" s="1678">
        <f>+AK23-AL23</f>
        <v>0</v>
      </c>
      <c r="AN23" s="1679"/>
      <c r="AO23" s="1625">
        <f>+EDATE(AV23,-1)</f>
        <v>45960</v>
      </c>
      <c r="AP23" s="1586"/>
      <c r="AQ23" s="1677">
        <f>+IFERROR(AR23/$I23,"-")</f>
        <v>0</v>
      </c>
      <c r="AR23" s="1654">
        <f>+$I23*'PAYMENT RATIO_RAW'!AI$53</f>
        <v>0</v>
      </c>
      <c r="AS23" s="1678"/>
      <c r="AT23" s="1678">
        <f>+AR23-AS23</f>
        <v>0</v>
      </c>
      <c r="AU23" s="1679"/>
      <c r="AV23" s="1625">
        <f>+EDATE(BC23,-1)</f>
        <v>45991</v>
      </c>
      <c r="AW23" s="1586"/>
      <c r="AX23" s="1677">
        <f>+IFERROR(AY23/$I23,"-")</f>
        <v>0</v>
      </c>
      <c r="AY23" s="1654">
        <f>+$I23*'PAYMENT RATIO_RAW'!AP$53</f>
        <v>0</v>
      </c>
      <c r="AZ23" s="1678"/>
      <c r="BA23" s="1678">
        <f>+AY23-AZ23</f>
        <v>0</v>
      </c>
      <c r="BB23" s="1679"/>
      <c r="BC23" s="1625">
        <f>+EDATE(BJ23,-1)</f>
        <v>46022</v>
      </c>
      <c r="BD23" s="1586"/>
      <c r="BE23" s="1677">
        <f>+IFERROR(BF23/$I23,"-")</f>
        <v>0</v>
      </c>
      <c r="BF23" s="1654">
        <f>+$I23*'PAYMENT RATIO_RAW'!AW$53</f>
        <v>0</v>
      </c>
      <c r="BG23" s="1678"/>
      <c r="BH23" s="1678">
        <f>+BF23-BG23</f>
        <v>0</v>
      </c>
      <c r="BI23" s="1679"/>
      <c r="BJ23" s="1625">
        <v>46053</v>
      </c>
      <c r="BK23" s="1586"/>
      <c r="BL23" s="1677">
        <f>+IFERROR(BM23/$I23,"-")</f>
        <v>0.5</v>
      </c>
      <c r="BM23" s="1654">
        <f>+$I23*'PAYMENT RATIO_RAW'!BD$53</f>
        <v>488827900</v>
      </c>
      <c r="BN23" s="1678"/>
      <c r="BO23" s="1678">
        <f>+BM23-BN23</f>
        <v>488827900</v>
      </c>
      <c r="BP23" s="1679"/>
      <c r="BQ23" s="1588"/>
      <c r="BR23" s="1587" t="b">
        <f>+P23+W23+AD23+AR23+AY23+BF23+BM23=I23</f>
        <v>1</v>
      </c>
      <c r="BS23" s="1587" t="b">
        <f>+Q23+X23+AE23+AS23+AZ23+BG23+BN23=K23</f>
        <v>1</v>
      </c>
      <c r="BT23" s="1587"/>
      <c r="BU23" s="404"/>
      <c r="BV23" s="404"/>
      <c r="BW23" s="404"/>
      <c r="BX23" s="404"/>
      <c r="BY23" s="404"/>
      <c r="BZ23" s="404"/>
      <c r="CA23" s="404"/>
      <c r="CB23" s="404"/>
      <c r="CC23" s="404"/>
      <c r="CD23" s="404"/>
    </row>
    <row r="24" spans="1:82" ht="13.5">
      <c r="A24" s="1650"/>
      <c r="B24" s="2517"/>
      <c r="C24" s="2520"/>
      <c r="D24" s="2518"/>
      <c r="E24" s="2518"/>
      <c r="F24" s="1661" t="s">
        <v>126</v>
      </c>
      <c r="G24" s="1597">
        <f>+$D$23*'PAYMENT RATIO_RAW'!F$54/1000</f>
        <v>323192000</v>
      </c>
      <c r="H24" s="1597"/>
      <c r="I24" s="1597">
        <f t="shared" ref="I24:I27" si="74">SUM(G24:H24)</f>
        <v>323192000</v>
      </c>
      <c r="J24" s="1661">
        <f t="shared" si="0"/>
        <v>0.88498601450530956</v>
      </c>
      <c r="K24" s="1654">
        <f t="shared" si="3"/>
        <v>286020400</v>
      </c>
      <c r="L24" s="1654">
        <f t="shared" ref="L24:L27" si="75">+I24-K24</f>
        <v>37171600</v>
      </c>
      <c r="M24" s="1626">
        <v>45900</v>
      </c>
      <c r="N24" s="1626">
        <v>45845</v>
      </c>
      <c r="O24" s="1660">
        <f t="shared" si="57"/>
        <v>0.7</v>
      </c>
      <c r="P24" s="1654">
        <f>+$I24*'PAYMENT RATIO_RAW'!G$54</f>
        <v>226234400</v>
      </c>
      <c r="Q24" s="1654">
        <v>221382000</v>
      </c>
      <c r="R24" s="1654">
        <f t="shared" ref="R24:R28" si="76">+P24-Q24</f>
        <v>4852400</v>
      </c>
      <c r="S24" s="1662"/>
      <c r="T24" s="1626">
        <v>45943</v>
      </c>
      <c r="U24" s="1626"/>
      <c r="V24" s="1660">
        <f t="shared" ref="V24:V26" si="77">+IFERROR(W24/$I24,"-")</f>
        <v>0.2</v>
      </c>
      <c r="W24" s="1654">
        <f>+$I24*'PAYMENT RATIO_RAW'!N$54</f>
        <v>64638400</v>
      </c>
      <c r="X24" s="1654">
        <f>+W24</f>
        <v>64638400</v>
      </c>
      <c r="Y24" s="1654">
        <f t="shared" ref="Y24:Y28" si="78">+W24-X24</f>
        <v>0</v>
      </c>
      <c r="Z24" s="1686"/>
      <c r="AA24" s="1626"/>
      <c r="AB24" s="1626"/>
      <c r="AC24" s="1660">
        <f t="shared" ref="AC24:AC26" si="79">+IFERROR(AD24/$I24,"-")</f>
        <v>0</v>
      </c>
      <c r="AD24" s="1654">
        <f>+$I24*'PAYMENT RATIO_RAW'!U$54</f>
        <v>0</v>
      </c>
      <c r="AE24" s="1654"/>
      <c r="AF24" s="1654">
        <f t="shared" ref="AF24:AF28" si="80">+AD24-AE24</f>
        <v>0</v>
      </c>
      <c r="AG24" s="1662"/>
      <c r="AH24" s="1626"/>
      <c r="AI24" s="1626"/>
      <c r="AJ24" s="1660">
        <f t="shared" ref="AJ24:AJ26" si="81">+IFERROR(AK24/$I24,"-")</f>
        <v>0</v>
      </c>
      <c r="AK24" s="1654"/>
      <c r="AL24" s="1654"/>
      <c r="AM24" s="1654">
        <f t="shared" ref="AM24:AM26" si="82">+AK24-AL24</f>
        <v>0</v>
      </c>
      <c r="AN24" s="1662"/>
      <c r="AO24" s="1626"/>
      <c r="AP24" s="1626"/>
      <c r="AQ24" s="1660"/>
      <c r="AR24" s="1654">
        <f>+$I24*'PAYMENT RATIO_RAW'!AI$54</f>
        <v>0</v>
      </c>
      <c r="AS24" s="1654"/>
      <c r="AT24" s="1654">
        <f t="shared" ref="AT24:AT26" si="83">+AR24-AS24</f>
        <v>0</v>
      </c>
      <c r="AU24" s="1662"/>
      <c r="AV24" s="1626"/>
      <c r="AW24" s="1626"/>
      <c r="AX24" s="1660"/>
      <c r="AY24" s="1654">
        <f>+$I24*'PAYMENT RATIO_RAW'!AP$54</f>
        <v>0</v>
      </c>
      <c r="AZ24" s="1654"/>
      <c r="BA24" s="1654">
        <f t="shared" ref="BA24:BA26" si="84">+AY24-AZ24</f>
        <v>0</v>
      </c>
      <c r="BB24" s="1662"/>
      <c r="BC24" s="1626"/>
      <c r="BD24" s="1626"/>
      <c r="BE24" s="1660">
        <f t="shared" si="14"/>
        <v>0</v>
      </c>
      <c r="BF24" s="1654">
        <f>+$I24*'PAYMENT RATIO_RAW'!AW$54</f>
        <v>0</v>
      </c>
      <c r="BG24" s="1654"/>
      <c r="BH24" s="1678">
        <f t="shared" ref="BH24:BH28" si="85">+BF24-BG24</f>
        <v>0</v>
      </c>
      <c r="BI24" s="1662"/>
      <c r="BJ24" s="1626">
        <v>46053</v>
      </c>
      <c r="BK24" s="1626"/>
      <c r="BL24" s="1660">
        <f t="shared" ref="BL24:BL27" si="86">+IFERROR(BM24/$I24,"-")</f>
        <v>0.1</v>
      </c>
      <c r="BM24" s="1654">
        <f>+$I24*'PAYMENT RATIO_RAW'!BD$54</f>
        <v>32319200</v>
      </c>
      <c r="BN24" s="1654"/>
      <c r="BO24" s="1654">
        <f t="shared" ref="BO24:BO28" si="87">+BM24-BN24</f>
        <v>32319200</v>
      </c>
      <c r="BP24" s="1662"/>
      <c r="BQ24" s="1588"/>
      <c r="BR24" s="1587" t="b">
        <f>+BM24+BF24+AY24+AR24+AD24+W24+P24=I24</f>
        <v>1</v>
      </c>
      <c r="BS24" s="1587" t="b">
        <f t="shared" ref="BS24" si="88">+Q24+X24+AE24+AS24+AZ24+BG24+BN24=K24</f>
        <v>1</v>
      </c>
      <c r="BT24" s="1587" t="b">
        <f>+BF24+BF26+AY24+AY26+AR24+AR26+AD24+AD26+W24+W26+P24+P26+BM24+BM26=('PAYMENT RATIO_RAW'!$F$54+'PAYMENT RATIO_RAW'!$F$56)*D23*1.1/1000</f>
        <v>0</v>
      </c>
      <c r="BU24" s="404"/>
      <c r="BV24" s="404"/>
      <c r="BW24" s="404"/>
      <c r="BX24" s="404"/>
      <c r="BY24" s="404"/>
      <c r="BZ24" s="404"/>
      <c r="CA24" s="404"/>
      <c r="CB24" s="404"/>
      <c r="CC24" s="404"/>
      <c r="CD24" s="404"/>
    </row>
    <row r="25" spans="1:82">
      <c r="A25" s="1650"/>
      <c r="B25" s="2517"/>
      <c r="C25" s="2520"/>
      <c r="D25" s="2518"/>
      <c r="E25" s="2518"/>
      <c r="F25" s="1661" t="s">
        <v>127</v>
      </c>
      <c r="G25" s="1597">
        <f>+$D$23*'PAYMENT RATIO_RAW'!F$55/1000</f>
        <v>0</v>
      </c>
      <c r="H25" s="1597">
        <f t="shared" ref="H25:H27" si="89">+G25*10%</f>
        <v>0</v>
      </c>
      <c r="I25" s="1597">
        <f t="shared" si="74"/>
        <v>0</v>
      </c>
      <c r="J25" s="1661" t="str">
        <f t="shared" si="0"/>
        <v>-</v>
      </c>
      <c r="K25" s="1654">
        <f t="shared" si="3"/>
        <v>0</v>
      </c>
      <c r="L25" s="1654">
        <f t="shared" si="75"/>
        <v>0</v>
      </c>
      <c r="M25" s="1626">
        <v>45900</v>
      </c>
      <c r="N25" s="1626"/>
      <c r="O25" s="1660" t="str">
        <f t="shared" si="57"/>
        <v>-</v>
      </c>
      <c r="P25" s="1654">
        <f>+$I25*'PAYMENT RATIO_RAW'!G$55</f>
        <v>0</v>
      </c>
      <c r="Q25" s="1654"/>
      <c r="R25" s="1654">
        <f t="shared" si="76"/>
        <v>0</v>
      </c>
      <c r="S25" s="1662"/>
      <c r="T25" s="1626"/>
      <c r="U25" s="1626"/>
      <c r="V25" s="1660" t="str">
        <f t="shared" si="77"/>
        <v>-</v>
      </c>
      <c r="W25" s="1654">
        <f>+$I25*'PAYMENT RATIO_RAW'!N$55</f>
        <v>0</v>
      </c>
      <c r="X25" s="1654"/>
      <c r="Y25" s="1654">
        <f t="shared" si="78"/>
        <v>0</v>
      </c>
      <c r="Z25" s="1662"/>
      <c r="AA25" s="1626"/>
      <c r="AB25" s="1626"/>
      <c r="AC25" s="1660" t="str">
        <f t="shared" si="79"/>
        <v>-</v>
      </c>
      <c r="AD25" s="1654">
        <f>+$I25*'PAYMENT RATIO_RAW'!U$55</f>
        <v>0</v>
      </c>
      <c r="AE25" s="1654"/>
      <c r="AF25" s="1654">
        <f t="shared" si="80"/>
        <v>0</v>
      </c>
      <c r="AG25" s="1662"/>
      <c r="AH25" s="1626"/>
      <c r="AI25" s="1626"/>
      <c r="AJ25" s="1660" t="str">
        <f t="shared" si="81"/>
        <v>-</v>
      </c>
      <c r="AK25" s="1654"/>
      <c r="AL25" s="1654"/>
      <c r="AM25" s="1654">
        <f t="shared" si="82"/>
        <v>0</v>
      </c>
      <c r="AN25" s="1662"/>
      <c r="AO25" s="1626"/>
      <c r="AP25" s="1626"/>
      <c r="AQ25" s="1660"/>
      <c r="AR25" s="1654">
        <f>+$I25*'PAYMENT RATIO_RAW'!AI$55</f>
        <v>0</v>
      </c>
      <c r="AS25" s="1654"/>
      <c r="AT25" s="1654">
        <f t="shared" si="83"/>
        <v>0</v>
      </c>
      <c r="AU25" s="1662"/>
      <c r="AV25" s="1626"/>
      <c r="AW25" s="1626"/>
      <c r="AX25" s="1660"/>
      <c r="AY25" s="1654">
        <f>+$I25*'PAYMENT RATIO_RAW'!AP$55</f>
        <v>0</v>
      </c>
      <c r="AZ25" s="1654"/>
      <c r="BA25" s="1654">
        <f t="shared" si="84"/>
        <v>0</v>
      </c>
      <c r="BB25" s="1662"/>
      <c r="BC25" s="1626"/>
      <c r="BD25" s="1626"/>
      <c r="BE25" s="1660" t="str">
        <f t="shared" si="14"/>
        <v>-</v>
      </c>
      <c r="BF25" s="1654">
        <f>+$I25*'PAYMENT RATIO_RAW'!AW$55</f>
        <v>0</v>
      </c>
      <c r="BG25" s="1654"/>
      <c r="BH25" s="1678">
        <f t="shared" si="85"/>
        <v>0</v>
      </c>
      <c r="BI25" s="1662"/>
      <c r="BJ25" s="1626"/>
      <c r="BK25" s="1626"/>
      <c r="BL25" s="1660" t="str">
        <f t="shared" si="86"/>
        <v>-</v>
      </c>
      <c r="BM25" s="1654">
        <f>+$I25*'PAYMENT RATIO_RAW'!BD$55</f>
        <v>0</v>
      </c>
      <c r="BN25" s="1654"/>
      <c r="BO25" s="1654">
        <f t="shared" si="87"/>
        <v>0</v>
      </c>
      <c r="BP25" s="1662"/>
      <c r="BQ25" s="1588"/>
      <c r="BR25" s="1587" t="b">
        <f>+P25+W25+AD25+AR25+AY25+BF25+BM25=I25</f>
        <v>1</v>
      </c>
      <c r="BS25" s="1587" t="b">
        <f>+Q25+X25+AE25+AS25+AZ25+BG25+BN25=K25</f>
        <v>1</v>
      </c>
      <c r="BT25" s="1587"/>
      <c r="BU25" s="404"/>
      <c r="BV25" s="404"/>
      <c r="BW25" s="404"/>
      <c r="BX25" s="404"/>
      <c r="BY25" s="404"/>
      <c r="BZ25" s="404"/>
      <c r="CA25" s="404"/>
      <c r="CB25" s="404"/>
      <c r="CC25" s="404"/>
      <c r="CD25" s="404"/>
    </row>
    <row r="26" spans="1:82">
      <c r="A26" s="1650"/>
      <c r="B26" s="2517"/>
      <c r="C26" s="2520"/>
      <c r="D26" s="2518"/>
      <c r="E26" s="2518"/>
      <c r="F26" s="1661" t="s">
        <v>128</v>
      </c>
      <c r="G26" s="1597">
        <f>+$D$23*'PAYMENT RATIO_RAW'!F$56/1000</f>
        <v>0</v>
      </c>
      <c r="H26" s="1680">
        <f t="shared" si="89"/>
        <v>0</v>
      </c>
      <c r="I26" s="1680">
        <f t="shared" si="74"/>
        <v>0</v>
      </c>
      <c r="J26" s="1661" t="str">
        <f t="shared" si="0"/>
        <v>-</v>
      </c>
      <c r="K26" s="1654">
        <f t="shared" si="3"/>
        <v>0</v>
      </c>
      <c r="L26" s="1654">
        <f t="shared" si="75"/>
        <v>0</v>
      </c>
      <c r="M26" s="1626">
        <v>45900</v>
      </c>
      <c r="N26" s="1585"/>
      <c r="O26" s="1660" t="str">
        <f t="shared" si="57"/>
        <v>-</v>
      </c>
      <c r="P26" s="1654">
        <f>+$I26*'PAYMENT RATIO_RAW'!G$56</f>
        <v>0</v>
      </c>
      <c r="Q26" s="1654"/>
      <c r="R26" s="1654">
        <f t="shared" si="76"/>
        <v>0</v>
      </c>
      <c r="S26" s="1662"/>
      <c r="T26" s="1626"/>
      <c r="U26" s="1585"/>
      <c r="V26" s="1660" t="str">
        <f t="shared" si="77"/>
        <v>-</v>
      </c>
      <c r="W26" s="1654">
        <f>+$I26*'PAYMENT RATIO_RAW'!N$56</f>
        <v>0</v>
      </c>
      <c r="X26" s="1654"/>
      <c r="Y26" s="1654">
        <f t="shared" si="78"/>
        <v>0</v>
      </c>
      <c r="Z26" s="1662"/>
      <c r="AA26" s="1626"/>
      <c r="AB26" s="1585"/>
      <c r="AC26" s="1660" t="str">
        <f t="shared" si="79"/>
        <v>-</v>
      </c>
      <c r="AD26" s="1654">
        <f>+$I26*'PAYMENT RATIO_RAW'!U$56</f>
        <v>0</v>
      </c>
      <c r="AE26" s="1654"/>
      <c r="AF26" s="1654">
        <f t="shared" si="80"/>
        <v>0</v>
      </c>
      <c r="AG26" s="1662"/>
      <c r="AH26" s="1585"/>
      <c r="AI26" s="1585"/>
      <c r="AJ26" s="1660" t="str">
        <f t="shared" si="81"/>
        <v>-</v>
      </c>
      <c r="AK26" s="1654"/>
      <c r="AL26" s="1654"/>
      <c r="AM26" s="1654">
        <f t="shared" si="82"/>
        <v>0</v>
      </c>
      <c r="AN26" s="1662"/>
      <c r="AO26" s="1626"/>
      <c r="AP26" s="1585"/>
      <c r="AQ26" s="1660"/>
      <c r="AR26" s="1654">
        <f>+$I26*'PAYMENT RATIO_RAW'!AI$56</f>
        <v>0</v>
      </c>
      <c r="AS26" s="1654"/>
      <c r="AT26" s="1654">
        <f t="shared" si="83"/>
        <v>0</v>
      </c>
      <c r="AU26" s="1662"/>
      <c r="AV26" s="1626"/>
      <c r="AW26" s="1585"/>
      <c r="AX26" s="1660"/>
      <c r="AY26" s="1654">
        <f>+$I26*'PAYMENT RATIO_RAW'!AP$56</f>
        <v>0</v>
      </c>
      <c r="AZ26" s="1654"/>
      <c r="BA26" s="1654">
        <f t="shared" si="84"/>
        <v>0</v>
      </c>
      <c r="BB26" s="1662"/>
      <c r="BC26" s="1626"/>
      <c r="BD26" s="1585"/>
      <c r="BE26" s="1660" t="str">
        <f t="shared" si="14"/>
        <v>-</v>
      </c>
      <c r="BF26" s="1654">
        <f>+$I26*'PAYMENT RATIO_RAW'!AW$56</f>
        <v>0</v>
      </c>
      <c r="BG26" s="1654"/>
      <c r="BH26" s="1678">
        <f t="shared" si="85"/>
        <v>0</v>
      </c>
      <c r="BI26" s="1662"/>
      <c r="BJ26" s="1626"/>
      <c r="BK26" s="1585"/>
      <c r="BL26" s="1660" t="str">
        <f t="shared" si="86"/>
        <v>-</v>
      </c>
      <c r="BM26" s="1654">
        <f>+$I26*'PAYMENT RATIO_RAW'!BD$56</f>
        <v>0</v>
      </c>
      <c r="BN26" s="1654"/>
      <c r="BO26" s="1654">
        <f t="shared" si="87"/>
        <v>0</v>
      </c>
      <c r="BP26" s="1662"/>
      <c r="BQ26" s="1588"/>
      <c r="BR26" s="1587" t="b">
        <f t="shared" ref="BR26:BR27" si="90">+P26+W26+AD26+AR26+AY26+BF26+BM26=I26</f>
        <v>1</v>
      </c>
      <c r="BS26" s="1587" t="b">
        <f t="shared" ref="BS26:BS27" si="91">+Q26+X26+AE26+AS26+AZ26+BG26+BN26=K26</f>
        <v>1</v>
      </c>
      <c r="BT26" s="1587"/>
      <c r="BU26" s="404"/>
      <c r="BV26" s="404"/>
      <c r="BW26" s="404"/>
      <c r="BX26" s="404"/>
      <c r="BY26" s="404"/>
      <c r="BZ26" s="404"/>
      <c r="CA26" s="404"/>
      <c r="CB26" s="404"/>
      <c r="CC26" s="404"/>
      <c r="CD26" s="404"/>
    </row>
    <row r="27" spans="1:82">
      <c r="A27" s="1650"/>
      <c r="B27" s="2517"/>
      <c r="C27" s="2520"/>
      <c r="D27" s="2518"/>
      <c r="E27" s="2518"/>
      <c r="F27" s="1627" t="s">
        <v>129</v>
      </c>
      <c r="G27" s="1680">
        <f>+'PAYMENT RATIO_RAW'!F57*D23/1000</f>
        <v>109077300</v>
      </c>
      <c r="H27" s="1680">
        <f t="shared" si="89"/>
        <v>10907730</v>
      </c>
      <c r="I27" s="1680">
        <f t="shared" si="74"/>
        <v>119985030</v>
      </c>
      <c r="J27" s="1627">
        <f t="shared" si="0"/>
        <v>0</v>
      </c>
      <c r="K27" s="1655">
        <f t="shared" si="3"/>
        <v>0</v>
      </c>
      <c r="L27" s="1655">
        <f t="shared" si="75"/>
        <v>119985030</v>
      </c>
      <c r="M27" s="1630"/>
      <c r="N27" s="1630"/>
      <c r="O27" s="1682"/>
      <c r="P27" s="1654">
        <f>+$I27*'PAYMENT RATIO_RAW'!G$57</f>
        <v>0</v>
      </c>
      <c r="Q27" s="1683"/>
      <c r="R27" s="1683">
        <f t="shared" si="76"/>
        <v>0</v>
      </c>
      <c r="S27" s="1630"/>
      <c r="T27" s="1629"/>
      <c r="U27" s="1630"/>
      <c r="V27" s="1682"/>
      <c r="W27" s="1654">
        <f>+$I27*'PAYMENT RATIO_RAW'!N$57</f>
        <v>0</v>
      </c>
      <c r="X27" s="1683"/>
      <c r="Y27" s="1683">
        <f t="shared" si="78"/>
        <v>0</v>
      </c>
      <c r="Z27" s="1630"/>
      <c r="AA27" s="1629"/>
      <c r="AB27" s="1630"/>
      <c r="AC27" s="1682"/>
      <c r="AD27" s="1654">
        <f>+$I27*'PAYMENT RATIO_RAW'!U$57</f>
        <v>0</v>
      </c>
      <c r="AE27" s="1683"/>
      <c r="AF27" s="1683">
        <f t="shared" si="80"/>
        <v>0</v>
      </c>
      <c r="AG27" s="1630"/>
      <c r="AH27" s="1629"/>
      <c r="AI27" s="1630"/>
      <c r="AJ27" s="1682"/>
      <c r="AK27" s="1683"/>
      <c r="AL27" s="1683"/>
      <c r="AM27" s="1683"/>
      <c r="AN27" s="1630"/>
      <c r="AO27" s="1629"/>
      <c r="AP27" s="1630"/>
      <c r="AQ27" s="1682"/>
      <c r="AR27" s="1654">
        <f>+$I27*'PAYMENT RATIO_RAW'!AI$57</f>
        <v>0</v>
      </c>
      <c r="AS27" s="1683"/>
      <c r="AT27" s="1683"/>
      <c r="AU27" s="1630"/>
      <c r="AV27" s="1629"/>
      <c r="AW27" s="1630"/>
      <c r="AX27" s="1682"/>
      <c r="AY27" s="1654">
        <f>+$I27*'PAYMENT RATIO_RAW'!AP$57</f>
        <v>0</v>
      </c>
      <c r="AZ27" s="1683"/>
      <c r="BA27" s="1683"/>
      <c r="BB27" s="1630"/>
      <c r="BC27" s="1629"/>
      <c r="BD27" s="1630"/>
      <c r="BE27" s="1682">
        <f t="shared" si="14"/>
        <v>0</v>
      </c>
      <c r="BF27" s="1654">
        <f>+$I27*'PAYMENT RATIO_RAW'!AW$57</f>
        <v>0</v>
      </c>
      <c r="BG27" s="1683"/>
      <c r="BH27" s="1678">
        <f t="shared" si="85"/>
        <v>0</v>
      </c>
      <c r="BI27" s="1630"/>
      <c r="BJ27" s="1626">
        <v>46053</v>
      </c>
      <c r="BK27" s="1630"/>
      <c r="BL27" s="1682">
        <f t="shared" si="86"/>
        <v>1</v>
      </c>
      <c r="BM27" s="1654">
        <f>+$I27*'PAYMENT RATIO_RAW'!BD$57</f>
        <v>119985030</v>
      </c>
      <c r="BN27" s="1683"/>
      <c r="BO27" s="1683">
        <f t="shared" si="87"/>
        <v>119985030</v>
      </c>
      <c r="BP27" s="1630"/>
      <c r="BQ27" s="1589"/>
      <c r="BR27" s="1591" t="b">
        <f t="shared" si="90"/>
        <v>1</v>
      </c>
      <c r="BS27" s="1592" t="b">
        <f t="shared" si="91"/>
        <v>1</v>
      </c>
      <c r="BT27" s="1592"/>
      <c r="BU27" s="404"/>
      <c r="BV27" s="404"/>
      <c r="BW27" s="404"/>
      <c r="BX27" s="404"/>
      <c r="BY27" s="404"/>
      <c r="BZ27" s="404"/>
      <c r="CA27" s="404"/>
      <c r="CB27" s="404"/>
      <c r="CC27" s="404"/>
      <c r="CD27" s="404"/>
    </row>
    <row r="28" spans="1:82">
      <c r="A28" s="1649"/>
      <c r="B28" s="2517"/>
      <c r="C28" s="2520"/>
      <c r="D28" s="2518"/>
      <c r="E28" s="2518"/>
      <c r="F28" s="419" t="s">
        <v>130</v>
      </c>
      <c r="G28" s="1628">
        <f>SUM(G23:G27)</f>
        <v>1321047300</v>
      </c>
      <c r="H28" s="1628">
        <f>SUM(H23:H27)</f>
        <v>99785530</v>
      </c>
      <c r="I28" s="1628">
        <f t="shared" ref="I28" si="92">SUM(I23:I27)</f>
        <v>1420832830</v>
      </c>
      <c r="J28" s="419">
        <f t="shared" si="0"/>
        <v>0.20130475166455719</v>
      </c>
      <c r="K28" s="1628">
        <f t="shared" ref="K28:L28" si="93">SUM(K23:K27)</f>
        <v>286020400</v>
      </c>
      <c r="L28" s="1628">
        <f t="shared" si="93"/>
        <v>1134812430</v>
      </c>
      <c r="M28" s="419"/>
      <c r="N28" s="419"/>
      <c r="O28" s="1634">
        <f t="shared" ref="O28:O34" si="94">+IFERROR(P28/$I28,"-")</f>
        <v>0.1592266135911288</v>
      </c>
      <c r="P28" s="1628">
        <f t="shared" ref="P28:Q28" si="95">SUM(P23:P27)</f>
        <v>226234400</v>
      </c>
      <c r="Q28" s="1628">
        <f t="shared" si="95"/>
        <v>221382000</v>
      </c>
      <c r="R28" s="1684">
        <f t="shared" si="76"/>
        <v>4852400</v>
      </c>
      <c r="S28" s="419"/>
      <c r="T28" s="1631"/>
      <c r="U28" s="419"/>
      <c r="V28" s="1634">
        <f t="shared" ref="V28" si="96">+IFERROR(W28/$I28,"-")</f>
        <v>4.5493318168893945E-2</v>
      </c>
      <c r="W28" s="1628">
        <f t="shared" ref="W28:X28" si="97">SUM(W23:W27)</f>
        <v>64638400</v>
      </c>
      <c r="X28" s="1628">
        <f t="shared" si="97"/>
        <v>64638400</v>
      </c>
      <c r="Y28" s="1684">
        <f t="shared" si="78"/>
        <v>0</v>
      </c>
      <c r="Z28" s="419"/>
      <c r="AA28" s="1631"/>
      <c r="AB28" s="419"/>
      <c r="AC28" s="1634">
        <f t="shared" ref="AC28" si="98">+IFERROR(AD28/$I28,"-")</f>
        <v>0.34404321865226045</v>
      </c>
      <c r="AD28" s="1628">
        <f t="shared" ref="AD28:AE28" si="99">SUM(AD23:AD27)</f>
        <v>488827900</v>
      </c>
      <c r="AE28" s="1628">
        <f t="shared" si="99"/>
        <v>0</v>
      </c>
      <c r="AF28" s="1684">
        <f t="shared" si="80"/>
        <v>488827900</v>
      </c>
      <c r="AG28" s="419"/>
      <c r="AH28" s="1631"/>
      <c r="AI28" s="419"/>
      <c r="AJ28" s="1634">
        <f t="shared" ref="AJ28" si="100">+IFERROR(AK28/$I28,"-")</f>
        <v>0</v>
      </c>
      <c r="AK28" s="1628">
        <f t="shared" ref="AK28:AL28" si="101">SUM(AK23:AK27)</f>
        <v>0</v>
      </c>
      <c r="AL28" s="1628">
        <f t="shared" si="101"/>
        <v>0</v>
      </c>
      <c r="AM28" s="1684">
        <f t="shared" ref="AM28" si="102">+AK28-AL28</f>
        <v>0</v>
      </c>
      <c r="AN28" s="419"/>
      <c r="AO28" s="1631"/>
      <c r="AP28" s="419"/>
      <c r="AQ28" s="1634">
        <f t="shared" ref="AQ28" si="103">+IFERROR(AR28/$I28,"-")</f>
        <v>0</v>
      </c>
      <c r="AR28" s="1628">
        <f t="shared" ref="AR28" si="104">SUM(AR23:AR27)</f>
        <v>0</v>
      </c>
      <c r="AS28" s="1628">
        <f t="shared" ref="AS28" si="105">SUM(AS23:AS27)</f>
        <v>0</v>
      </c>
      <c r="AT28" s="1684">
        <f t="shared" ref="AT28" si="106">+AR28-AS28</f>
        <v>0</v>
      </c>
      <c r="AU28" s="419"/>
      <c r="AV28" s="1631"/>
      <c r="AW28" s="419"/>
      <c r="AX28" s="1634">
        <f t="shared" ref="AX28" si="107">+IFERROR(AY28/$I28,"-")</f>
        <v>0</v>
      </c>
      <c r="AY28" s="1628">
        <f t="shared" ref="AY28" si="108">SUM(AY23:AY27)</f>
        <v>0</v>
      </c>
      <c r="AZ28" s="1628">
        <f t="shared" ref="AZ28" si="109">SUM(AZ23:AZ27)</f>
        <v>0</v>
      </c>
      <c r="BA28" s="1684">
        <f t="shared" ref="BA28" si="110">+AY28-AZ28</f>
        <v>0</v>
      </c>
      <c r="BB28" s="419"/>
      <c r="BC28" s="1631"/>
      <c r="BD28" s="419"/>
      <c r="BE28" s="1634">
        <f t="shared" si="14"/>
        <v>0</v>
      </c>
      <c r="BF28" s="1628">
        <f t="shared" ref="BF28:BG28" si="111">SUM(BF23:BF27)</f>
        <v>0</v>
      </c>
      <c r="BG28" s="1628">
        <f t="shared" si="111"/>
        <v>0</v>
      </c>
      <c r="BH28" s="1684">
        <f t="shared" si="85"/>
        <v>0</v>
      </c>
      <c r="BI28" s="419"/>
      <c r="BJ28" s="1631"/>
      <c r="BK28" s="419"/>
      <c r="BL28" s="1634">
        <f t="shared" si="16"/>
        <v>0.45123684958771682</v>
      </c>
      <c r="BM28" s="1628">
        <f t="shared" ref="BM28:BN28" si="112">SUM(BM23:BM27)</f>
        <v>641132130</v>
      </c>
      <c r="BN28" s="1628">
        <f t="shared" si="112"/>
        <v>0</v>
      </c>
      <c r="BO28" s="1684">
        <f t="shared" si="87"/>
        <v>641132130</v>
      </c>
      <c r="BP28" s="419"/>
      <c r="BQ28" s="1589"/>
      <c r="BR28" s="1632"/>
      <c r="BS28" s="1633"/>
      <c r="BT28" s="1633"/>
      <c r="BU28" s="401"/>
      <c r="BV28" s="401"/>
      <c r="BW28" s="401"/>
      <c r="BX28" s="401"/>
      <c r="BY28" s="401"/>
      <c r="BZ28" s="401"/>
      <c r="CA28" s="401"/>
      <c r="CB28" s="401"/>
      <c r="CC28" s="404"/>
      <c r="CD28" s="404"/>
    </row>
    <row r="29" spans="1:82">
      <c r="A29" s="1649"/>
      <c r="B29" s="2517">
        <v>4</v>
      </c>
      <c r="C29" s="2520" t="s">
        <v>172</v>
      </c>
      <c r="D29" s="2518">
        <v>249.92</v>
      </c>
      <c r="E29" s="2518" t="s">
        <v>124</v>
      </c>
      <c r="F29" s="1659" t="s">
        <v>125</v>
      </c>
      <c r="G29" s="1596">
        <f>+'PAYMENT RATIO_RAW'!$F$53*D29/1000</f>
        <v>274912000</v>
      </c>
      <c r="H29" s="1596">
        <f>+G29*10%</f>
        <v>27491200</v>
      </c>
      <c r="I29" s="1596">
        <f>SUM(G29:H29)</f>
        <v>302403200</v>
      </c>
      <c r="J29" s="1676">
        <f t="shared" si="0"/>
        <v>0</v>
      </c>
      <c r="K29" s="1678">
        <f t="shared" si="3"/>
        <v>0</v>
      </c>
      <c r="L29" s="1678">
        <f>+I29-K29</f>
        <v>302403200</v>
      </c>
      <c r="M29" s="1586"/>
      <c r="N29" s="1586"/>
      <c r="O29" s="1660">
        <f t="shared" si="94"/>
        <v>0</v>
      </c>
      <c r="P29" s="1654">
        <f>+$I29*'PAYMENT RATIO_RAW'!G$53</f>
        <v>0</v>
      </c>
      <c r="Q29" s="1678"/>
      <c r="R29" s="1678">
        <f>+P29-Q29</f>
        <v>0</v>
      </c>
      <c r="S29" s="1679"/>
      <c r="T29" s="1625"/>
      <c r="U29" s="1586"/>
      <c r="V29" s="1677"/>
      <c r="W29" s="1654">
        <f>+$I29*'PAYMENT RATIO_RAW'!N$53</f>
        <v>0</v>
      </c>
      <c r="X29" s="1678"/>
      <c r="Y29" s="1678">
        <f>+W29-X29</f>
        <v>0</v>
      </c>
      <c r="Z29" s="1679"/>
      <c r="AA29" s="1625">
        <f>+EDATE(AH29,1)</f>
        <v>45960</v>
      </c>
      <c r="AB29" s="1586"/>
      <c r="AC29" s="1677">
        <f>+IFERROR(AD29/$I29,"-")</f>
        <v>0.5</v>
      </c>
      <c r="AD29" s="1654">
        <f>+$I29*'PAYMENT RATIO_RAW'!U$53</f>
        <v>151201600</v>
      </c>
      <c r="AE29" s="1678"/>
      <c r="AF29" s="1678">
        <f>+AD29-AE29</f>
        <v>151201600</v>
      </c>
      <c r="AG29" s="1679"/>
      <c r="AH29" s="1625">
        <f>+EDATE(AO29,-1)</f>
        <v>45930</v>
      </c>
      <c r="AI29" s="1585"/>
      <c r="AJ29" s="1677">
        <f>+IFERROR(AK29/$I29,"-")</f>
        <v>0</v>
      </c>
      <c r="AK29" s="1678"/>
      <c r="AL29" s="1678"/>
      <c r="AM29" s="1678">
        <f>+AK29-AL29</f>
        <v>0</v>
      </c>
      <c r="AN29" s="1679"/>
      <c r="AO29" s="1625">
        <f>+EDATE(AV29,-1)</f>
        <v>45960</v>
      </c>
      <c r="AP29" s="1586"/>
      <c r="AQ29" s="1677">
        <f>+IFERROR(AR29/$I29,"-")</f>
        <v>0</v>
      </c>
      <c r="AR29" s="1654">
        <f>+$I29*'PAYMENT RATIO_RAW'!AI$53</f>
        <v>0</v>
      </c>
      <c r="AS29" s="1678"/>
      <c r="AT29" s="1678">
        <f>+AR29-AS29</f>
        <v>0</v>
      </c>
      <c r="AU29" s="1679"/>
      <c r="AV29" s="1625">
        <f>+EDATE(BC29,-1)</f>
        <v>45991</v>
      </c>
      <c r="AW29" s="1586"/>
      <c r="AX29" s="1677">
        <f>+IFERROR(AY29/$I29,"-")</f>
        <v>0</v>
      </c>
      <c r="AY29" s="1654">
        <f>+$I29*'PAYMENT RATIO_RAW'!AP$53</f>
        <v>0</v>
      </c>
      <c r="AZ29" s="1678"/>
      <c r="BA29" s="1678">
        <f>+AY29-AZ29</f>
        <v>0</v>
      </c>
      <c r="BB29" s="1679"/>
      <c r="BC29" s="1625">
        <f>+EDATE(BJ29,-1)</f>
        <v>46022</v>
      </c>
      <c r="BD29" s="1586"/>
      <c r="BE29" s="1677">
        <f>+IFERROR(BF29/$I29,"-")</f>
        <v>0</v>
      </c>
      <c r="BF29" s="1654">
        <f>+$I29*'PAYMENT RATIO_RAW'!AW$53</f>
        <v>0</v>
      </c>
      <c r="BG29" s="1678"/>
      <c r="BH29" s="1678">
        <f>+BF29-BG29</f>
        <v>0</v>
      </c>
      <c r="BI29" s="1679"/>
      <c r="BJ29" s="1625">
        <v>46053</v>
      </c>
      <c r="BK29" s="1586"/>
      <c r="BL29" s="1677">
        <f>+IFERROR(BM29/$I29,"-")</f>
        <v>0.5</v>
      </c>
      <c r="BM29" s="1654">
        <f>+$I29*'PAYMENT RATIO_RAW'!BD$53</f>
        <v>151201600</v>
      </c>
      <c r="BN29" s="1678"/>
      <c r="BO29" s="1678">
        <f>+BM29-BN29</f>
        <v>151201600</v>
      </c>
      <c r="BP29" s="1679"/>
      <c r="BQ29" s="1588"/>
      <c r="BR29" s="1587" t="b">
        <f>+P29+W29+AD29+AR29+AY29+BF29+BM29=I29</f>
        <v>1</v>
      </c>
      <c r="BS29" s="1587" t="b">
        <f>+Q29+X29+AE29+AS29+AZ29+BG29+BN29=K29</f>
        <v>1</v>
      </c>
      <c r="BT29" s="1587"/>
      <c r="BU29" s="401"/>
      <c r="BV29" s="401"/>
      <c r="BW29" s="401"/>
      <c r="BX29" s="401"/>
      <c r="BY29" s="401"/>
      <c r="BZ29" s="401"/>
      <c r="CA29" s="401"/>
      <c r="CB29" s="401"/>
      <c r="CC29" s="404"/>
      <c r="CD29" s="404"/>
    </row>
    <row r="30" spans="1:82" ht="13.5">
      <c r="A30" s="1649"/>
      <c r="B30" s="2517"/>
      <c r="C30" s="2520"/>
      <c r="D30" s="2518"/>
      <c r="E30" s="2518"/>
      <c r="F30" s="1661" t="s">
        <v>126</v>
      </c>
      <c r="G30" s="1597">
        <f>+'PAYMENT RATIO_RAW'!F54*$D$29/1000</f>
        <v>99968000</v>
      </c>
      <c r="H30" s="1597"/>
      <c r="I30" s="1597">
        <f t="shared" ref="I30:I33" si="113">SUM(G30:H30)</f>
        <v>99968000</v>
      </c>
      <c r="J30" s="1661">
        <f t="shared" si="0"/>
        <v>0.89700304097311134</v>
      </c>
      <c r="K30" s="1654">
        <f t="shared" si="3"/>
        <v>89671600</v>
      </c>
      <c r="L30" s="1654">
        <f t="shared" ref="L30:L33" si="114">+I30-K30</f>
        <v>10296400</v>
      </c>
      <c r="M30" s="1626">
        <v>45900</v>
      </c>
      <c r="N30" s="1626">
        <v>45845</v>
      </c>
      <c r="O30" s="1660">
        <f t="shared" si="94"/>
        <v>0.7</v>
      </c>
      <c r="P30" s="1654">
        <f>+$I30*'PAYMENT RATIO_RAW'!G$54</f>
        <v>69977600</v>
      </c>
      <c r="Q30" s="1654">
        <v>69678000</v>
      </c>
      <c r="R30" s="1654">
        <f t="shared" ref="R30:R34" si="115">+P30-Q30</f>
        <v>299600</v>
      </c>
      <c r="S30" s="1662"/>
      <c r="T30" s="1626">
        <v>45943</v>
      </c>
      <c r="U30" s="1626"/>
      <c r="V30" s="1660">
        <f t="shared" ref="V30:V32" si="116">+IFERROR(W30/$I30,"-")</f>
        <v>0.2</v>
      </c>
      <c r="W30" s="1654">
        <f>+$I30*'PAYMENT RATIO_RAW'!N$54</f>
        <v>19993600</v>
      </c>
      <c r="X30" s="1654">
        <f>+W30</f>
        <v>19993600</v>
      </c>
      <c r="Y30" s="1654">
        <f t="shared" ref="Y30:Y34" si="117">+W30-X30</f>
        <v>0</v>
      </c>
      <c r="Z30" s="1686"/>
      <c r="AA30" s="1626"/>
      <c r="AB30" s="1626"/>
      <c r="AC30" s="1660">
        <f t="shared" ref="AC30:AC32" si="118">+IFERROR(AD30/$I30,"-")</f>
        <v>0</v>
      </c>
      <c r="AD30" s="1654">
        <f>+$I30*'PAYMENT RATIO_RAW'!U$54</f>
        <v>0</v>
      </c>
      <c r="AE30" s="1654"/>
      <c r="AF30" s="1654">
        <f t="shared" ref="AF30:AF34" si="119">+AD30-AE30</f>
        <v>0</v>
      </c>
      <c r="AG30" s="1662"/>
      <c r="AH30" s="1626"/>
      <c r="AI30" s="1626"/>
      <c r="AJ30" s="1660">
        <f t="shared" ref="AJ30:AJ32" si="120">+IFERROR(AK30/$I30,"-")</f>
        <v>0</v>
      </c>
      <c r="AK30" s="1654"/>
      <c r="AL30" s="1654"/>
      <c r="AM30" s="1654">
        <f t="shared" ref="AM30:AM32" si="121">+AK30-AL30</f>
        <v>0</v>
      </c>
      <c r="AN30" s="1662"/>
      <c r="AO30" s="1626"/>
      <c r="AP30" s="1626"/>
      <c r="AQ30" s="1660"/>
      <c r="AR30" s="1654">
        <f>+$I30*'PAYMENT RATIO_RAW'!AI$54</f>
        <v>0</v>
      </c>
      <c r="AS30" s="1654"/>
      <c r="AT30" s="1654">
        <f t="shared" ref="AT30:AT32" si="122">+AR30-AS30</f>
        <v>0</v>
      </c>
      <c r="AU30" s="1662"/>
      <c r="AV30" s="1626"/>
      <c r="AW30" s="1626"/>
      <c r="AX30" s="1660"/>
      <c r="AY30" s="1654">
        <f>+$I30*'PAYMENT RATIO_RAW'!AP$54</f>
        <v>0</v>
      </c>
      <c r="AZ30" s="1654"/>
      <c r="BA30" s="1654">
        <f t="shared" ref="BA30:BA32" si="123">+AY30-AZ30</f>
        <v>0</v>
      </c>
      <c r="BB30" s="1662"/>
      <c r="BC30" s="1626"/>
      <c r="BD30" s="1626"/>
      <c r="BE30" s="1660">
        <f t="shared" si="14"/>
        <v>0</v>
      </c>
      <c r="BF30" s="1654">
        <f>+$I30*'PAYMENT RATIO_RAW'!AW$54</f>
        <v>0</v>
      </c>
      <c r="BG30" s="1654"/>
      <c r="BH30" s="1678">
        <f t="shared" ref="BH30:BH34" si="124">+BF30-BG30</f>
        <v>0</v>
      </c>
      <c r="BI30" s="1662"/>
      <c r="BJ30" s="1626">
        <v>46053</v>
      </c>
      <c r="BK30" s="1626"/>
      <c r="BL30" s="1660">
        <f t="shared" ref="BL30:BL33" si="125">+IFERROR(BM30/$I30,"-")</f>
        <v>0.1</v>
      </c>
      <c r="BM30" s="1654">
        <f>+$I30*'PAYMENT RATIO_RAW'!BD$54</f>
        <v>9996800</v>
      </c>
      <c r="BN30" s="1654"/>
      <c r="BO30" s="1654">
        <f t="shared" ref="BO30:BO34" si="126">+BM30-BN30</f>
        <v>9996800</v>
      </c>
      <c r="BP30" s="1662"/>
      <c r="BQ30" s="1588"/>
      <c r="BR30" s="1587" t="b">
        <f>+BM30+BF30+AY30+AR30+AD30+W30+P30=I30</f>
        <v>1</v>
      </c>
      <c r="BS30" s="1587" t="b">
        <f t="shared" ref="BS30" si="127">+Q30+X30+AE30+AS30+AZ30+BG30+BN30=K30</f>
        <v>1</v>
      </c>
      <c r="BT30" s="1587" t="b">
        <f>+BF30+BF32+AY30+AY32+AR30+AR32+AD30+AD32+W30+W32+P30+P32+BM30+BM32=('PAYMENT RATIO_RAW'!$F$54+'PAYMENT RATIO_RAW'!$F$56)*D29*1.1/1000</f>
        <v>0</v>
      </c>
      <c r="BU30" s="401"/>
      <c r="BV30" s="401"/>
      <c r="BW30" s="401"/>
      <c r="BX30" s="401"/>
      <c r="BY30" s="401"/>
      <c r="BZ30" s="401"/>
      <c r="CA30" s="401"/>
      <c r="CB30" s="401"/>
      <c r="CC30" s="404"/>
      <c r="CD30" s="404"/>
    </row>
    <row r="31" spans="1:82">
      <c r="A31" s="1649"/>
      <c r="B31" s="2517"/>
      <c r="C31" s="2520"/>
      <c r="D31" s="2518"/>
      <c r="E31" s="2518"/>
      <c r="F31" s="1661" t="s">
        <v>127</v>
      </c>
      <c r="G31" s="1597">
        <f>+$D$29*'PAYMENT RATIO_RAW'!F$55/1000</f>
        <v>0</v>
      </c>
      <c r="H31" s="1597">
        <f t="shared" ref="H31:H33" si="128">+G31*10%</f>
        <v>0</v>
      </c>
      <c r="I31" s="1597">
        <f t="shared" si="113"/>
        <v>0</v>
      </c>
      <c r="J31" s="1661" t="str">
        <f t="shared" si="0"/>
        <v>-</v>
      </c>
      <c r="K31" s="1654">
        <f t="shared" si="3"/>
        <v>0</v>
      </c>
      <c r="L31" s="1654">
        <f t="shared" si="114"/>
        <v>0</v>
      </c>
      <c r="M31" s="1626">
        <v>45900</v>
      </c>
      <c r="N31" s="1626"/>
      <c r="O31" s="1660" t="str">
        <f t="shared" si="94"/>
        <v>-</v>
      </c>
      <c r="P31" s="1654">
        <f>+$I31*'PAYMENT RATIO_RAW'!G$55</f>
        <v>0</v>
      </c>
      <c r="Q31" s="1654"/>
      <c r="R31" s="1654">
        <f t="shared" si="115"/>
        <v>0</v>
      </c>
      <c r="S31" s="1662"/>
      <c r="T31" s="1626"/>
      <c r="U31" s="1626"/>
      <c r="V31" s="1660" t="str">
        <f t="shared" si="116"/>
        <v>-</v>
      </c>
      <c r="W31" s="1654">
        <f>+$I31*'PAYMENT RATIO_RAW'!N$55</f>
        <v>0</v>
      </c>
      <c r="X31" s="1654"/>
      <c r="Y31" s="1654">
        <f t="shared" si="117"/>
        <v>0</v>
      </c>
      <c r="Z31" s="1662"/>
      <c r="AA31" s="1626"/>
      <c r="AB31" s="1626"/>
      <c r="AC31" s="1660" t="str">
        <f t="shared" si="118"/>
        <v>-</v>
      </c>
      <c r="AD31" s="1654">
        <f>+$I31*'PAYMENT RATIO_RAW'!U$55</f>
        <v>0</v>
      </c>
      <c r="AE31" s="1654"/>
      <c r="AF31" s="1654">
        <f t="shared" si="119"/>
        <v>0</v>
      </c>
      <c r="AG31" s="1662"/>
      <c r="AH31" s="1626"/>
      <c r="AI31" s="1626"/>
      <c r="AJ31" s="1660" t="str">
        <f t="shared" si="120"/>
        <v>-</v>
      </c>
      <c r="AK31" s="1654"/>
      <c r="AL31" s="1654"/>
      <c r="AM31" s="1654">
        <f t="shared" si="121"/>
        <v>0</v>
      </c>
      <c r="AN31" s="1662"/>
      <c r="AO31" s="1626"/>
      <c r="AP31" s="1626"/>
      <c r="AQ31" s="1660"/>
      <c r="AR31" s="1654">
        <f>+$I31*'PAYMENT RATIO_RAW'!AI$55</f>
        <v>0</v>
      </c>
      <c r="AS31" s="1654"/>
      <c r="AT31" s="1654">
        <f t="shared" si="122"/>
        <v>0</v>
      </c>
      <c r="AU31" s="1662"/>
      <c r="AV31" s="1626"/>
      <c r="AW31" s="1626"/>
      <c r="AX31" s="1660"/>
      <c r="AY31" s="1654">
        <f>+$I31*'PAYMENT RATIO_RAW'!AP$55</f>
        <v>0</v>
      </c>
      <c r="AZ31" s="1654"/>
      <c r="BA31" s="1654">
        <f t="shared" si="123"/>
        <v>0</v>
      </c>
      <c r="BB31" s="1662"/>
      <c r="BC31" s="1626"/>
      <c r="BD31" s="1626"/>
      <c r="BE31" s="1660" t="str">
        <f t="shared" si="14"/>
        <v>-</v>
      </c>
      <c r="BF31" s="1654">
        <f>+$I31*'PAYMENT RATIO_RAW'!AW$55</f>
        <v>0</v>
      </c>
      <c r="BG31" s="1654"/>
      <c r="BH31" s="1678">
        <f t="shared" si="124"/>
        <v>0</v>
      </c>
      <c r="BI31" s="1662"/>
      <c r="BJ31" s="1626"/>
      <c r="BK31" s="1626"/>
      <c r="BL31" s="1660" t="str">
        <f t="shared" si="125"/>
        <v>-</v>
      </c>
      <c r="BM31" s="1654">
        <f>+$I31*'PAYMENT RATIO_RAW'!BD$55</f>
        <v>0</v>
      </c>
      <c r="BN31" s="1654"/>
      <c r="BO31" s="1654">
        <f t="shared" si="126"/>
        <v>0</v>
      </c>
      <c r="BP31" s="1662"/>
      <c r="BQ31" s="1588"/>
      <c r="BR31" s="1587" t="b">
        <f>+P31+W31+AD31+AR31+AY31+BF31+BM31=I31</f>
        <v>1</v>
      </c>
      <c r="BS31" s="1587" t="b">
        <f>+Q31+X31+AE31+AS31+AZ31+BG31+BN31=K31</f>
        <v>1</v>
      </c>
      <c r="BT31" s="1587"/>
      <c r="BU31" s="401"/>
      <c r="BV31" s="401"/>
      <c r="BW31" s="401"/>
      <c r="BX31" s="401"/>
      <c r="BY31" s="401"/>
      <c r="BZ31" s="401"/>
      <c r="CA31" s="401"/>
      <c r="CB31" s="401"/>
      <c r="CC31" s="404"/>
      <c r="CD31" s="404"/>
    </row>
    <row r="32" spans="1:82">
      <c r="A32" s="1649"/>
      <c r="B32" s="2517"/>
      <c r="C32" s="2520"/>
      <c r="D32" s="2518"/>
      <c r="E32" s="2518"/>
      <c r="F32" s="1661" t="s">
        <v>128</v>
      </c>
      <c r="G32" s="1597">
        <f>+$D$29*'PAYMENT RATIO_RAW'!F$56/1000</f>
        <v>0</v>
      </c>
      <c r="H32" s="1680">
        <f t="shared" si="128"/>
        <v>0</v>
      </c>
      <c r="I32" s="1680">
        <f t="shared" si="113"/>
        <v>0</v>
      </c>
      <c r="J32" s="1661" t="str">
        <f t="shared" si="0"/>
        <v>-</v>
      </c>
      <c r="K32" s="1654">
        <f t="shared" si="3"/>
        <v>0</v>
      </c>
      <c r="L32" s="1654">
        <f t="shared" si="114"/>
        <v>0</v>
      </c>
      <c r="M32" s="1626">
        <v>45900</v>
      </c>
      <c r="N32" s="1585"/>
      <c r="O32" s="1660" t="str">
        <f t="shared" si="94"/>
        <v>-</v>
      </c>
      <c r="P32" s="1654">
        <f>+$I32*'PAYMENT RATIO_RAW'!G$56</f>
        <v>0</v>
      </c>
      <c r="Q32" s="1654"/>
      <c r="R32" s="1654">
        <f t="shared" si="115"/>
        <v>0</v>
      </c>
      <c r="S32" s="1662"/>
      <c r="T32" s="1626"/>
      <c r="U32" s="1585"/>
      <c r="V32" s="1660" t="str">
        <f t="shared" si="116"/>
        <v>-</v>
      </c>
      <c r="W32" s="1654">
        <f>+$I32*'PAYMENT RATIO_RAW'!N$56</f>
        <v>0</v>
      </c>
      <c r="X32" s="1654"/>
      <c r="Y32" s="1654">
        <f t="shared" si="117"/>
        <v>0</v>
      </c>
      <c r="Z32" s="1662"/>
      <c r="AA32" s="1626"/>
      <c r="AB32" s="1585"/>
      <c r="AC32" s="1660" t="str">
        <f t="shared" si="118"/>
        <v>-</v>
      </c>
      <c r="AD32" s="1654">
        <f>+$I32*'PAYMENT RATIO_RAW'!U$56</f>
        <v>0</v>
      </c>
      <c r="AE32" s="1654"/>
      <c r="AF32" s="1654">
        <f t="shared" si="119"/>
        <v>0</v>
      </c>
      <c r="AG32" s="1662"/>
      <c r="AH32" s="1585"/>
      <c r="AI32" s="1585"/>
      <c r="AJ32" s="1660" t="str">
        <f t="shared" si="120"/>
        <v>-</v>
      </c>
      <c r="AK32" s="1654"/>
      <c r="AL32" s="1654"/>
      <c r="AM32" s="1654">
        <f t="shared" si="121"/>
        <v>0</v>
      </c>
      <c r="AN32" s="1662"/>
      <c r="AO32" s="1626"/>
      <c r="AP32" s="1585"/>
      <c r="AQ32" s="1660"/>
      <c r="AR32" s="1654">
        <f>+$I32*'PAYMENT RATIO_RAW'!AI$56</f>
        <v>0</v>
      </c>
      <c r="AS32" s="1654"/>
      <c r="AT32" s="1654">
        <f t="shared" si="122"/>
        <v>0</v>
      </c>
      <c r="AU32" s="1662"/>
      <c r="AV32" s="1626"/>
      <c r="AW32" s="1585"/>
      <c r="AX32" s="1660"/>
      <c r="AY32" s="1654">
        <f>+$I32*'PAYMENT RATIO_RAW'!AP$56</f>
        <v>0</v>
      </c>
      <c r="AZ32" s="1654"/>
      <c r="BA32" s="1654">
        <f t="shared" si="123"/>
        <v>0</v>
      </c>
      <c r="BB32" s="1662"/>
      <c r="BC32" s="1626"/>
      <c r="BD32" s="1585"/>
      <c r="BE32" s="1660" t="str">
        <f t="shared" si="14"/>
        <v>-</v>
      </c>
      <c r="BF32" s="1654">
        <f>+$I32*'PAYMENT RATIO_RAW'!AW$56</f>
        <v>0</v>
      </c>
      <c r="BG32" s="1654"/>
      <c r="BH32" s="1678">
        <f t="shared" si="124"/>
        <v>0</v>
      </c>
      <c r="BI32" s="1662"/>
      <c r="BJ32" s="1626"/>
      <c r="BK32" s="1585"/>
      <c r="BL32" s="1660" t="str">
        <f t="shared" si="125"/>
        <v>-</v>
      </c>
      <c r="BM32" s="1654">
        <f>+$I32*'PAYMENT RATIO_RAW'!BD$56</f>
        <v>0</v>
      </c>
      <c r="BN32" s="1654"/>
      <c r="BO32" s="1654">
        <f t="shared" si="126"/>
        <v>0</v>
      </c>
      <c r="BP32" s="1662"/>
      <c r="BQ32" s="1588"/>
      <c r="BR32" s="1587" t="b">
        <f t="shared" ref="BR32:BR33" si="129">+P32+W32+AD32+AR32+AY32+BF32+BM32=I32</f>
        <v>1</v>
      </c>
      <c r="BS32" s="1587" t="b">
        <f t="shared" ref="BS32:BS33" si="130">+Q32+X32+AE32+AS32+AZ32+BG32+BN32=K32</f>
        <v>1</v>
      </c>
      <c r="BT32" s="1587"/>
      <c r="BU32" s="401"/>
      <c r="BV32" s="401"/>
      <c r="BW32" s="401"/>
      <c r="BX32" s="401"/>
      <c r="BY32" s="401"/>
      <c r="BZ32" s="401"/>
      <c r="CA32" s="401"/>
      <c r="CB32" s="401"/>
      <c r="CC32" s="404"/>
      <c r="CD32" s="404"/>
    </row>
    <row r="33" spans="1:82">
      <c r="A33" s="1649"/>
      <c r="B33" s="2517"/>
      <c r="C33" s="2520"/>
      <c r="D33" s="2518"/>
      <c r="E33" s="2518"/>
      <c r="F33" s="1627" t="s">
        <v>129</v>
      </c>
      <c r="G33" s="1680">
        <f>+'PAYMENT RATIO_RAW'!F57*D29/1000</f>
        <v>33739200</v>
      </c>
      <c r="H33" s="1680">
        <f t="shared" si="128"/>
        <v>3373920</v>
      </c>
      <c r="I33" s="1680">
        <f t="shared" si="113"/>
        <v>37113120</v>
      </c>
      <c r="J33" s="1627">
        <f t="shared" si="0"/>
        <v>0</v>
      </c>
      <c r="K33" s="1655">
        <f t="shared" si="3"/>
        <v>0</v>
      </c>
      <c r="L33" s="1655">
        <f t="shared" si="114"/>
        <v>37113120</v>
      </c>
      <c r="M33" s="1630"/>
      <c r="N33" s="1630"/>
      <c r="O33" s="1682"/>
      <c r="P33" s="1654">
        <f>+$I33*'PAYMENT RATIO_RAW'!G$57</f>
        <v>0</v>
      </c>
      <c r="Q33" s="1683"/>
      <c r="R33" s="1683">
        <f t="shared" si="115"/>
        <v>0</v>
      </c>
      <c r="S33" s="1630"/>
      <c r="T33" s="1629"/>
      <c r="U33" s="1630"/>
      <c r="V33" s="1682"/>
      <c r="W33" s="1654">
        <f>+$I33*'PAYMENT RATIO_RAW'!N$57</f>
        <v>0</v>
      </c>
      <c r="X33" s="1683"/>
      <c r="Y33" s="1683">
        <f t="shared" si="117"/>
        <v>0</v>
      </c>
      <c r="Z33" s="1630"/>
      <c r="AA33" s="1629"/>
      <c r="AB33" s="1630"/>
      <c r="AC33" s="1682"/>
      <c r="AD33" s="1654">
        <f>+$I33*'PAYMENT RATIO_RAW'!U$57</f>
        <v>0</v>
      </c>
      <c r="AE33" s="1683"/>
      <c r="AF33" s="1683">
        <f t="shared" si="119"/>
        <v>0</v>
      </c>
      <c r="AG33" s="1630"/>
      <c r="AH33" s="1629"/>
      <c r="AI33" s="1630"/>
      <c r="AJ33" s="1682"/>
      <c r="AK33" s="1683"/>
      <c r="AL33" s="1683"/>
      <c r="AM33" s="1683"/>
      <c r="AN33" s="1630"/>
      <c r="AO33" s="1629"/>
      <c r="AP33" s="1630"/>
      <c r="AQ33" s="1682"/>
      <c r="AR33" s="1654">
        <f>+$I33*'PAYMENT RATIO_RAW'!AI$57</f>
        <v>0</v>
      </c>
      <c r="AS33" s="1683"/>
      <c r="AT33" s="1683"/>
      <c r="AU33" s="1630"/>
      <c r="AV33" s="1629"/>
      <c r="AW33" s="1630"/>
      <c r="AX33" s="1682"/>
      <c r="AY33" s="1654">
        <f>+$I33*'PAYMENT RATIO_RAW'!AP$57</f>
        <v>0</v>
      </c>
      <c r="AZ33" s="1683"/>
      <c r="BA33" s="1683"/>
      <c r="BB33" s="1630"/>
      <c r="BC33" s="1629"/>
      <c r="BD33" s="1630"/>
      <c r="BE33" s="1682">
        <f t="shared" si="14"/>
        <v>0</v>
      </c>
      <c r="BF33" s="1654">
        <f>+$I33*'PAYMENT RATIO_RAW'!AW$57</f>
        <v>0</v>
      </c>
      <c r="BG33" s="1683"/>
      <c r="BH33" s="1678">
        <f t="shared" si="124"/>
        <v>0</v>
      </c>
      <c r="BI33" s="1630"/>
      <c r="BJ33" s="1626">
        <v>46053</v>
      </c>
      <c r="BK33" s="1630"/>
      <c r="BL33" s="1682">
        <f t="shared" si="125"/>
        <v>1</v>
      </c>
      <c r="BM33" s="1654">
        <f>+$I33*'PAYMENT RATIO_RAW'!BD$57</f>
        <v>37113120</v>
      </c>
      <c r="BN33" s="1683"/>
      <c r="BO33" s="1683">
        <f t="shared" si="126"/>
        <v>37113120</v>
      </c>
      <c r="BP33" s="1630"/>
      <c r="BQ33" s="1589"/>
      <c r="BR33" s="1591" t="b">
        <f t="shared" si="129"/>
        <v>1</v>
      </c>
      <c r="BS33" s="1592" t="b">
        <f t="shared" si="130"/>
        <v>1</v>
      </c>
      <c r="BT33" s="1592"/>
      <c r="BU33" s="401"/>
      <c r="BV33" s="401"/>
      <c r="BW33" s="401"/>
      <c r="BX33" s="401"/>
      <c r="BY33" s="401"/>
      <c r="BZ33" s="401"/>
      <c r="CA33" s="401"/>
      <c r="CB33" s="401"/>
      <c r="CC33" s="404"/>
      <c r="CD33" s="404"/>
    </row>
    <row r="34" spans="1:82">
      <c r="A34" s="1649"/>
      <c r="B34" s="2517"/>
      <c r="C34" s="2520"/>
      <c r="D34" s="2518"/>
      <c r="E34" s="2518"/>
      <c r="F34" s="419" t="s">
        <v>130</v>
      </c>
      <c r="G34" s="1628">
        <f>SUM(G29:G33)</f>
        <v>408619200</v>
      </c>
      <c r="H34" s="1628">
        <f>SUM(H29:H33)</f>
        <v>30865120</v>
      </c>
      <c r="I34" s="1628">
        <f t="shared" ref="I34" si="131">SUM(I29:I33)</f>
        <v>439484320</v>
      </c>
      <c r="J34" s="419">
        <f t="shared" si="0"/>
        <v>0.20403822370727584</v>
      </c>
      <c r="K34" s="1628">
        <f t="shared" ref="K34:L34" si="132">SUM(K29:K33)</f>
        <v>89671600</v>
      </c>
      <c r="L34" s="1628">
        <f t="shared" si="132"/>
        <v>349812720</v>
      </c>
      <c r="M34" s="419"/>
      <c r="N34" s="419"/>
      <c r="O34" s="1634">
        <f t="shared" si="94"/>
        <v>0.1592266135911288</v>
      </c>
      <c r="P34" s="1628">
        <f t="shared" ref="P34:Q34" si="133">SUM(P29:P33)</f>
        <v>69977600</v>
      </c>
      <c r="Q34" s="1628">
        <f t="shared" si="133"/>
        <v>69678000</v>
      </c>
      <c r="R34" s="1684">
        <f t="shared" si="115"/>
        <v>299600</v>
      </c>
      <c r="S34" s="419"/>
      <c r="T34" s="1631"/>
      <c r="U34" s="419"/>
      <c r="V34" s="1634">
        <f t="shared" ref="V34" si="134">+IFERROR(W34/$I34,"-")</f>
        <v>4.5493318168893945E-2</v>
      </c>
      <c r="W34" s="1628">
        <f t="shared" ref="W34:X34" si="135">SUM(W29:W33)</f>
        <v>19993600</v>
      </c>
      <c r="X34" s="1628">
        <f t="shared" si="135"/>
        <v>19993600</v>
      </c>
      <c r="Y34" s="1684">
        <f t="shared" si="117"/>
        <v>0</v>
      </c>
      <c r="Z34" s="419"/>
      <c r="AA34" s="1631"/>
      <c r="AB34" s="419"/>
      <c r="AC34" s="1634">
        <f t="shared" ref="AC34" si="136">+IFERROR(AD34/$I34,"-")</f>
        <v>0.34404321865226045</v>
      </c>
      <c r="AD34" s="1628">
        <f t="shared" ref="AD34:AE34" si="137">SUM(AD29:AD33)</f>
        <v>151201600</v>
      </c>
      <c r="AE34" s="1628">
        <f t="shared" si="137"/>
        <v>0</v>
      </c>
      <c r="AF34" s="1684">
        <f t="shared" si="119"/>
        <v>151201600</v>
      </c>
      <c r="AG34" s="419"/>
      <c r="AH34" s="1631"/>
      <c r="AI34" s="419"/>
      <c r="AJ34" s="1634">
        <f t="shared" ref="AJ34" si="138">+IFERROR(AK34/$I34,"-")</f>
        <v>0</v>
      </c>
      <c r="AK34" s="1628">
        <f t="shared" ref="AK34:AL34" si="139">SUM(AK29:AK33)</f>
        <v>0</v>
      </c>
      <c r="AL34" s="1628">
        <f t="shared" si="139"/>
        <v>0</v>
      </c>
      <c r="AM34" s="1684">
        <f t="shared" ref="AM34" si="140">+AK34-AL34</f>
        <v>0</v>
      </c>
      <c r="AN34" s="419"/>
      <c r="AO34" s="1631"/>
      <c r="AP34" s="419"/>
      <c r="AQ34" s="1634">
        <f t="shared" ref="AQ34" si="141">+IFERROR(AR34/$I34,"-")</f>
        <v>0</v>
      </c>
      <c r="AR34" s="1628">
        <f t="shared" ref="AR34" si="142">SUM(AR29:AR33)</f>
        <v>0</v>
      </c>
      <c r="AS34" s="1628">
        <f t="shared" ref="AS34" si="143">SUM(AS29:AS33)</f>
        <v>0</v>
      </c>
      <c r="AT34" s="1684">
        <f t="shared" ref="AT34" si="144">+AR34-AS34</f>
        <v>0</v>
      </c>
      <c r="AU34" s="419"/>
      <c r="AV34" s="1631"/>
      <c r="AW34" s="419"/>
      <c r="AX34" s="1634">
        <f t="shared" ref="AX34" si="145">+IFERROR(AY34/$I34,"-")</f>
        <v>0</v>
      </c>
      <c r="AY34" s="1628">
        <f t="shared" ref="AY34" si="146">SUM(AY29:AY33)</f>
        <v>0</v>
      </c>
      <c r="AZ34" s="1628">
        <f t="shared" ref="AZ34" si="147">SUM(AZ29:AZ33)</f>
        <v>0</v>
      </c>
      <c r="BA34" s="1684">
        <f t="shared" ref="BA34" si="148">+AY34-AZ34</f>
        <v>0</v>
      </c>
      <c r="BB34" s="419"/>
      <c r="BC34" s="1631"/>
      <c r="BD34" s="419"/>
      <c r="BE34" s="1634">
        <f t="shared" si="14"/>
        <v>0</v>
      </c>
      <c r="BF34" s="1628">
        <f t="shared" ref="BF34" si="149">SUM(BF29:BF33)</f>
        <v>0</v>
      </c>
      <c r="BG34" s="1628">
        <f t="shared" ref="BG34" si="150">SUM(BG29:BG33)</f>
        <v>0</v>
      </c>
      <c r="BH34" s="1684">
        <f t="shared" si="124"/>
        <v>0</v>
      </c>
      <c r="BI34" s="419"/>
      <c r="BJ34" s="1631"/>
      <c r="BK34" s="419"/>
      <c r="BL34" s="1634">
        <f t="shared" si="16"/>
        <v>0.45123684958771682</v>
      </c>
      <c r="BM34" s="1628">
        <f t="shared" ref="BM34:BN34" si="151">SUM(BM29:BM33)</f>
        <v>198311520</v>
      </c>
      <c r="BN34" s="1628">
        <f t="shared" si="151"/>
        <v>0</v>
      </c>
      <c r="BO34" s="1684">
        <f t="shared" si="126"/>
        <v>198311520</v>
      </c>
      <c r="BP34" s="419"/>
      <c r="BQ34" s="1589"/>
      <c r="BR34" s="1632"/>
      <c r="BS34" s="1633"/>
      <c r="BT34" s="1633"/>
      <c r="BU34" s="401"/>
      <c r="BV34" s="401"/>
      <c r="BW34" s="401"/>
      <c r="BX34" s="401"/>
      <c r="BY34" s="401"/>
      <c r="BZ34" s="401"/>
      <c r="CA34" s="401"/>
      <c r="CB34" s="401"/>
      <c r="CC34" s="404"/>
      <c r="CD34" s="404"/>
    </row>
    <row r="35" spans="1:82" ht="16.5" customHeight="1">
      <c r="A35" s="1649"/>
      <c r="B35" s="2514" t="s">
        <v>130</v>
      </c>
      <c r="C35" s="2514"/>
      <c r="D35" s="2516">
        <f>+SUM(D11:D34)</f>
        <v>1543.54</v>
      </c>
      <c r="E35" s="2514"/>
      <c r="F35" s="1673" t="s">
        <v>125</v>
      </c>
      <c r="G35" s="1656">
        <f>+G11+G17+G23+G29</f>
        <v>1697894000</v>
      </c>
      <c r="H35" s="1656">
        <f>+H11+H17+H23+H29</f>
        <v>169789400</v>
      </c>
      <c r="I35" s="1656">
        <f>SUM(G35:H35)</f>
        <v>1867683400</v>
      </c>
      <c r="J35" s="1673">
        <f t="shared" si="0"/>
        <v>0</v>
      </c>
      <c r="K35" s="1656">
        <f t="shared" ref="K35:L39" si="152">+K11+K17+K23+K29</f>
        <v>0</v>
      </c>
      <c r="L35" s="1656">
        <f t="shared" si="152"/>
        <v>1867683400</v>
      </c>
      <c r="M35" s="1635"/>
      <c r="N35" s="1635"/>
      <c r="O35" s="1674">
        <f>+IFERROR(P35/$I35,"-")</f>
        <v>0</v>
      </c>
      <c r="P35" s="1656">
        <f t="shared" ref="P35:R39" si="153">+P11+P17+P23+P29</f>
        <v>0</v>
      </c>
      <c r="Q35" s="1656">
        <f t="shared" si="153"/>
        <v>0</v>
      </c>
      <c r="R35" s="1656">
        <f t="shared" si="153"/>
        <v>0</v>
      </c>
      <c r="S35" s="1675"/>
      <c r="T35" s="1635"/>
      <c r="U35" s="1635"/>
      <c r="V35" s="1674">
        <f>+IFERROR(W35/$I35,"-")</f>
        <v>0</v>
      </c>
      <c r="W35" s="1656">
        <f t="shared" ref="W35:Y39" si="154">+W11+W17+W23+W29</f>
        <v>0</v>
      </c>
      <c r="X35" s="1656">
        <f t="shared" si="154"/>
        <v>0</v>
      </c>
      <c r="Y35" s="1656">
        <f t="shared" si="154"/>
        <v>0</v>
      </c>
      <c r="Z35" s="1675"/>
      <c r="AA35" s="1635">
        <v>45950</v>
      </c>
      <c r="AB35" s="1635"/>
      <c r="AC35" s="1674">
        <f>+IFERROR(AD35/$I35,"-")</f>
        <v>0.5</v>
      </c>
      <c r="AD35" s="1656">
        <f t="shared" ref="AD35:AF39" si="155">+AD11+AD17+AD23+AD29</f>
        <v>933841700</v>
      </c>
      <c r="AE35" s="1656">
        <f t="shared" si="155"/>
        <v>0</v>
      </c>
      <c r="AF35" s="1656">
        <f t="shared" si="155"/>
        <v>933841700</v>
      </c>
      <c r="AG35" s="1675"/>
      <c r="AH35" s="1635"/>
      <c r="AI35" s="1635"/>
      <c r="AJ35" s="1674">
        <f>+IFERROR(AK35/$I35,"-")</f>
        <v>0</v>
      </c>
      <c r="AK35" s="1656">
        <f t="shared" ref="AK35:AL35" si="156">+AK11+AK17+AK23+AK29</f>
        <v>0</v>
      </c>
      <c r="AL35" s="1656">
        <f t="shared" si="156"/>
        <v>0</v>
      </c>
      <c r="AM35" s="1656">
        <f>+AK35-AL35</f>
        <v>0</v>
      </c>
      <c r="AN35" s="1675"/>
      <c r="AO35" s="1635"/>
      <c r="AP35" s="1635"/>
      <c r="AQ35" s="1674">
        <f>+IFERROR(AR35/$I35,"-")</f>
        <v>0</v>
      </c>
      <c r="AR35" s="1656">
        <f t="shared" ref="AR35:AT39" si="157">+AR11+AR17+AR23+AR29</f>
        <v>0</v>
      </c>
      <c r="AS35" s="1656">
        <f t="shared" si="157"/>
        <v>0</v>
      </c>
      <c r="AT35" s="1656">
        <f t="shared" si="157"/>
        <v>0</v>
      </c>
      <c r="AU35" s="1675"/>
      <c r="AV35" s="1635"/>
      <c r="AW35" s="1635"/>
      <c r="AX35" s="1674">
        <f>+IFERROR(AY35/$I35,"-")</f>
        <v>0</v>
      </c>
      <c r="AY35" s="1656">
        <f t="shared" ref="AY35:BA39" si="158">+AY11+AY17+AY23+AY29</f>
        <v>0</v>
      </c>
      <c r="AZ35" s="1656">
        <f t="shared" si="158"/>
        <v>0</v>
      </c>
      <c r="BA35" s="1656">
        <f t="shared" si="158"/>
        <v>0</v>
      </c>
      <c r="BB35" s="1675"/>
      <c r="BC35" s="1635"/>
      <c r="BD35" s="1635"/>
      <c r="BE35" s="1674">
        <f>+IFERROR(BF35/$I35,"-")</f>
        <v>0</v>
      </c>
      <c r="BF35" s="1656">
        <f t="shared" ref="BF35:BH39" si="159">+BF11+BF17+BF23+BF29</f>
        <v>0</v>
      </c>
      <c r="BG35" s="1656">
        <f t="shared" si="159"/>
        <v>0</v>
      </c>
      <c r="BH35" s="1656">
        <f t="shared" si="159"/>
        <v>0</v>
      </c>
      <c r="BI35" s="1675"/>
      <c r="BJ35" s="1635">
        <v>46053</v>
      </c>
      <c r="BK35" s="1635"/>
      <c r="BL35" s="1674">
        <f>+IFERROR(BM35/$I35,"-")</f>
        <v>0.5</v>
      </c>
      <c r="BM35" s="1656">
        <f t="shared" ref="BM35:BO39" si="160">+BM11+BM17+BM23+BM29</f>
        <v>933841700</v>
      </c>
      <c r="BN35" s="1656">
        <f t="shared" si="160"/>
        <v>0</v>
      </c>
      <c r="BO35" s="1656">
        <f t="shared" si="160"/>
        <v>933841700</v>
      </c>
      <c r="BP35" s="1675"/>
      <c r="BQ35" s="1588"/>
      <c r="BR35" s="1641" t="b">
        <f>+P35+W35+AD35+AR35+AY35+BF35+BM35=I35</f>
        <v>1</v>
      </c>
      <c r="BS35" s="1641" t="b">
        <f>+Q35+X35+AE35+AS35+AZ35+BG35+BN35=K35</f>
        <v>1</v>
      </c>
      <c r="BT35" s="1641"/>
      <c r="BU35" s="401"/>
      <c r="BV35" s="401"/>
      <c r="BW35" s="401"/>
      <c r="BX35" s="401"/>
      <c r="BY35" s="401"/>
      <c r="BZ35" s="401"/>
      <c r="CA35" s="401"/>
      <c r="CB35" s="401"/>
      <c r="CC35" s="404"/>
      <c r="CD35" s="404"/>
    </row>
    <row r="36" spans="1:82">
      <c r="A36" s="1649"/>
      <c r="B36" s="2514"/>
      <c r="C36" s="2514"/>
      <c r="D36" s="2516"/>
      <c r="E36" s="2514"/>
      <c r="F36" s="1665" t="s">
        <v>126</v>
      </c>
      <c r="G36" s="1656">
        <f t="shared" ref="G36:G39" si="161">+G12+G18+G24+G30</f>
        <v>617416000</v>
      </c>
      <c r="H36" s="1656">
        <f t="shared" ref="H36" si="162">+H12+H18+H24+H30</f>
        <v>0</v>
      </c>
      <c r="I36" s="1656">
        <f t="shared" ref="I36:I39" si="163">SUM(G36:H36)</f>
        <v>617416000</v>
      </c>
      <c r="J36" s="1665">
        <f t="shared" si="0"/>
        <v>0.89998185988053436</v>
      </c>
      <c r="K36" s="1656">
        <f t="shared" si="152"/>
        <v>555663200</v>
      </c>
      <c r="L36" s="1656">
        <f t="shared" si="152"/>
        <v>61752800</v>
      </c>
      <c r="M36" s="1636"/>
      <c r="N36" s="1636"/>
      <c r="O36" s="1664">
        <f t="shared" ref="O36:O40" si="164">+IFERROR(P36/$I36,"-")</f>
        <v>0.7</v>
      </c>
      <c r="P36" s="1656">
        <f t="shared" si="153"/>
        <v>432191200</v>
      </c>
      <c r="Q36" s="1656">
        <f t="shared" si="153"/>
        <v>432180000</v>
      </c>
      <c r="R36" s="1656">
        <f t="shared" si="153"/>
        <v>11200</v>
      </c>
      <c r="S36" s="1666"/>
      <c r="T36" s="1636"/>
      <c r="U36" s="1636"/>
      <c r="V36" s="1664">
        <f t="shared" ref="V36:V40" si="165">+IFERROR(W36/$I36,"-")</f>
        <v>0.2</v>
      </c>
      <c r="W36" s="1656">
        <f t="shared" si="154"/>
        <v>123483200</v>
      </c>
      <c r="X36" s="1656">
        <f t="shared" si="154"/>
        <v>123483200</v>
      </c>
      <c r="Y36" s="1656">
        <f t="shared" si="154"/>
        <v>0</v>
      </c>
      <c r="Z36" s="1666"/>
      <c r="AA36" s="1636"/>
      <c r="AB36" s="1636"/>
      <c r="AC36" s="1664">
        <f t="shared" ref="AC36:AC40" si="166">+IFERROR(AD36/$I36,"-")</f>
        <v>0</v>
      </c>
      <c r="AD36" s="1656">
        <f t="shared" si="155"/>
        <v>0</v>
      </c>
      <c r="AE36" s="1656">
        <f t="shared" si="155"/>
        <v>0</v>
      </c>
      <c r="AF36" s="1656">
        <f t="shared" si="155"/>
        <v>0</v>
      </c>
      <c r="AG36" s="1666"/>
      <c r="AH36" s="1636"/>
      <c r="AI36" s="1636"/>
      <c r="AJ36" s="1664">
        <f t="shared" ref="AJ36:AJ40" si="167">+IFERROR(AK36/$I36,"-")</f>
        <v>0</v>
      </c>
      <c r="AK36" s="1656">
        <f t="shared" ref="AK36:AL36" si="168">+AK12+AK18+AK24+AK30</f>
        <v>0</v>
      </c>
      <c r="AL36" s="1656">
        <f t="shared" si="168"/>
        <v>0</v>
      </c>
      <c r="AM36" s="1657">
        <f t="shared" ref="AM36:AM40" si="169">+AK36-AL36</f>
        <v>0</v>
      </c>
      <c r="AN36" s="1666"/>
      <c r="AO36" s="1636"/>
      <c r="AP36" s="1636"/>
      <c r="AQ36" s="1664">
        <f t="shared" ref="AQ36:AQ40" si="170">+IFERROR(AR36/$I36,"-")</f>
        <v>0</v>
      </c>
      <c r="AR36" s="1656">
        <f t="shared" si="157"/>
        <v>0</v>
      </c>
      <c r="AS36" s="1656">
        <f t="shared" si="157"/>
        <v>0</v>
      </c>
      <c r="AT36" s="1656">
        <f t="shared" si="157"/>
        <v>0</v>
      </c>
      <c r="AU36" s="1666"/>
      <c r="AV36" s="1636"/>
      <c r="AW36" s="1636"/>
      <c r="AX36" s="1664">
        <f t="shared" ref="AX36:AX40" si="171">+IFERROR(AY36/$I36,"-")</f>
        <v>0</v>
      </c>
      <c r="AY36" s="1656">
        <f t="shared" si="158"/>
        <v>0</v>
      </c>
      <c r="AZ36" s="1656">
        <f t="shared" si="158"/>
        <v>0</v>
      </c>
      <c r="BA36" s="1656">
        <f t="shared" si="158"/>
        <v>0</v>
      </c>
      <c r="BB36" s="1666"/>
      <c r="BC36" s="1636"/>
      <c r="BD36" s="1636"/>
      <c r="BE36" s="1664">
        <f t="shared" ref="BE36:BE40" si="172">+IFERROR(BF36/$I36,"-")</f>
        <v>0</v>
      </c>
      <c r="BF36" s="1656">
        <f t="shared" si="159"/>
        <v>0</v>
      </c>
      <c r="BG36" s="1656">
        <f t="shared" si="159"/>
        <v>0</v>
      </c>
      <c r="BH36" s="1656">
        <f t="shared" si="159"/>
        <v>0</v>
      </c>
      <c r="BI36" s="1666"/>
      <c r="BJ36" s="1636">
        <v>46053</v>
      </c>
      <c r="BK36" s="1636"/>
      <c r="BL36" s="1664">
        <f t="shared" ref="BL36:BL40" si="173">+IFERROR(BM36/$I36,"-")</f>
        <v>0.1</v>
      </c>
      <c r="BM36" s="1656">
        <f t="shared" si="160"/>
        <v>61741600</v>
      </c>
      <c r="BN36" s="1656">
        <f t="shared" si="160"/>
        <v>0</v>
      </c>
      <c r="BO36" s="1656">
        <f t="shared" si="160"/>
        <v>61741600</v>
      </c>
      <c r="BP36" s="1666"/>
      <c r="BQ36" s="1588"/>
      <c r="BR36" s="1641" t="b">
        <f t="shared" ref="BR36" si="174">+P36+W36+AD36+AR36+AY36+BF36+BM36=I36</f>
        <v>1</v>
      </c>
      <c r="BS36" s="1641" t="b">
        <f t="shared" ref="BS36:BS39" si="175">+Q36+X36+AE36+AS36+AZ36+BG36+BN36=K36</f>
        <v>1</v>
      </c>
      <c r="BT36" s="1641"/>
      <c r="BU36" s="401"/>
      <c r="BV36" s="401"/>
      <c r="BW36" s="401"/>
      <c r="BX36" s="401"/>
      <c r="BY36" s="401"/>
      <c r="BZ36" s="401"/>
      <c r="CA36" s="401"/>
      <c r="CB36" s="401"/>
      <c r="CC36" s="404"/>
      <c r="CD36" s="404"/>
    </row>
    <row r="37" spans="1:82">
      <c r="A37" s="1649"/>
      <c r="B37" s="2514"/>
      <c r="C37" s="2514"/>
      <c r="D37" s="2516"/>
      <c r="E37" s="2514"/>
      <c r="F37" s="1665" t="s">
        <v>127</v>
      </c>
      <c r="G37" s="1656">
        <f t="shared" si="161"/>
        <v>0</v>
      </c>
      <c r="H37" s="1656">
        <f t="shared" ref="H37" si="176">+H13+H19+H25+H31</f>
        <v>0</v>
      </c>
      <c r="I37" s="1656">
        <f t="shared" si="163"/>
        <v>0</v>
      </c>
      <c r="J37" s="1665" t="str">
        <f t="shared" si="0"/>
        <v>-</v>
      </c>
      <c r="K37" s="1656">
        <f t="shared" si="152"/>
        <v>0</v>
      </c>
      <c r="L37" s="1656">
        <f t="shared" si="152"/>
        <v>0</v>
      </c>
      <c r="M37" s="1636"/>
      <c r="N37" s="1636"/>
      <c r="O37" s="1664" t="str">
        <f t="shared" si="164"/>
        <v>-</v>
      </c>
      <c r="P37" s="1656">
        <f t="shared" si="153"/>
        <v>0</v>
      </c>
      <c r="Q37" s="1656">
        <f t="shared" si="153"/>
        <v>0</v>
      </c>
      <c r="R37" s="1656">
        <f t="shared" si="153"/>
        <v>0</v>
      </c>
      <c r="S37" s="1666"/>
      <c r="T37" s="1636"/>
      <c r="U37" s="1636"/>
      <c r="V37" s="1664" t="str">
        <f t="shared" si="165"/>
        <v>-</v>
      </c>
      <c r="W37" s="1656">
        <f t="shared" si="154"/>
        <v>0</v>
      </c>
      <c r="X37" s="1656">
        <f t="shared" si="154"/>
        <v>0</v>
      </c>
      <c r="Y37" s="1656">
        <f t="shared" si="154"/>
        <v>0</v>
      </c>
      <c r="Z37" s="1666"/>
      <c r="AA37" s="1636"/>
      <c r="AB37" s="1636"/>
      <c r="AC37" s="1664" t="str">
        <f t="shared" si="166"/>
        <v>-</v>
      </c>
      <c r="AD37" s="1656">
        <f t="shared" si="155"/>
        <v>0</v>
      </c>
      <c r="AE37" s="1656">
        <f t="shared" si="155"/>
        <v>0</v>
      </c>
      <c r="AF37" s="1656">
        <f t="shared" si="155"/>
        <v>0</v>
      </c>
      <c r="AG37" s="1666"/>
      <c r="AH37" s="1636"/>
      <c r="AI37" s="1636"/>
      <c r="AJ37" s="1664" t="str">
        <f t="shared" si="167"/>
        <v>-</v>
      </c>
      <c r="AK37" s="1656">
        <f t="shared" ref="AK37:AL37" si="177">+AK13+AK19+AK25+AK31</f>
        <v>0</v>
      </c>
      <c r="AL37" s="1656">
        <f t="shared" si="177"/>
        <v>0</v>
      </c>
      <c r="AM37" s="1657">
        <f t="shared" si="169"/>
        <v>0</v>
      </c>
      <c r="AN37" s="1666"/>
      <c r="AO37" s="1636"/>
      <c r="AP37" s="1636"/>
      <c r="AQ37" s="1664" t="str">
        <f t="shared" si="170"/>
        <v>-</v>
      </c>
      <c r="AR37" s="1656">
        <f t="shared" si="157"/>
        <v>0</v>
      </c>
      <c r="AS37" s="1656">
        <f t="shared" si="157"/>
        <v>0</v>
      </c>
      <c r="AT37" s="1656">
        <f t="shared" si="157"/>
        <v>0</v>
      </c>
      <c r="AU37" s="1666"/>
      <c r="AV37" s="1636"/>
      <c r="AW37" s="1636"/>
      <c r="AX37" s="1664" t="str">
        <f t="shared" si="171"/>
        <v>-</v>
      </c>
      <c r="AY37" s="1656">
        <f t="shared" si="158"/>
        <v>0</v>
      </c>
      <c r="AZ37" s="1656">
        <f t="shared" si="158"/>
        <v>0</v>
      </c>
      <c r="BA37" s="1656">
        <f t="shared" si="158"/>
        <v>0</v>
      </c>
      <c r="BB37" s="1666"/>
      <c r="BC37" s="1636"/>
      <c r="BD37" s="1636"/>
      <c r="BE37" s="1664" t="str">
        <f t="shared" si="172"/>
        <v>-</v>
      </c>
      <c r="BF37" s="1656">
        <f t="shared" si="159"/>
        <v>0</v>
      </c>
      <c r="BG37" s="1656">
        <f t="shared" si="159"/>
        <v>0</v>
      </c>
      <c r="BH37" s="1656">
        <f t="shared" si="159"/>
        <v>0</v>
      </c>
      <c r="BI37" s="1666"/>
      <c r="BJ37" s="1636">
        <v>46053</v>
      </c>
      <c r="BK37" s="1636"/>
      <c r="BL37" s="1664" t="str">
        <f t="shared" si="173"/>
        <v>-</v>
      </c>
      <c r="BM37" s="1656">
        <f t="shared" si="160"/>
        <v>0</v>
      </c>
      <c r="BN37" s="1656">
        <f t="shared" si="160"/>
        <v>0</v>
      </c>
      <c r="BO37" s="1656">
        <f t="shared" si="160"/>
        <v>0</v>
      </c>
      <c r="BP37" s="1666"/>
      <c r="BQ37" s="1588"/>
      <c r="BR37" s="1641" t="b">
        <f>+P37+W37+AD37+AR37+AY37+BF37+BM37=I37</f>
        <v>1</v>
      </c>
      <c r="BS37" s="1641" t="b">
        <f t="shared" si="175"/>
        <v>1</v>
      </c>
      <c r="BT37" s="1641"/>
      <c r="BU37" s="401"/>
      <c r="BV37" s="401"/>
      <c r="BW37" s="401"/>
      <c r="BX37" s="401"/>
      <c r="BY37" s="401"/>
      <c r="BZ37" s="401"/>
      <c r="CA37" s="401"/>
      <c r="CB37" s="401"/>
      <c r="CC37" s="404"/>
      <c r="CD37" s="404"/>
    </row>
    <row r="38" spans="1:82" ht="16.5" customHeight="1">
      <c r="A38" s="1649"/>
      <c r="B38" s="2514"/>
      <c r="C38" s="2514"/>
      <c r="D38" s="2516"/>
      <c r="E38" s="2514"/>
      <c r="F38" s="1665" t="s">
        <v>128</v>
      </c>
      <c r="G38" s="1656">
        <f t="shared" si="161"/>
        <v>0</v>
      </c>
      <c r="H38" s="1656">
        <f t="shared" ref="H38" si="178">+H14+H20+H26+H32</f>
        <v>0</v>
      </c>
      <c r="I38" s="1656">
        <f>SUM(G38:H38)</f>
        <v>0</v>
      </c>
      <c r="J38" s="1665" t="str">
        <f t="shared" si="0"/>
        <v>-</v>
      </c>
      <c r="K38" s="1656">
        <f t="shared" si="152"/>
        <v>0</v>
      </c>
      <c r="L38" s="1656">
        <f t="shared" si="152"/>
        <v>0</v>
      </c>
      <c r="M38" s="1636"/>
      <c r="N38" s="1636"/>
      <c r="O38" s="1664" t="str">
        <f t="shared" si="164"/>
        <v>-</v>
      </c>
      <c r="P38" s="1656">
        <f t="shared" si="153"/>
        <v>0</v>
      </c>
      <c r="Q38" s="1656">
        <f t="shared" si="153"/>
        <v>0</v>
      </c>
      <c r="R38" s="1656">
        <f t="shared" si="153"/>
        <v>0</v>
      </c>
      <c r="S38" s="1666"/>
      <c r="T38" s="1636"/>
      <c r="U38" s="1636"/>
      <c r="V38" s="1664" t="str">
        <f t="shared" si="165"/>
        <v>-</v>
      </c>
      <c r="W38" s="1656">
        <f t="shared" si="154"/>
        <v>0</v>
      </c>
      <c r="X38" s="1656">
        <f t="shared" si="154"/>
        <v>0</v>
      </c>
      <c r="Y38" s="1656">
        <f t="shared" si="154"/>
        <v>0</v>
      </c>
      <c r="Z38" s="1666"/>
      <c r="AA38" s="1636"/>
      <c r="AB38" s="1636"/>
      <c r="AC38" s="1664" t="str">
        <f t="shared" si="166"/>
        <v>-</v>
      </c>
      <c r="AD38" s="1656">
        <f t="shared" si="155"/>
        <v>0</v>
      </c>
      <c r="AE38" s="1656">
        <f t="shared" si="155"/>
        <v>0</v>
      </c>
      <c r="AF38" s="1656">
        <f t="shared" si="155"/>
        <v>0</v>
      </c>
      <c r="AG38" s="1666"/>
      <c r="AH38" s="1636"/>
      <c r="AI38" s="1636"/>
      <c r="AJ38" s="1664" t="str">
        <f t="shared" si="167"/>
        <v>-</v>
      </c>
      <c r="AK38" s="1656">
        <f t="shared" ref="AK38:AL38" si="179">+AK14+AK20+AK26+AK32</f>
        <v>0</v>
      </c>
      <c r="AL38" s="1656">
        <f t="shared" si="179"/>
        <v>0</v>
      </c>
      <c r="AM38" s="1657">
        <f t="shared" si="169"/>
        <v>0</v>
      </c>
      <c r="AN38" s="1666"/>
      <c r="AO38" s="1636"/>
      <c r="AP38" s="1636"/>
      <c r="AQ38" s="1664" t="str">
        <f t="shared" si="170"/>
        <v>-</v>
      </c>
      <c r="AR38" s="1656">
        <f t="shared" si="157"/>
        <v>0</v>
      </c>
      <c r="AS38" s="1656">
        <f t="shared" si="157"/>
        <v>0</v>
      </c>
      <c r="AT38" s="1656">
        <f t="shared" si="157"/>
        <v>0</v>
      </c>
      <c r="AU38" s="1666"/>
      <c r="AV38" s="1636"/>
      <c r="AW38" s="1636"/>
      <c r="AX38" s="1664" t="str">
        <f t="shared" si="171"/>
        <v>-</v>
      </c>
      <c r="AY38" s="1656">
        <f t="shared" si="158"/>
        <v>0</v>
      </c>
      <c r="AZ38" s="1656">
        <f t="shared" si="158"/>
        <v>0</v>
      </c>
      <c r="BA38" s="1656">
        <f t="shared" si="158"/>
        <v>0</v>
      </c>
      <c r="BB38" s="1666"/>
      <c r="BC38" s="1636"/>
      <c r="BD38" s="1636"/>
      <c r="BE38" s="1664" t="str">
        <f t="shared" si="172"/>
        <v>-</v>
      </c>
      <c r="BF38" s="1656">
        <f t="shared" si="159"/>
        <v>0</v>
      </c>
      <c r="BG38" s="1656">
        <f t="shared" si="159"/>
        <v>0</v>
      </c>
      <c r="BH38" s="1656">
        <f t="shared" si="159"/>
        <v>0</v>
      </c>
      <c r="BI38" s="1666"/>
      <c r="BJ38" s="1636">
        <v>46053</v>
      </c>
      <c r="BK38" s="1636"/>
      <c r="BL38" s="1664" t="str">
        <f t="shared" si="173"/>
        <v>-</v>
      </c>
      <c r="BM38" s="1656">
        <f t="shared" si="160"/>
        <v>0</v>
      </c>
      <c r="BN38" s="1656">
        <f t="shared" si="160"/>
        <v>0</v>
      </c>
      <c r="BO38" s="1656">
        <f t="shared" si="160"/>
        <v>0</v>
      </c>
      <c r="BP38" s="1666"/>
      <c r="BQ38" s="1588"/>
      <c r="BR38" s="1641" t="b">
        <f t="shared" ref="BR38:BR39" si="180">+P38+W38+AD38+AR38+AY38+BF38+BM38=I38</f>
        <v>1</v>
      </c>
      <c r="BS38" s="1641" t="b">
        <f t="shared" si="175"/>
        <v>1</v>
      </c>
      <c r="BT38" s="1641"/>
      <c r="BU38" s="401"/>
      <c r="BV38" s="401"/>
      <c r="BW38" s="401"/>
      <c r="BX38" s="401"/>
      <c r="BY38" s="401"/>
      <c r="BZ38" s="401"/>
      <c r="CA38" s="401"/>
      <c r="CB38" s="401"/>
      <c r="CC38" s="404"/>
      <c r="CD38" s="404"/>
    </row>
    <row r="39" spans="1:82" ht="16.5" customHeight="1">
      <c r="A39" s="1649"/>
      <c r="B39" s="2514"/>
      <c r="C39" s="2514"/>
      <c r="D39" s="2516"/>
      <c r="E39" s="2514"/>
      <c r="F39" s="1667" t="s">
        <v>129</v>
      </c>
      <c r="G39" s="1656">
        <f t="shared" si="161"/>
        <v>208377900</v>
      </c>
      <c r="H39" s="1656">
        <f t="shared" ref="H39" si="181">+H15+H21+H27+H33</f>
        <v>20837790</v>
      </c>
      <c r="I39" s="1656">
        <f t="shared" si="163"/>
        <v>229215690</v>
      </c>
      <c r="J39" s="1667">
        <f t="shared" si="0"/>
        <v>3.6570480842738125E-2</v>
      </c>
      <c r="K39" s="1656">
        <f t="shared" si="152"/>
        <v>8382528</v>
      </c>
      <c r="L39" s="1656">
        <f t="shared" si="152"/>
        <v>220833162</v>
      </c>
      <c r="M39" s="1667"/>
      <c r="N39" s="1667"/>
      <c r="O39" s="1668">
        <f t="shared" si="164"/>
        <v>0</v>
      </c>
      <c r="P39" s="1656">
        <f t="shared" si="153"/>
        <v>0</v>
      </c>
      <c r="Q39" s="1656">
        <f t="shared" si="153"/>
        <v>8382528</v>
      </c>
      <c r="R39" s="1656">
        <f t="shared" si="153"/>
        <v>-8382528</v>
      </c>
      <c r="S39" s="1667"/>
      <c r="T39" s="1667"/>
      <c r="U39" s="1667"/>
      <c r="V39" s="1668">
        <f t="shared" si="165"/>
        <v>0</v>
      </c>
      <c r="W39" s="1656">
        <f t="shared" si="154"/>
        <v>0</v>
      </c>
      <c r="X39" s="1656">
        <f t="shared" si="154"/>
        <v>0</v>
      </c>
      <c r="Y39" s="1656">
        <f t="shared" si="154"/>
        <v>0</v>
      </c>
      <c r="Z39" s="1667"/>
      <c r="AA39" s="1667"/>
      <c r="AB39" s="1667"/>
      <c r="AC39" s="1668">
        <f t="shared" si="166"/>
        <v>0</v>
      </c>
      <c r="AD39" s="1656">
        <f t="shared" si="155"/>
        <v>0</v>
      </c>
      <c r="AE39" s="1656">
        <f t="shared" si="155"/>
        <v>0</v>
      </c>
      <c r="AF39" s="1656">
        <f t="shared" si="155"/>
        <v>0</v>
      </c>
      <c r="AG39" s="1667"/>
      <c r="AH39" s="1667"/>
      <c r="AI39" s="1667"/>
      <c r="AJ39" s="1668">
        <f t="shared" si="167"/>
        <v>0</v>
      </c>
      <c r="AK39" s="1656">
        <f t="shared" ref="AK39:AL39" si="182">+AK15+AK21+AK27+AK33</f>
        <v>0</v>
      </c>
      <c r="AL39" s="1656">
        <f t="shared" si="182"/>
        <v>0</v>
      </c>
      <c r="AM39" s="1658">
        <f t="shared" si="169"/>
        <v>0</v>
      </c>
      <c r="AN39" s="1667"/>
      <c r="AO39" s="1667"/>
      <c r="AP39" s="1667"/>
      <c r="AQ39" s="1668">
        <f t="shared" si="170"/>
        <v>0</v>
      </c>
      <c r="AR39" s="1656">
        <f t="shared" si="157"/>
        <v>0</v>
      </c>
      <c r="AS39" s="1656">
        <f t="shared" si="157"/>
        <v>0</v>
      </c>
      <c r="AT39" s="1656">
        <f t="shared" si="157"/>
        <v>0</v>
      </c>
      <c r="AU39" s="1667"/>
      <c r="AV39" s="1667"/>
      <c r="AW39" s="1667"/>
      <c r="AX39" s="1668">
        <f t="shared" si="171"/>
        <v>0</v>
      </c>
      <c r="AY39" s="1656">
        <f t="shared" si="158"/>
        <v>0</v>
      </c>
      <c r="AZ39" s="1656">
        <f t="shared" si="158"/>
        <v>0</v>
      </c>
      <c r="BA39" s="1656">
        <f t="shared" si="158"/>
        <v>0</v>
      </c>
      <c r="BB39" s="1667"/>
      <c r="BC39" s="1667"/>
      <c r="BD39" s="1667"/>
      <c r="BE39" s="1668">
        <f t="shared" si="172"/>
        <v>0</v>
      </c>
      <c r="BF39" s="1656">
        <f t="shared" si="159"/>
        <v>0</v>
      </c>
      <c r="BG39" s="1656">
        <f t="shared" si="159"/>
        <v>0</v>
      </c>
      <c r="BH39" s="1656">
        <f t="shared" si="159"/>
        <v>0</v>
      </c>
      <c r="BI39" s="1667"/>
      <c r="BJ39" s="1982">
        <v>46053</v>
      </c>
      <c r="BK39" s="1667"/>
      <c r="BL39" s="1668">
        <f t="shared" si="173"/>
        <v>1</v>
      </c>
      <c r="BM39" s="1656">
        <f t="shared" si="160"/>
        <v>229215690</v>
      </c>
      <c r="BN39" s="1656">
        <f t="shared" si="160"/>
        <v>0</v>
      </c>
      <c r="BO39" s="1656">
        <f t="shared" si="160"/>
        <v>229215690</v>
      </c>
      <c r="BP39" s="1667"/>
      <c r="BQ39" s="1589"/>
      <c r="BR39" s="1642" t="b">
        <f t="shared" si="180"/>
        <v>1</v>
      </c>
      <c r="BS39" s="1643" t="b">
        <f t="shared" si="175"/>
        <v>1</v>
      </c>
      <c r="BT39" s="1643"/>
      <c r="BU39" s="401"/>
      <c r="BV39" s="401"/>
      <c r="BW39" s="401"/>
      <c r="BX39" s="401"/>
      <c r="BY39" s="401"/>
      <c r="BZ39" s="401"/>
      <c r="CA39" s="401"/>
      <c r="CB39" s="401"/>
      <c r="CC39" s="404"/>
      <c r="CD39" s="404"/>
    </row>
    <row r="40" spans="1:82">
      <c r="A40" s="1649"/>
      <c r="B40" s="2515"/>
      <c r="C40" s="2515"/>
      <c r="D40" s="2515"/>
      <c r="E40" s="2515"/>
      <c r="F40" s="1640" t="s">
        <v>130</v>
      </c>
      <c r="G40" s="1637">
        <f>SUM(G35:G39)</f>
        <v>2523687900</v>
      </c>
      <c r="H40" s="1637">
        <f t="shared" ref="H40:I40" si="183">SUM(H35:H39)</f>
        <v>190627190</v>
      </c>
      <c r="I40" s="1637">
        <f t="shared" si="183"/>
        <v>2714315090</v>
      </c>
      <c r="J40" s="1640">
        <f t="shared" si="0"/>
        <v>0.20780407185519498</v>
      </c>
      <c r="K40" s="1637">
        <f t="shared" ref="K40:L40" si="184">SUM(K35:K39)</f>
        <v>564045728</v>
      </c>
      <c r="L40" s="1637">
        <f t="shared" si="184"/>
        <v>2150269362</v>
      </c>
      <c r="M40" s="1638"/>
      <c r="N40" s="1640"/>
      <c r="O40" s="1639">
        <f t="shared" si="164"/>
        <v>0.1592266135911288</v>
      </c>
      <c r="P40" s="1637">
        <f t="shared" ref="P40:Q40" si="185">SUM(P35:P39)</f>
        <v>432191200</v>
      </c>
      <c r="Q40" s="1637">
        <f t="shared" si="185"/>
        <v>440562528</v>
      </c>
      <c r="R40" s="1669">
        <f t="shared" si="5"/>
        <v>-8371328</v>
      </c>
      <c r="S40" s="1640"/>
      <c r="T40" s="1638"/>
      <c r="U40" s="1640"/>
      <c r="V40" s="1639">
        <f t="shared" si="165"/>
        <v>4.5493318168893945E-2</v>
      </c>
      <c r="W40" s="1637">
        <f t="shared" ref="W40:X40" si="186">SUM(W35:W39)</f>
        <v>123483200</v>
      </c>
      <c r="X40" s="1637">
        <f t="shared" si="186"/>
        <v>123483200</v>
      </c>
      <c r="Y40" s="1669">
        <f t="shared" ref="Y40" si="187">+W40-X40</f>
        <v>0</v>
      </c>
      <c r="Z40" s="1640"/>
      <c r="AA40" s="1638"/>
      <c r="AB40" s="1640"/>
      <c r="AC40" s="1639">
        <f t="shared" si="166"/>
        <v>0.34404321865226045</v>
      </c>
      <c r="AD40" s="1637">
        <f t="shared" ref="AD40:AE40" si="188">SUM(AD35:AD39)</f>
        <v>933841700</v>
      </c>
      <c r="AE40" s="1637">
        <f t="shared" si="188"/>
        <v>0</v>
      </c>
      <c r="AF40" s="1669">
        <f t="shared" ref="AF40" si="189">+AD40-AE40</f>
        <v>933841700</v>
      </c>
      <c r="AG40" s="1640"/>
      <c r="AH40" s="1638"/>
      <c r="AI40" s="1640"/>
      <c r="AJ40" s="1639">
        <f t="shared" si="167"/>
        <v>0</v>
      </c>
      <c r="AK40" s="1637">
        <f t="shared" ref="AK40:AL40" si="190">SUM(AK35:AK39)</f>
        <v>0</v>
      </c>
      <c r="AL40" s="1637">
        <f t="shared" si="190"/>
        <v>0</v>
      </c>
      <c r="AM40" s="1669">
        <f t="shared" si="169"/>
        <v>0</v>
      </c>
      <c r="AN40" s="1640"/>
      <c r="AO40" s="1638"/>
      <c r="AP40" s="1640"/>
      <c r="AQ40" s="1639">
        <f t="shared" si="170"/>
        <v>0</v>
      </c>
      <c r="AR40" s="1637">
        <f t="shared" ref="AR40:AS40" si="191">SUM(AR35:AR39)</f>
        <v>0</v>
      </c>
      <c r="AS40" s="1637">
        <f t="shared" si="191"/>
        <v>0</v>
      </c>
      <c r="AT40" s="1669">
        <f t="shared" ref="AT40" si="192">+AR40-AS40</f>
        <v>0</v>
      </c>
      <c r="AU40" s="1640"/>
      <c r="AV40" s="1638"/>
      <c r="AW40" s="1640"/>
      <c r="AX40" s="1639">
        <f t="shared" si="171"/>
        <v>0</v>
      </c>
      <c r="AY40" s="1637">
        <f t="shared" ref="AY40:AZ40" si="193">SUM(AY35:AY39)</f>
        <v>0</v>
      </c>
      <c r="AZ40" s="1637">
        <f t="shared" si="193"/>
        <v>0</v>
      </c>
      <c r="BA40" s="1669">
        <f t="shared" ref="BA40" si="194">+AY40-AZ40</f>
        <v>0</v>
      </c>
      <c r="BB40" s="1640"/>
      <c r="BC40" s="1638"/>
      <c r="BD40" s="1640"/>
      <c r="BE40" s="1639">
        <f t="shared" si="172"/>
        <v>0</v>
      </c>
      <c r="BF40" s="1637">
        <f t="shared" ref="BF40:BG40" si="195">SUM(BF35:BF39)</f>
        <v>0</v>
      </c>
      <c r="BG40" s="1637">
        <f t="shared" si="195"/>
        <v>0</v>
      </c>
      <c r="BH40" s="1669">
        <f t="shared" ref="BH40" si="196">+BF40-BG40</f>
        <v>0</v>
      </c>
      <c r="BI40" s="1640"/>
      <c r="BJ40" s="1638"/>
      <c r="BK40" s="1640"/>
      <c r="BL40" s="1639">
        <f t="shared" si="173"/>
        <v>0.45123684958771682</v>
      </c>
      <c r="BM40" s="1637">
        <f t="shared" ref="BM40:BN40" si="197">SUM(BM35:BM39)</f>
        <v>1224798990</v>
      </c>
      <c r="BN40" s="1637">
        <f t="shared" si="197"/>
        <v>0</v>
      </c>
      <c r="BO40" s="1669">
        <f t="shared" ref="BO40" si="198">+BM40-BN40</f>
        <v>1224798990</v>
      </c>
      <c r="BP40" s="1640"/>
      <c r="BQ40" s="1589"/>
      <c r="BR40" s="1644"/>
      <c r="BS40" s="1645"/>
      <c r="BT40" s="1645"/>
      <c r="BU40" s="401"/>
      <c r="BV40" s="401"/>
      <c r="BW40" s="401"/>
      <c r="BX40" s="401"/>
      <c r="BY40" s="401"/>
      <c r="BZ40" s="401"/>
      <c r="CA40" s="401"/>
      <c r="CB40" s="401"/>
      <c r="CC40" s="404"/>
      <c r="CD40" s="404"/>
    </row>
    <row r="41" spans="1:82" ht="16.5" hidden="1" customHeight="1">
      <c r="D41" s="1616"/>
      <c r="E41" s="1616"/>
      <c r="F41" s="1616"/>
      <c r="G41" s="1616"/>
      <c r="H41" s="1616"/>
      <c r="I41" s="1616"/>
      <c r="J41" s="1616"/>
      <c r="K41" s="1616"/>
    </row>
    <row r="42" spans="1:82" hidden="1">
      <c r="D42" s="1616"/>
      <c r="E42" s="1616"/>
      <c r="F42" s="1616"/>
      <c r="G42" s="1616">
        <v>1050000000</v>
      </c>
      <c r="H42" s="1616"/>
      <c r="I42" s="1616"/>
      <c r="J42" s="1616"/>
      <c r="K42" s="1616"/>
    </row>
    <row r="43" spans="1:82" ht="13.5" hidden="1">
      <c r="C43" s="1806" t="s">
        <v>229</v>
      </c>
      <c r="D43" s="1616">
        <v>288296967</v>
      </c>
      <c r="E43" s="1616"/>
      <c r="F43" s="1616"/>
      <c r="G43" s="1616">
        <f>+G42*D35/1000</f>
        <v>1620717000</v>
      </c>
      <c r="H43" s="1616"/>
      <c r="I43" s="1616"/>
      <c r="J43" s="1616"/>
      <c r="K43" s="1616"/>
    </row>
    <row r="44" spans="1:82" ht="13.5" hidden="1">
      <c r="C44" s="1806" t="s">
        <v>230</v>
      </c>
      <c r="D44" s="1616">
        <v>46492230</v>
      </c>
      <c r="E44" s="1616"/>
      <c r="F44" s="1616"/>
      <c r="G44" s="1616"/>
      <c r="H44" s="1616"/>
      <c r="I44" s="1616"/>
      <c r="J44" s="1616"/>
      <c r="K44" s="1616"/>
    </row>
    <row r="45" spans="1:82" ht="13.5" hidden="1">
      <c r="C45" s="1806" t="s">
        <v>231</v>
      </c>
      <c r="D45" s="1616">
        <v>56584737</v>
      </c>
      <c r="E45" s="1616"/>
      <c r="F45" s="1616">
        <f>+D35*400000000/1000</f>
        <v>617416000</v>
      </c>
      <c r="G45" s="1616"/>
      <c r="H45" s="1616"/>
      <c r="I45" s="1616"/>
      <c r="J45" s="1616"/>
      <c r="K45" s="1616"/>
    </row>
    <row r="46" spans="1:82" ht="13.5" hidden="1">
      <c r="D46" s="1616"/>
      <c r="E46" s="1808" t="s">
        <v>232</v>
      </c>
      <c r="F46" s="1807">
        <f>+F45-D48</f>
        <v>432196000</v>
      </c>
      <c r="G46" s="1616"/>
      <c r="H46" s="1616"/>
      <c r="I46" s="1616"/>
      <c r="J46" s="1616"/>
      <c r="K46" s="1616"/>
    </row>
    <row r="47" spans="1:82" hidden="1">
      <c r="D47" s="1616"/>
      <c r="E47" s="1616"/>
      <c r="F47" s="1616">
        <f>+F45*20%</f>
        <v>123483200</v>
      </c>
      <c r="G47" s="1616"/>
      <c r="H47" s="1616"/>
      <c r="I47" s="1616"/>
      <c r="J47" s="1616"/>
      <c r="K47" s="1616"/>
      <c r="W47" s="1616"/>
      <c r="Y47" s="1616"/>
      <c r="AD47" s="1616"/>
      <c r="AF47" s="1616"/>
      <c r="AK47" s="1616"/>
      <c r="AM47" s="1616"/>
      <c r="AR47" s="1616"/>
      <c r="AT47" s="1616"/>
      <c r="AY47" s="1616"/>
      <c r="BA47" s="1616"/>
      <c r="BF47" s="1616"/>
      <c r="BH47" s="1616"/>
      <c r="BM47" s="1616"/>
      <c r="BO47" s="1616"/>
      <c r="BU47" s="1616"/>
      <c r="BV47" s="1652"/>
      <c r="BY47" s="1652"/>
    </row>
    <row r="48" spans="1:82" ht="13.5" hidden="1">
      <c r="C48" s="1806" t="s">
        <v>233</v>
      </c>
      <c r="D48" s="1616">
        <v>185220000</v>
      </c>
      <c r="E48" s="1616"/>
      <c r="F48" s="1616">
        <f>+F45*10%</f>
        <v>61741600</v>
      </c>
      <c r="G48" s="1616"/>
      <c r="H48" s="1616"/>
      <c r="I48" s="1616"/>
      <c r="J48" s="1616"/>
      <c r="K48" s="1616"/>
    </row>
    <row r="49" spans="3:19" ht="13.5" hidden="1">
      <c r="C49" s="1806" t="s">
        <v>234</v>
      </c>
      <c r="D49" s="1616">
        <v>123480000</v>
      </c>
      <c r="E49" s="1616" t="s">
        <v>235</v>
      </c>
      <c r="F49" s="1616"/>
      <c r="G49" s="1616"/>
      <c r="H49" s="1616"/>
      <c r="I49" s="1616"/>
      <c r="J49" s="1616"/>
      <c r="K49" s="1616"/>
    </row>
    <row r="50" spans="3:19" hidden="1">
      <c r="C50" s="1600" t="s">
        <v>236</v>
      </c>
      <c r="D50" s="1616">
        <v>61740000</v>
      </c>
      <c r="E50" s="1616" t="s">
        <v>235</v>
      </c>
      <c r="F50" s="1616"/>
      <c r="G50" s="1616"/>
      <c r="H50" s="1616"/>
      <c r="I50" s="1616"/>
      <c r="J50" s="1616"/>
      <c r="K50" s="1616"/>
    </row>
    <row r="51" spans="3:19" ht="13.5" hidden="1">
      <c r="D51" s="1806" t="s">
        <v>2449</v>
      </c>
      <c r="E51" s="1616"/>
      <c r="F51" s="1616">
        <f>56584737+46492230</f>
        <v>103076967</v>
      </c>
      <c r="G51" s="1616"/>
      <c r="H51" s="1616"/>
      <c r="I51" s="1616"/>
      <c r="J51" s="1616"/>
      <c r="K51" s="1616"/>
    </row>
    <row r="52" spans="3:19" hidden="1">
      <c r="D52" s="1616">
        <v>44000000</v>
      </c>
      <c r="E52" s="1616"/>
      <c r="F52" s="1616">
        <v>103128930</v>
      </c>
      <c r="G52" s="1616"/>
      <c r="H52" s="1616"/>
      <c r="I52" s="1616"/>
      <c r="J52" s="1616"/>
      <c r="K52" s="1616"/>
    </row>
    <row r="53" spans="3:19" hidden="1">
      <c r="C53" s="1924">
        <f>+D11</f>
        <v>340.8</v>
      </c>
      <c r="D53" s="1616">
        <f>+ROUND(C53/$C$57*$D$52,)</f>
        <v>9714811</v>
      </c>
      <c r="E53" s="1616"/>
      <c r="F53" s="1616">
        <f>+F51-F52</f>
        <v>-51963</v>
      </c>
      <c r="G53" s="1616"/>
      <c r="H53" s="1616"/>
      <c r="I53" s="1616"/>
      <c r="J53" s="1616"/>
      <c r="K53" s="1616"/>
    </row>
    <row r="54" spans="3:19" hidden="1">
      <c r="C54" s="1924">
        <f>+D17</f>
        <v>144.84</v>
      </c>
      <c r="D54" s="1616">
        <f t="shared" ref="D54:D56" si="199">+ROUND(C54/$C$57*$D$52,)</f>
        <v>4128795</v>
      </c>
      <c r="E54" s="1616"/>
      <c r="F54" s="1616"/>
      <c r="G54" s="1616"/>
      <c r="H54" s="1616"/>
      <c r="I54" s="1616"/>
      <c r="J54" s="1616"/>
      <c r="K54" s="1616"/>
    </row>
    <row r="55" spans="3:19" hidden="1">
      <c r="C55" s="1924">
        <f>+D23</f>
        <v>807.98</v>
      </c>
      <c r="D55" s="1616">
        <f t="shared" si="199"/>
        <v>23032199</v>
      </c>
      <c r="E55" s="1616"/>
      <c r="F55" s="1616"/>
      <c r="G55" s="1616"/>
      <c r="H55" s="1616"/>
      <c r="I55" s="1616"/>
      <c r="J55" s="1616"/>
      <c r="K55" s="1616"/>
    </row>
    <row r="56" spans="3:19" hidden="1">
      <c r="C56" s="1924">
        <f>+D29</f>
        <v>249.92</v>
      </c>
      <c r="D56" s="1616">
        <f t="shared" si="199"/>
        <v>7124195</v>
      </c>
      <c r="E56" s="1616"/>
      <c r="F56" s="1616"/>
      <c r="G56" s="1616"/>
      <c r="H56" s="1616"/>
      <c r="I56" s="1616"/>
      <c r="J56" s="1616"/>
      <c r="K56" s="1616"/>
    </row>
    <row r="57" spans="3:19" hidden="1">
      <c r="C57" s="1924">
        <f>SUM(C53:C56)</f>
        <v>1543.54</v>
      </c>
      <c r="D57" s="1807">
        <f>SUM(D53:D56)</f>
        <v>44000000</v>
      </c>
      <c r="E57" s="1616"/>
      <c r="F57" s="1616"/>
      <c r="G57" s="1616"/>
      <c r="H57" s="1616"/>
      <c r="I57" s="1616"/>
      <c r="J57" s="1616"/>
      <c r="K57" s="1616"/>
    </row>
    <row r="58" spans="3:19" hidden="1">
      <c r="D58" s="1616"/>
      <c r="E58" s="1616"/>
      <c r="F58" s="1616"/>
      <c r="G58" s="1616"/>
      <c r="H58" s="1616"/>
      <c r="I58" s="1616"/>
      <c r="J58" s="1616"/>
      <c r="K58" s="1616"/>
    </row>
    <row r="59" spans="3:19" ht="13.5" hidden="1">
      <c r="D59" s="1616"/>
      <c r="E59" s="1616"/>
      <c r="F59" s="1616"/>
      <c r="G59" s="1616"/>
      <c r="H59" s="1616"/>
      <c r="I59" s="1616"/>
      <c r="J59" s="1616"/>
      <c r="K59" s="1616"/>
      <c r="S59" s="1914" t="s">
        <v>2432</v>
      </c>
    </row>
    <row r="60" spans="3:19" hidden="1">
      <c r="D60" s="1616"/>
      <c r="E60" s="1616"/>
      <c r="F60" s="1616"/>
      <c r="G60" s="1616"/>
      <c r="H60" s="1616"/>
      <c r="I60" s="1616"/>
      <c r="J60" s="1616"/>
      <c r="K60" s="1616"/>
    </row>
    <row r="61" spans="3:19">
      <c r="S61" s="1915" t="s">
        <v>2435</v>
      </c>
    </row>
    <row r="62" spans="3:19">
      <c r="S62" s="1600" t="s">
        <v>2433</v>
      </c>
    </row>
    <row r="63" spans="3:19">
      <c r="S63" s="1600" t="s">
        <v>2434</v>
      </c>
    </row>
  </sheetData>
  <mergeCells count="38">
    <mergeCell ref="B8:C8"/>
    <mergeCell ref="B9:B10"/>
    <mergeCell ref="C9:C10"/>
    <mergeCell ref="D9:D10"/>
    <mergeCell ref="E9:E10"/>
    <mergeCell ref="AO9:AU9"/>
    <mergeCell ref="AV9:BB9"/>
    <mergeCell ref="BC9:BI9"/>
    <mergeCell ref="BJ9:BP9"/>
    <mergeCell ref="BR9:BT10"/>
    <mergeCell ref="B17:B22"/>
    <mergeCell ref="C17:C22"/>
    <mergeCell ref="D17:D22"/>
    <mergeCell ref="E17:E22"/>
    <mergeCell ref="AH9:AN9"/>
    <mergeCell ref="G9:G10"/>
    <mergeCell ref="I9:I10"/>
    <mergeCell ref="J9:L9"/>
    <mergeCell ref="M9:S9"/>
    <mergeCell ref="T9:Z9"/>
    <mergeCell ref="AA9:AG9"/>
    <mergeCell ref="F9:F10"/>
    <mergeCell ref="B35:C40"/>
    <mergeCell ref="D35:D40"/>
    <mergeCell ref="E35:E40"/>
    <mergeCell ref="H9:H10"/>
    <mergeCell ref="B23:B28"/>
    <mergeCell ref="C23:C28"/>
    <mergeCell ref="D23:D28"/>
    <mergeCell ref="E23:E28"/>
    <mergeCell ref="B29:B34"/>
    <mergeCell ref="C29:C34"/>
    <mergeCell ref="D29:D34"/>
    <mergeCell ref="E29:E34"/>
    <mergeCell ref="B11:B16"/>
    <mergeCell ref="C11:C16"/>
    <mergeCell ref="D11:D16"/>
    <mergeCell ref="E11:E16"/>
  </mergeCells>
  <phoneticPr fontId="19" type="noConversion"/>
  <printOptions horizontalCentered="1"/>
  <pageMargins left="0" right="0" top="0.39370078740157483" bottom="0" header="0" footer="0"/>
  <pageSetup paperSize="8" scale="23"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A5FA1-EFED-445F-AA5F-CBA4CAA006F6}">
  <dimension ref="B1:BZ1048576"/>
  <sheetViews>
    <sheetView showGridLines="0" zoomScaleNormal="100" workbookViewId="0">
      <selection activeCell="B4" sqref="B4:E19"/>
    </sheetView>
  </sheetViews>
  <sheetFormatPr defaultColWidth="9" defaultRowHeight="12.75" outlineLevelCol="1"/>
  <cols>
    <col min="1" max="1" width="1.625" style="1603" customWidth="1"/>
    <col min="2" max="2" width="12.125" style="1603" customWidth="1"/>
    <col min="3" max="4" width="9" style="1603"/>
    <col min="5" max="6" width="28.25" style="1603" customWidth="1"/>
    <col min="7" max="7" width="9.375" style="1603" bestFit="1" customWidth="1"/>
    <col min="8" max="13" width="0" style="1603" hidden="1" customWidth="1" outlineLevel="1"/>
    <col min="14" max="14" width="9.375" style="1603" bestFit="1" customWidth="1" collapsed="1"/>
    <col min="15" max="20" width="9.25" style="1603" hidden="1" customWidth="1" outlineLevel="1"/>
    <col min="21" max="21" width="9.375" style="1603" bestFit="1" customWidth="1" collapsed="1"/>
    <col min="22" max="27" width="9.375" style="1603" hidden="1" customWidth="1" outlineLevel="1"/>
    <col min="28" max="28" width="9.375" style="1603" bestFit="1" customWidth="1" collapsed="1"/>
    <col min="29" max="34" width="9.25" style="1603" hidden="1" customWidth="1" outlineLevel="1"/>
    <col min="35" max="35" width="10.375" style="1603" bestFit="1" customWidth="1" collapsed="1"/>
    <col min="36" max="41" width="10.25" style="1603" hidden="1" customWidth="1" outlineLevel="1"/>
    <col min="42" max="42" width="10.375" style="1603" bestFit="1" customWidth="1" collapsed="1"/>
    <col min="43" max="48" width="10.25" style="1603" hidden="1" customWidth="1" outlineLevel="1"/>
    <col min="49" max="49" width="10.25" style="1603" customWidth="1" collapsed="1"/>
    <col min="50" max="55" width="10.25" style="1603" hidden="1" customWidth="1" outlineLevel="1"/>
    <col min="56" max="56" width="10.25" style="1603" customWidth="1" collapsed="1"/>
    <col min="57" max="57" width="9.125" style="1603" bestFit="1" customWidth="1"/>
    <col min="58" max="58" width="9" style="1603"/>
    <col min="59" max="59" width="12.625" style="1603" customWidth="1"/>
    <col min="60" max="63" width="11.5" style="1603" bestFit="1" customWidth="1"/>
    <col min="64" max="77" width="9" style="1603"/>
    <col min="78" max="78" width="10.5" style="1603" bestFit="1" customWidth="1"/>
    <col min="79" max="16384" width="9" style="1603"/>
  </cols>
  <sheetData>
    <row r="1" spans="2:78">
      <c r="U1" s="1937">
        <v>0.5</v>
      </c>
      <c r="AB1" s="1937"/>
      <c r="AW1" s="1937">
        <v>0.45</v>
      </c>
      <c r="BD1" s="1937">
        <v>0.05</v>
      </c>
    </row>
    <row r="2" spans="2:78" ht="13.5">
      <c r="F2" s="1689">
        <f>+'GM Batch1'!D11*F6/1000</f>
        <v>549769000</v>
      </c>
      <c r="U2" s="1603" t="s">
        <v>2469</v>
      </c>
      <c r="AW2" s="1938" t="s">
        <v>2470</v>
      </c>
      <c r="BD2" s="1603" t="s">
        <v>2471</v>
      </c>
    </row>
    <row r="3" spans="2:78" ht="14.25" thickBot="1">
      <c r="B3" s="1603" t="s">
        <v>261</v>
      </c>
      <c r="U3" s="1603">
        <v>8</v>
      </c>
      <c r="AB3" s="1603">
        <v>9</v>
      </c>
      <c r="AI3" s="1603">
        <v>10</v>
      </c>
      <c r="AP3" s="1603">
        <v>11</v>
      </c>
      <c r="AW3" s="1603">
        <v>12</v>
      </c>
    </row>
    <row r="4" spans="2:78" s="1600" customFormat="1" ht="13.5">
      <c r="B4" s="2556" t="s">
        <v>262</v>
      </c>
      <c r="C4" s="2557"/>
      <c r="D4" s="2557"/>
      <c r="E4" s="2558"/>
      <c r="F4" s="1602" t="s">
        <v>263</v>
      </c>
      <c r="G4" s="1602" t="s">
        <v>264</v>
      </c>
      <c r="H4" s="1602"/>
      <c r="I4" s="1602"/>
      <c r="J4" s="1602"/>
      <c r="K4" s="1602"/>
      <c r="L4" s="1602"/>
      <c r="M4" s="1602"/>
      <c r="N4" s="1602" t="s">
        <v>265</v>
      </c>
      <c r="O4" s="1602"/>
      <c r="P4" s="1602"/>
      <c r="Q4" s="1602"/>
      <c r="R4" s="1602"/>
      <c r="S4" s="1602"/>
      <c r="T4" s="1602"/>
      <c r="U4" s="1602" t="s">
        <v>266</v>
      </c>
      <c r="V4" s="1602"/>
      <c r="W4" s="1602"/>
      <c r="X4" s="1602"/>
      <c r="Y4" s="1602"/>
      <c r="Z4" s="1602"/>
      <c r="AA4" s="1602"/>
      <c r="AB4" s="1602" t="s">
        <v>267</v>
      </c>
      <c r="AC4" s="1602"/>
      <c r="AD4" s="1602"/>
      <c r="AE4" s="1602"/>
      <c r="AF4" s="1602"/>
      <c r="AG4" s="1602"/>
      <c r="AH4" s="1602"/>
      <c r="AI4" s="1602" t="s">
        <v>268</v>
      </c>
      <c r="AJ4" s="1604"/>
      <c r="AK4" s="1604"/>
      <c r="AL4" s="1604"/>
      <c r="AM4" s="1604"/>
      <c r="AN4" s="1604"/>
      <c r="AO4" s="1604"/>
      <c r="AP4" s="1604" t="s">
        <v>269</v>
      </c>
      <c r="AQ4" s="1604"/>
      <c r="AR4" s="1604"/>
      <c r="AS4" s="1604"/>
      <c r="AT4" s="1604"/>
      <c r="AU4" s="1604"/>
      <c r="AV4" s="1604"/>
      <c r="AW4" s="1604" t="s">
        <v>270</v>
      </c>
      <c r="AX4" s="1604" t="s">
        <v>271</v>
      </c>
      <c r="AY4" s="1604" t="s">
        <v>272</v>
      </c>
      <c r="AZ4" s="1604" t="s">
        <v>273</v>
      </c>
      <c r="BA4" s="1604" t="s">
        <v>274</v>
      </c>
      <c r="BB4" s="1604" t="s">
        <v>275</v>
      </c>
      <c r="BC4" s="1604" t="s">
        <v>276</v>
      </c>
      <c r="BD4" s="1604" t="s">
        <v>277</v>
      </c>
      <c r="BE4" s="1605" t="s">
        <v>278</v>
      </c>
      <c r="BN4" s="1603"/>
      <c r="BO4" s="1603"/>
      <c r="BP4" s="1603"/>
      <c r="BQ4" s="1603"/>
    </row>
    <row r="5" spans="2:78" s="1600" customFormat="1">
      <c r="B5" s="2559" t="s">
        <v>279</v>
      </c>
      <c r="C5" s="2372" t="s">
        <v>200</v>
      </c>
      <c r="D5" s="2372"/>
      <c r="E5" s="419" t="s">
        <v>125</v>
      </c>
      <c r="F5" s="1580">
        <v>1050000000</v>
      </c>
      <c r="G5" s="1617"/>
      <c r="H5" s="1617"/>
      <c r="I5" s="1617"/>
      <c r="J5" s="1617"/>
      <c r="K5" s="1617"/>
      <c r="L5" s="1617"/>
      <c r="M5" s="1617"/>
      <c r="N5" s="1617"/>
      <c r="O5" s="1617"/>
      <c r="P5" s="1617"/>
      <c r="Q5" s="1617"/>
      <c r="R5" s="1617"/>
      <c r="S5" s="1617"/>
      <c r="T5" s="1617"/>
      <c r="U5" s="1617">
        <v>0.3</v>
      </c>
      <c r="V5" s="1617"/>
      <c r="W5" s="1617"/>
      <c r="X5" s="1617"/>
      <c r="Y5" s="1617"/>
      <c r="Z5" s="1617"/>
      <c r="AA5" s="1617"/>
      <c r="AB5" s="1617"/>
      <c r="AC5" s="1617"/>
      <c r="AD5" s="1617"/>
      <c r="AE5" s="1617"/>
      <c r="AF5" s="1617"/>
      <c r="AG5" s="1617"/>
      <c r="AH5" s="1617"/>
      <c r="AI5" s="1617">
        <v>0.4</v>
      </c>
      <c r="AJ5" s="1617"/>
      <c r="AK5" s="1617"/>
      <c r="AL5" s="1617"/>
      <c r="AM5" s="1617"/>
      <c r="AN5" s="1617"/>
      <c r="AO5" s="1617"/>
      <c r="AP5" s="1617"/>
      <c r="AQ5" s="1607"/>
      <c r="AR5" s="1607"/>
      <c r="AS5" s="1607"/>
      <c r="AT5" s="1607"/>
      <c r="AU5" s="1607"/>
      <c r="AV5" s="1607"/>
      <c r="AW5" s="1617">
        <v>0.25</v>
      </c>
      <c r="AX5" s="1607"/>
      <c r="AY5" s="1607"/>
      <c r="AZ5" s="1607"/>
      <c r="BA5" s="1607"/>
      <c r="BB5" s="1607"/>
      <c r="BC5" s="1607"/>
      <c r="BD5" s="1617">
        <v>0.05</v>
      </c>
      <c r="BE5" s="1608">
        <f>SUM(G5:BD5)</f>
        <v>1</v>
      </c>
      <c r="BN5" s="1603"/>
      <c r="BO5" s="1603"/>
      <c r="BP5" s="1603"/>
      <c r="BQ5" s="1603"/>
    </row>
    <row r="6" spans="2:78" s="1600" customFormat="1">
      <c r="B6" s="2560"/>
      <c r="C6" s="2370"/>
      <c r="D6" s="2370"/>
      <c r="E6" s="419" t="s">
        <v>126</v>
      </c>
      <c r="F6" s="1580">
        <v>550000000</v>
      </c>
      <c r="G6" s="1617">
        <v>0.55000000000000004</v>
      </c>
      <c r="H6" s="1617"/>
      <c r="I6" s="1617"/>
      <c r="J6" s="1617"/>
      <c r="K6" s="1617"/>
      <c r="L6" s="1617"/>
      <c r="M6" s="1617"/>
      <c r="N6" s="1617">
        <v>0.15</v>
      </c>
      <c r="O6" s="1617"/>
      <c r="P6" s="1617"/>
      <c r="Q6" s="1617"/>
      <c r="R6" s="1617"/>
      <c r="S6" s="1617"/>
      <c r="T6" s="1617"/>
      <c r="U6" s="1617"/>
      <c r="V6" s="1606"/>
      <c r="W6" s="1606"/>
      <c r="X6" s="1606"/>
      <c r="Y6" s="1606"/>
      <c r="Z6" s="1606"/>
      <c r="AA6" s="1606"/>
      <c r="AB6" s="1606"/>
      <c r="AC6" s="1606"/>
      <c r="AD6" s="1606"/>
      <c r="AE6" s="1606"/>
      <c r="AF6" s="1606"/>
      <c r="AG6" s="1606"/>
      <c r="AH6" s="1606"/>
      <c r="AI6" s="1609"/>
      <c r="AJ6" s="1609"/>
      <c r="AK6" s="1609"/>
      <c r="AL6" s="1609"/>
      <c r="AM6" s="1609"/>
      <c r="AN6" s="1609"/>
      <c r="AO6" s="1609"/>
      <c r="AP6" s="1609"/>
      <c r="AQ6" s="1610"/>
      <c r="AR6" s="1610"/>
      <c r="AS6" s="1610"/>
      <c r="AT6" s="1610"/>
      <c r="AU6" s="1610"/>
      <c r="AV6" s="1610"/>
      <c r="AW6" s="1610"/>
      <c r="AX6" s="1610"/>
      <c r="AY6" s="1610"/>
      <c r="AZ6" s="1610"/>
      <c r="BA6" s="1610"/>
      <c r="BB6" s="1610"/>
      <c r="BC6" s="1610"/>
      <c r="BD6" s="1617">
        <v>0.3</v>
      </c>
      <c r="BE6" s="1608">
        <f t="shared" ref="BE6:BE19" si="0">SUM(G6:BD6)</f>
        <v>1</v>
      </c>
      <c r="BI6" s="1600">
        <v>1050000000</v>
      </c>
      <c r="BN6" s="1603"/>
      <c r="BO6" s="1603"/>
      <c r="BP6" s="1603"/>
      <c r="BQ6" s="1603"/>
    </row>
    <row r="7" spans="2:78" s="1600" customFormat="1" ht="13.5">
      <c r="B7" s="2560"/>
      <c r="C7" s="2370"/>
      <c r="D7" s="2370"/>
      <c r="E7" s="419" t="s">
        <v>280</v>
      </c>
      <c r="F7" s="1580"/>
      <c r="G7" s="1617"/>
      <c r="H7" s="1617"/>
      <c r="I7" s="1617"/>
      <c r="J7" s="1617"/>
      <c r="K7" s="1617"/>
      <c r="L7" s="1617"/>
      <c r="M7" s="1617"/>
      <c r="N7" s="1617"/>
      <c r="O7" s="1617"/>
      <c r="P7" s="1617"/>
      <c r="Q7" s="1617"/>
      <c r="R7" s="1617"/>
      <c r="S7" s="1617"/>
      <c r="T7" s="1617"/>
      <c r="U7" s="1617"/>
      <c r="V7" s="1609"/>
      <c r="W7" s="1609"/>
      <c r="X7" s="1609"/>
      <c r="Y7" s="1609"/>
      <c r="Z7" s="1609"/>
      <c r="AA7" s="1609"/>
      <c r="AB7" s="1609"/>
      <c r="AC7" s="1609"/>
      <c r="AD7" s="1609"/>
      <c r="AE7" s="1609"/>
      <c r="AF7" s="1609"/>
      <c r="AG7" s="1609"/>
      <c r="AH7" s="1609"/>
      <c r="AI7" s="1609"/>
      <c r="AJ7" s="1609"/>
      <c r="AK7" s="1609"/>
      <c r="AL7" s="1609"/>
      <c r="AM7" s="1609"/>
      <c r="AN7" s="1609"/>
      <c r="AO7" s="1609"/>
      <c r="AP7" s="1609"/>
      <c r="AQ7" s="1610"/>
      <c r="AR7" s="1610"/>
      <c r="AS7" s="1610"/>
      <c r="AT7" s="1610"/>
      <c r="AU7" s="1610"/>
      <c r="AV7" s="1610"/>
      <c r="AW7" s="1610"/>
      <c r="AX7" s="1610"/>
      <c r="AY7" s="1610"/>
      <c r="AZ7" s="1610"/>
      <c r="BA7" s="1610"/>
      <c r="BB7" s="1610"/>
      <c r="BC7" s="1610"/>
      <c r="BD7" s="1618"/>
      <c r="BE7" s="1608">
        <f t="shared" si="0"/>
        <v>0</v>
      </c>
      <c r="BN7" s="1603"/>
      <c r="BO7" s="1603"/>
      <c r="BP7" s="1603"/>
      <c r="BQ7" s="1603"/>
      <c r="BZ7" s="1611">
        <v>45473</v>
      </c>
    </row>
    <row r="8" spans="2:78" s="1600" customFormat="1">
      <c r="B8" s="2560"/>
      <c r="C8" s="2370"/>
      <c r="D8" s="2370"/>
      <c r="E8" s="419" t="s">
        <v>281</v>
      </c>
      <c r="F8" s="1580"/>
      <c r="G8" s="1617"/>
      <c r="H8" s="1617"/>
      <c r="I8" s="1617"/>
      <c r="J8" s="1617"/>
      <c r="K8" s="1617"/>
      <c r="L8" s="1617"/>
      <c r="M8" s="1617"/>
      <c r="N8" s="1617"/>
      <c r="O8" s="1617"/>
      <c r="P8" s="1617"/>
      <c r="Q8" s="1617"/>
      <c r="R8" s="1617"/>
      <c r="S8" s="1617"/>
      <c r="T8" s="1617"/>
      <c r="U8" s="1617"/>
      <c r="V8" s="1606"/>
      <c r="W8" s="1606"/>
      <c r="X8" s="1606"/>
      <c r="Y8" s="1606"/>
      <c r="Z8" s="1606"/>
      <c r="AA8" s="1606"/>
      <c r="AB8" s="1606"/>
      <c r="AC8" s="1606"/>
      <c r="AD8" s="1606"/>
      <c r="AE8" s="1606"/>
      <c r="AF8" s="1606"/>
      <c r="AG8" s="1606"/>
      <c r="AH8" s="1606"/>
      <c r="AI8" s="1609"/>
      <c r="AJ8" s="1609"/>
      <c r="AK8" s="1609"/>
      <c r="AL8" s="1609"/>
      <c r="AM8" s="1609"/>
      <c r="AN8" s="1609"/>
      <c r="AO8" s="1609"/>
      <c r="AP8" s="1609"/>
      <c r="AQ8" s="1610"/>
      <c r="AR8" s="1610"/>
      <c r="AS8" s="1610"/>
      <c r="AT8" s="1610"/>
      <c r="AU8" s="1610"/>
      <c r="AV8" s="1610"/>
      <c r="AW8" s="1610"/>
      <c r="AX8" s="1610"/>
      <c r="AY8" s="1610"/>
      <c r="AZ8" s="1610"/>
      <c r="BA8" s="1610"/>
      <c r="BB8" s="1610"/>
      <c r="BC8" s="1610"/>
      <c r="BD8" s="1617"/>
      <c r="BE8" s="1608">
        <f t="shared" si="0"/>
        <v>0</v>
      </c>
      <c r="BN8" s="1603"/>
      <c r="BO8" s="1603"/>
      <c r="BP8" s="1603"/>
      <c r="BQ8" s="1603"/>
    </row>
    <row r="9" spans="2:78" s="1600" customFormat="1" ht="14.25" thickBot="1">
      <c r="B9" s="2561"/>
      <c r="C9" s="2562"/>
      <c r="D9" s="2562"/>
      <c r="E9" s="426" t="s">
        <v>282</v>
      </c>
      <c r="F9" s="1593"/>
      <c r="G9" s="1612"/>
      <c r="H9" s="1612"/>
      <c r="I9" s="1612"/>
      <c r="J9" s="1612"/>
      <c r="K9" s="1612"/>
      <c r="L9" s="1612"/>
      <c r="M9" s="1612"/>
      <c r="N9" s="1612"/>
      <c r="O9" s="1612"/>
      <c r="P9" s="1612"/>
      <c r="Q9" s="1612"/>
      <c r="R9" s="1612"/>
      <c r="S9" s="1612"/>
      <c r="T9" s="1612"/>
      <c r="U9" s="1612"/>
      <c r="V9" s="1612"/>
      <c r="W9" s="1612"/>
      <c r="X9" s="1612"/>
      <c r="Y9" s="1612"/>
      <c r="Z9" s="1612"/>
      <c r="AA9" s="1612"/>
      <c r="AB9" s="1612"/>
      <c r="AC9" s="1612"/>
      <c r="AD9" s="1612"/>
      <c r="AE9" s="1612"/>
      <c r="AF9" s="1612"/>
      <c r="AG9" s="1612"/>
      <c r="AH9" s="1612"/>
      <c r="AI9" s="1612"/>
      <c r="AJ9" s="1612"/>
      <c r="AK9" s="1612"/>
      <c r="AL9" s="1612"/>
      <c r="AM9" s="1612"/>
      <c r="AN9" s="1612"/>
      <c r="AO9" s="1612"/>
      <c r="AP9" s="1613"/>
      <c r="AQ9" s="1614"/>
      <c r="AR9" s="1614"/>
      <c r="AS9" s="1614"/>
      <c r="AT9" s="1614"/>
      <c r="AU9" s="1614"/>
      <c r="AV9" s="1614"/>
      <c r="AW9" s="1614"/>
      <c r="AX9" s="1614"/>
      <c r="AY9" s="1614"/>
      <c r="AZ9" s="1614"/>
      <c r="BA9" s="1614"/>
      <c r="BB9" s="1614"/>
      <c r="BC9" s="1614"/>
      <c r="BD9" s="1612"/>
      <c r="BE9" s="1615">
        <f t="shared" si="0"/>
        <v>0</v>
      </c>
      <c r="BN9" s="1603"/>
      <c r="BO9" s="1603"/>
      <c r="BP9" s="1603"/>
      <c r="BQ9" s="1603"/>
    </row>
    <row r="10" spans="2:78">
      <c r="B10" s="2560" t="s">
        <v>283</v>
      </c>
      <c r="C10" s="2564" t="s">
        <v>284</v>
      </c>
      <c r="D10" s="2370" t="s">
        <v>285</v>
      </c>
      <c r="E10" s="423" t="s">
        <v>125</v>
      </c>
      <c r="F10" s="1861">
        <v>1050000000</v>
      </c>
      <c r="G10" s="1862"/>
      <c r="H10" s="1862"/>
      <c r="I10" s="1862"/>
      <c r="J10" s="1862"/>
      <c r="K10" s="1862"/>
      <c r="L10" s="1862"/>
      <c r="M10" s="1862"/>
      <c r="N10" s="1862"/>
      <c r="O10" s="1862"/>
      <c r="P10" s="1862"/>
      <c r="Q10" s="1862"/>
      <c r="R10" s="1862"/>
      <c r="S10" s="1862"/>
      <c r="T10" s="1862"/>
      <c r="U10" s="1862">
        <v>0.3</v>
      </c>
      <c r="V10" s="1862"/>
      <c r="W10" s="1862"/>
      <c r="X10" s="1862"/>
      <c r="Y10" s="1862"/>
      <c r="Z10" s="1862"/>
      <c r="AA10" s="1862"/>
      <c r="AB10" s="1862">
        <v>0.4</v>
      </c>
      <c r="AC10" s="1862"/>
      <c r="AD10" s="1862"/>
      <c r="AE10" s="1862"/>
      <c r="AF10" s="1862"/>
      <c r="AG10" s="1862"/>
      <c r="AH10" s="1862"/>
      <c r="AI10" s="1862"/>
      <c r="AJ10" s="1862"/>
      <c r="AK10" s="1862"/>
      <c r="AL10" s="1862"/>
      <c r="AM10" s="1862"/>
      <c r="AN10" s="1862"/>
      <c r="AO10" s="1862"/>
      <c r="AP10" s="1862"/>
      <c r="AQ10" s="1863"/>
      <c r="AR10" s="1863"/>
      <c r="AS10" s="1863"/>
      <c r="AT10" s="1863"/>
      <c r="AU10" s="1863"/>
      <c r="AV10" s="1863"/>
      <c r="AW10" s="1862"/>
      <c r="AX10" s="1863"/>
      <c r="AY10" s="1863"/>
      <c r="AZ10" s="1863"/>
      <c r="BA10" s="1863"/>
      <c r="BB10" s="1863"/>
      <c r="BC10" s="1863"/>
      <c r="BD10" s="1862">
        <v>0.3</v>
      </c>
      <c r="BE10" s="1864">
        <f>SUM(G10:BD10)</f>
        <v>1</v>
      </c>
      <c r="BF10" s="1616"/>
    </row>
    <row r="11" spans="2:78" ht="16.5" customHeight="1">
      <c r="B11" s="2560"/>
      <c r="C11" s="2370"/>
      <c r="D11" s="2370"/>
      <c r="E11" s="419" t="s">
        <v>126</v>
      </c>
      <c r="F11" s="1580">
        <v>350000000</v>
      </c>
      <c r="G11" s="1617">
        <v>0.4</v>
      </c>
      <c r="H11" s="1617"/>
      <c r="I11" s="1617"/>
      <c r="J11" s="1617"/>
      <c r="K11" s="1617"/>
      <c r="L11" s="1617"/>
      <c r="M11" s="1617"/>
      <c r="N11" s="1617">
        <v>0.2</v>
      </c>
      <c r="O11" s="1617"/>
      <c r="P11" s="1617"/>
      <c r="Q11" s="1617"/>
      <c r="R11" s="1617"/>
      <c r="S11" s="1617"/>
      <c r="T11" s="1617"/>
      <c r="U11" s="1617">
        <v>0.3</v>
      </c>
      <c r="V11" s="1606"/>
      <c r="W11" s="1606"/>
      <c r="X11" s="1606"/>
      <c r="Y11" s="1606"/>
      <c r="Z11" s="1606"/>
      <c r="AA11" s="1606"/>
      <c r="AB11" s="1606"/>
      <c r="AC11" s="1606"/>
      <c r="AD11" s="1606"/>
      <c r="AE11" s="1606"/>
      <c r="AF11" s="1606"/>
      <c r="AG11" s="1606"/>
      <c r="AH11" s="1606"/>
      <c r="AI11" s="1609"/>
      <c r="AJ11" s="1609"/>
      <c r="AK11" s="1609"/>
      <c r="AL11" s="1609"/>
      <c r="AM11" s="1609"/>
      <c r="AN11" s="1609"/>
      <c r="AO11" s="1609"/>
      <c r="AP11" s="1609"/>
      <c r="AQ11" s="1610"/>
      <c r="AR11" s="1610"/>
      <c r="AS11" s="1610"/>
      <c r="AT11" s="1610"/>
      <c r="AU11" s="1610"/>
      <c r="AV11" s="1610"/>
      <c r="AW11" s="1610"/>
      <c r="AX11" s="1610"/>
      <c r="AY11" s="1610"/>
      <c r="AZ11" s="1610"/>
      <c r="BA11" s="1610"/>
      <c r="BB11" s="1610"/>
      <c r="BC11" s="1610"/>
      <c r="BD11" s="1617">
        <v>0.1</v>
      </c>
      <c r="BE11" s="1608">
        <f t="shared" si="0"/>
        <v>1.0000000000000002</v>
      </c>
      <c r="BF11" s="1616"/>
    </row>
    <row r="12" spans="2:78" ht="16.5" customHeight="1">
      <c r="B12" s="2560"/>
      <c r="C12" s="2370"/>
      <c r="D12" s="2370"/>
      <c r="E12" s="419" t="s">
        <v>286</v>
      </c>
      <c r="F12" s="1580">
        <v>300000000</v>
      </c>
      <c r="G12" s="1617">
        <v>0.4</v>
      </c>
      <c r="H12" s="1617"/>
      <c r="I12" s="1617"/>
      <c r="J12" s="1617"/>
      <c r="K12" s="1617"/>
      <c r="L12" s="1617"/>
      <c r="M12" s="1617"/>
      <c r="N12" s="1617">
        <v>0.2</v>
      </c>
      <c r="O12" s="1617"/>
      <c r="P12" s="1617"/>
      <c r="Q12" s="1617"/>
      <c r="R12" s="1617"/>
      <c r="S12" s="1617"/>
      <c r="T12" s="1617"/>
      <c r="U12" s="1617">
        <v>0.3</v>
      </c>
      <c r="V12" s="1606"/>
      <c r="W12" s="1606"/>
      <c r="X12" s="1606"/>
      <c r="Y12" s="1606"/>
      <c r="Z12" s="1606"/>
      <c r="AA12" s="1606"/>
      <c r="AB12" s="1606"/>
      <c r="AC12" s="1606"/>
      <c r="AD12" s="1606"/>
      <c r="AE12" s="1606"/>
      <c r="AF12" s="1606"/>
      <c r="AG12" s="1606"/>
      <c r="AH12" s="1606"/>
      <c r="AI12" s="1609"/>
      <c r="AJ12" s="1609"/>
      <c r="AK12" s="1609"/>
      <c r="AL12" s="1609"/>
      <c r="AM12" s="1609"/>
      <c r="AN12" s="1609"/>
      <c r="AO12" s="1609"/>
      <c r="AP12" s="1609"/>
      <c r="AQ12" s="1610"/>
      <c r="AR12" s="1610"/>
      <c r="AS12" s="1610"/>
      <c r="AT12" s="1610"/>
      <c r="AU12" s="1610"/>
      <c r="AV12" s="1610"/>
      <c r="AW12" s="1610"/>
      <c r="AX12" s="1610"/>
      <c r="AY12" s="1610"/>
      <c r="AZ12" s="1610"/>
      <c r="BA12" s="1610"/>
      <c r="BB12" s="1610"/>
      <c r="BC12" s="1610"/>
      <c r="BD12" s="1617">
        <v>0.1</v>
      </c>
      <c r="BE12" s="1608">
        <f t="shared" si="0"/>
        <v>1.0000000000000002</v>
      </c>
      <c r="BF12" s="1616"/>
    </row>
    <row r="13" spans="2:78" ht="16.5" customHeight="1">
      <c r="B13" s="2560"/>
      <c r="C13" s="2370"/>
      <c r="D13" s="2370"/>
      <c r="E13" s="419" t="s">
        <v>287</v>
      </c>
      <c r="F13" s="1580">
        <v>200000000</v>
      </c>
      <c r="G13" s="1617"/>
      <c r="H13" s="1617"/>
      <c r="I13" s="1617"/>
      <c r="J13" s="1617"/>
      <c r="K13" s="1617"/>
      <c r="L13" s="1617"/>
      <c r="M13" s="1617"/>
      <c r="N13" s="1617"/>
      <c r="O13" s="1617"/>
      <c r="P13" s="1617"/>
      <c r="Q13" s="1617"/>
      <c r="R13" s="1617"/>
      <c r="S13" s="1617"/>
      <c r="T13" s="1617"/>
      <c r="U13" s="1617"/>
      <c r="V13" s="1606"/>
      <c r="W13" s="1606"/>
      <c r="X13" s="1606"/>
      <c r="Y13" s="1606"/>
      <c r="Z13" s="1606"/>
      <c r="AA13" s="1606"/>
      <c r="AB13" s="1606"/>
      <c r="AC13" s="1606"/>
      <c r="AD13" s="1606"/>
      <c r="AE13" s="1606"/>
      <c r="AF13" s="1606"/>
      <c r="AG13" s="1606"/>
      <c r="AH13" s="1606"/>
      <c r="AI13" s="1609"/>
      <c r="AJ13" s="1609"/>
      <c r="AK13" s="1609"/>
      <c r="AL13" s="1609"/>
      <c r="AM13" s="1609"/>
      <c r="AN13" s="1609"/>
      <c r="AO13" s="1609"/>
      <c r="AP13" s="1609"/>
      <c r="AQ13" s="1610"/>
      <c r="AR13" s="1610"/>
      <c r="AS13" s="1610"/>
      <c r="AT13" s="1610"/>
      <c r="AU13" s="1610"/>
      <c r="AV13" s="1610"/>
      <c r="AW13" s="1607"/>
      <c r="AX13" s="1610"/>
      <c r="AY13" s="1610"/>
      <c r="AZ13" s="1610"/>
      <c r="BA13" s="1610"/>
      <c r="BB13" s="1610"/>
      <c r="BC13" s="1610"/>
      <c r="BD13" s="1617">
        <v>1</v>
      </c>
      <c r="BE13" s="1608">
        <f t="shared" si="0"/>
        <v>1</v>
      </c>
      <c r="BF13" s="1616"/>
    </row>
    <row r="14" spans="2:78" ht="17.25" customHeight="1" thickBot="1">
      <c r="B14" s="2561"/>
      <c r="C14" s="2370"/>
      <c r="D14" s="2562"/>
      <c r="E14" s="426" t="s">
        <v>129</v>
      </c>
      <c r="F14" s="1593"/>
      <c r="G14" s="1612"/>
      <c r="H14" s="1612"/>
      <c r="I14" s="1612"/>
      <c r="J14" s="1612"/>
      <c r="K14" s="1612"/>
      <c r="L14" s="1612"/>
      <c r="M14" s="1612"/>
      <c r="N14" s="1612"/>
      <c r="O14" s="1612"/>
      <c r="P14" s="1612"/>
      <c r="Q14" s="1612"/>
      <c r="R14" s="1612"/>
      <c r="S14" s="1612"/>
      <c r="T14" s="1612"/>
      <c r="U14" s="1612"/>
      <c r="V14" s="1612"/>
      <c r="W14" s="1612"/>
      <c r="X14" s="1612"/>
      <c r="Y14" s="1612"/>
      <c r="Z14" s="1612"/>
      <c r="AA14" s="1612"/>
      <c r="AB14" s="1612"/>
      <c r="AC14" s="1612"/>
      <c r="AD14" s="1612"/>
      <c r="AE14" s="1612"/>
      <c r="AF14" s="1612"/>
      <c r="AG14" s="1612"/>
      <c r="AH14" s="1612"/>
      <c r="AI14" s="1612"/>
      <c r="AJ14" s="1612"/>
      <c r="AK14" s="1612"/>
      <c r="AL14" s="1612"/>
      <c r="AM14" s="1612"/>
      <c r="AN14" s="1612"/>
      <c r="AO14" s="1612"/>
      <c r="AP14" s="1613"/>
      <c r="AQ14" s="1614"/>
      <c r="AR14" s="1614"/>
      <c r="AS14" s="1614"/>
      <c r="AT14" s="1614"/>
      <c r="AU14" s="1614"/>
      <c r="AV14" s="1614"/>
      <c r="AW14" s="1614"/>
      <c r="AX14" s="1614"/>
      <c r="AY14" s="1614"/>
      <c r="AZ14" s="1614"/>
      <c r="BA14" s="1614"/>
      <c r="BB14" s="1614"/>
      <c r="BC14" s="1614"/>
      <c r="BD14" s="1612"/>
      <c r="BE14" s="1615">
        <f t="shared" si="0"/>
        <v>0</v>
      </c>
      <c r="BF14" s="1616"/>
    </row>
    <row r="15" spans="2:78" ht="12.75" customHeight="1">
      <c r="B15" s="2559" t="s">
        <v>288</v>
      </c>
      <c r="C15" s="2370"/>
      <c r="D15" s="2564" t="s">
        <v>289</v>
      </c>
      <c r="E15" s="419" t="s">
        <v>125</v>
      </c>
      <c r="F15" s="1580">
        <v>1050000000</v>
      </c>
      <c r="G15" s="1617"/>
      <c r="H15" s="1617"/>
      <c r="I15" s="1617"/>
      <c r="J15" s="1617"/>
      <c r="K15" s="1617"/>
      <c r="L15" s="1617"/>
      <c r="M15" s="1617"/>
      <c r="N15" s="1617"/>
      <c r="O15" s="1617"/>
      <c r="P15" s="1617"/>
      <c r="Q15" s="1617"/>
      <c r="R15" s="1617"/>
      <c r="S15" s="1617"/>
      <c r="T15" s="1617"/>
      <c r="U15" s="1862">
        <v>0.3</v>
      </c>
      <c r="V15" s="1862"/>
      <c r="W15" s="1862"/>
      <c r="X15" s="1862"/>
      <c r="Y15" s="1862"/>
      <c r="Z15" s="1862"/>
      <c r="AA15" s="1862"/>
      <c r="AB15" s="1862">
        <v>0.4</v>
      </c>
      <c r="AC15" s="1862"/>
      <c r="AD15" s="1862"/>
      <c r="AE15" s="1862"/>
      <c r="AF15" s="1862"/>
      <c r="AG15" s="1862"/>
      <c r="AH15" s="1862"/>
      <c r="AI15" s="1862"/>
      <c r="AJ15" s="1862"/>
      <c r="AK15" s="1862"/>
      <c r="AL15" s="1862"/>
      <c r="AM15" s="1862"/>
      <c r="AN15" s="1862"/>
      <c r="AO15" s="1862"/>
      <c r="AP15" s="1862"/>
      <c r="AQ15" s="1863"/>
      <c r="AR15" s="1863"/>
      <c r="AS15" s="1863"/>
      <c r="AT15" s="1863"/>
      <c r="AU15" s="1863"/>
      <c r="AV15" s="1863"/>
      <c r="AW15" s="1862"/>
      <c r="AX15" s="1863"/>
      <c r="AY15" s="1863"/>
      <c r="AZ15" s="1863"/>
      <c r="BA15" s="1863"/>
      <c r="BB15" s="1863"/>
      <c r="BC15" s="1863"/>
      <c r="BD15" s="1862">
        <v>0.3</v>
      </c>
      <c r="BE15" s="1608">
        <f>SUM(G15:BD15)</f>
        <v>1</v>
      </c>
      <c r="BF15" s="1616"/>
    </row>
    <row r="16" spans="2:78" ht="16.5" customHeight="1">
      <c r="B16" s="2560"/>
      <c r="C16" s="2370"/>
      <c r="D16" s="2370"/>
      <c r="E16" s="419" t="s">
        <v>126</v>
      </c>
      <c r="F16" s="1580">
        <v>150000000</v>
      </c>
      <c r="G16" s="1606">
        <v>1</v>
      </c>
      <c r="H16" s="1606"/>
      <c r="I16" s="1606"/>
      <c r="J16" s="1606"/>
      <c r="K16" s="1606"/>
      <c r="L16" s="1606"/>
      <c r="M16" s="1606"/>
      <c r="N16" s="1606"/>
      <c r="O16" s="1606"/>
      <c r="P16" s="1606"/>
      <c r="Q16" s="1606"/>
      <c r="R16" s="1606"/>
      <c r="S16" s="1606"/>
      <c r="T16" s="1606"/>
      <c r="U16" s="1606"/>
      <c r="V16" s="1606"/>
      <c r="W16" s="1606"/>
      <c r="X16" s="1606"/>
      <c r="Y16" s="1606"/>
      <c r="Z16" s="1606"/>
      <c r="AA16" s="1606"/>
      <c r="AB16" s="1606"/>
      <c r="AC16" s="1606"/>
      <c r="AD16" s="1606"/>
      <c r="AE16" s="1606"/>
      <c r="AF16" s="1606"/>
      <c r="AG16" s="1606"/>
      <c r="AH16" s="1606"/>
      <c r="AI16" s="1609"/>
      <c r="AJ16" s="1609"/>
      <c r="AK16" s="1609"/>
      <c r="AL16" s="1609"/>
      <c r="AM16" s="1609"/>
      <c r="AN16" s="1609"/>
      <c r="AO16" s="1609"/>
      <c r="AP16" s="1609"/>
      <c r="AQ16" s="1610"/>
      <c r="AR16" s="1610"/>
      <c r="AS16" s="1610"/>
      <c r="AT16" s="1610"/>
      <c r="AU16" s="1610"/>
      <c r="AV16" s="1610"/>
      <c r="AW16" s="1610"/>
      <c r="AX16" s="1610"/>
      <c r="AY16" s="1610"/>
      <c r="AZ16" s="1610"/>
      <c r="BA16" s="1610"/>
      <c r="BB16" s="1610"/>
      <c r="BC16" s="1610"/>
      <c r="BD16" s="1606"/>
      <c r="BE16" s="1608">
        <f t="shared" si="0"/>
        <v>1</v>
      </c>
      <c r="BF16" s="1616"/>
    </row>
    <row r="17" spans="2:58" ht="16.5" customHeight="1">
      <c r="B17" s="2560"/>
      <c r="C17" s="2370"/>
      <c r="D17" s="2370"/>
      <c r="E17" s="419" t="s">
        <v>286</v>
      </c>
      <c r="F17" s="1580">
        <v>300000000</v>
      </c>
      <c r="G17" s="1606">
        <v>1</v>
      </c>
      <c r="H17" s="1609"/>
      <c r="I17" s="1609"/>
      <c r="J17" s="1609"/>
      <c r="K17" s="1609"/>
      <c r="L17" s="1609"/>
      <c r="M17" s="1609"/>
      <c r="N17" s="1606"/>
      <c r="O17" s="1609"/>
      <c r="P17" s="1609"/>
      <c r="Q17" s="1609"/>
      <c r="R17" s="1609"/>
      <c r="S17" s="1609"/>
      <c r="T17" s="1609"/>
      <c r="U17" s="1609"/>
      <c r="V17" s="1609"/>
      <c r="W17" s="1609"/>
      <c r="X17" s="1609"/>
      <c r="Y17" s="1609"/>
      <c r="Z17" s="1609"/>
      <c r="AA17" s="1609"/>
      <c r="AB17" s="1609"/>
      <c r="AC17" s="1609"/>
      <c r="AD17" s="1609"/>
      <c r="AE17" s="1609"/>
      <c r="AF17" s="1609"/>
      <c r="AG17" s="1609"/>
      <c r="AH17" s="1609"/>
      <c r="AI17" s="1609"/>
      <c r="AJ17" s="1609"/>
      <c r="AK17" s="1609"/>
      <c r="AL17" s="1609"/>
      <c r="AM17" s="1609"/>
      <c r="AN17" s="1609"/>
      <c r="AO17" s="1609"/>
      <c r="AP17" s="1609"/>
      <c r="AQ17" s="1610"/>
      <c r="AR17" s="1610"/>
      <c r="AS17" s="1610"/>
      <c r="AT17" s="1610"/>
      <c r="AU17" s="1610"/>
      <c r="AV17" s="1610"/>
      <c r="AW17" s="1610"/>
      <c r="AX17" s="1610"/>
      <c r="AY17" s="1610"/>
      <c r="AZ17" s="1610"/>
      <c r="BA17" s="1610"/>
      <c r="BB17" s="1610"/>
      <c r="BC17" s="1610"/>
      <c r="BD17" s="1606"/>
      <c r="BE17" s="1608">
        <f t="shared" si="0"/>
        <v>1</v>
      </c>
      <c r="BF17" s="1616"/>
    </row>
    <row r="18" spans="2:58" ht="16.5" customHeight="1">
      <c r="B18" s="2560"/>
      <c r="C18" s="2370"/>
      <c r="D18" s="2370"/>
      <c r="E18" s="419" t="s">
        <v>287</v>
      </c>
      <c r="F18" s="1580">
        <v>200000000</v>
      </c>
      <c r="G18" s="1606">
        <v>1</v>
      </c>
      <c r="H18" s="1609"/>
      <c r="I18" s="1609"/>
      <c r="J18" s="1609"/>
      <c r="K18" s="1609"/>
      <c r="L18" s="1609"/>
      <c r="M18" s="1609"/>
      <c r="N18" s="1606"/>
      <c r="O18" s="1609"/>
      <c r="P18" s="1609"/>
      <c r="Q18" s="1609"/>
      <c r="R18" s="1609"/>
      <c r="S18" s="1609"/>
      <c r="T18" s="1609"/>
      <c r="U18" s="1609"/>
      <c r="V18" s="1609"/>
      <c r="W18" s="1609"/>
      <c r="X18" s="1609"/>
      <c r="Y18" s="1609"/>
      <c r="Z18" s="1609"/>
      <c r="AA18" s="1609"/>
      <c r="AB18" s="1609"/>
      <c r="AC18" s="1609"/>
      <c r="AD18" s="1609"/>
      <c r="AE18" s="1609"/>
      <c r="AF18" s="1609"/>
      <c r="AG18" s="1609"/>
      <c r="AH18" s="1609"/>
      <c r="AI18" s="1609"/>
      <c r="AJ18" s="1609"/>
      <c r="AK18" s="1609"/>
      <c r="AL18" s="1609"/>
      <c r="AM18" s="1609"/>
      <c r="AN18" s="1609"/>
      <c r="AO18" s="1609"/>
      <c r="AP18" s="1609"/>
      <c r="AQ18" s="1610"/>
      <c r="AR18" s="1610"/>
      <c r="AS18" s="1610"/>
      <c r="AT18" s="1610"/>
      <c r="AU18" s="1610"/>
      <c r="AV18" s="1610"/>
      <c r="AW18" s="1610"/>
      <c r="AX18" s="1610"/>
      <c r="AY18" s="1610"/>
      <c r="AZ18" s="1610"/>
      <c r="BA18" s="1610"/>
      <c r="BB18" s="1610"/>
      <c r="BC18" s="1610"/>
      <c r="BD18" s="1606"/>
      <c r="BE18" s="1608">
        <f t="shared" si="0"/>
        <v>1</v>
      </c>
      <c r="BF18" s="1616"/>
    </row>
    <row r="19" spans="2:58" ht="17.25" customHeight="1" thickBot="1">
      <c r="B19" s="2561"/>
      <c r="C19" s="2562"/>
      <c r="D19" s="2562"/>
      <c r="E19" s="426" t="s">
        <v>129</v>
      </c>
      <c r="F19" s="1593"/>
      <c r="G19" s="1612"/>
      <c r="H19" s="1612"/>
      <c r="I19" s="1612"/>
      <c r="J19" s="1612"/>
      <c r="K19" s="1612"/>
      <c r="L19" s="1612"/>
      <c r="M19" s="1612"/>
      <c r="N19" s="1612"/>
      <c r="O19" s="1612"/>
      <c r="P19" s="1612"/>
      <c r="Q19" s="1612"/>
      <c r="R19" s="1612"/>
      <c r="S19" s="1612"/>
      <c r="T19" s="1612"/>
      <c r="U19" s="1612"/>
      <c r="V19" s="1612"/>
      <c r="W19" s="1612"/>
      <c r="X19" s="1612"/>
      <c r="Y19" s="1612"/>
      <c r="Z19" s="1612"/>
      <c r="AA19" s="1612"/>
      <c r="AB19" s="1612"/>
      <c r="AC19" s="1612"/>
      <c r="AD19" s="1612"/>
      <c r="AE19" s="1612"/>
      <c r="AF19" s="1612"/>
      <c r="AG19" s="1612"/>
      <c r="AH19" s="1612"/>
      <c r="AI19" s="1612"/>
      <c r="AJ19" s="1612"/>
      <c r="AK19" s="1612"/>
      <c r="AL19" s="1612"/>
      <c r="AM19" s="1612"/>
      <c r="AN19" s="1612"/>
      <c r="AO19" s="1612"/>
      <c r="AP19" s="1613"/>
      <c r="AQ19" s="1614"/>
      <c r="AR19" s="1614"/>
      <c r="AS19" s="1614"/>
      <c r="AT19" s="1614"/>
      <c r="AU19" s="1614"/>
      <c r="AV19" s="1614"/>
      <c r="AW19" s="1614"/>
      <c r="AX19" s="1614"/>
      <c r="AY19" s="1614"/>
      <c r="AZ19" s="1614"/>
      <c r="BA19" s="1614"/>
      <c r="BB19" s="1614"/>
      <c r="BC19" s="1614"/>
      <c r="BD19" s="1614"/>
      <c r="BE19" s="1615">
        <f t="shared" si="0"/>
        <v>0</v>
      </c>
      <c r="BF19" s="1616"/>
    </row>
    <row r="20" spans="2:58" hidden="1">
      <c r="B20" s="2567" t="s">
        <v>288</v>
      </c>
      <c r="C20" s="2564" t="s">
        <v>290</v>
      </c>
      <c r="D20" s="2564" t="s">
        <v>291</v>
      </c>
      <c r="E20" s="419" t="s">
        <v>125</v>
      </c>
      <c r="F20" s="1580">
        <v>1050000000</v>
      </c>
      <c r="G20" s="1617"/>
      <c r="H20" s="1617"/>
      <c r="I20" s="1617"/>
      <c r="J20" s="1617"/>
      <c r="K20" s="1617"/>
      <c r="L20" s="1617"/>
      <c r="M20" s="1617"/>
      <c r="N20" s="1617"/>
      <c r="O20" s="1617"/>
      <c r="P20" s="1617"/>
      <c r="Q20" s="1617"/>
      <c r="R20" s="1617"/>
      <c r="S20" s="1617"/>
      <c r="T20" s="1617"/>
      <c r="U20" s="1617">
        <v>0.1</v>
      </c>
      <c r="V20" s="1617"/>
      <c r="W20" s="1617"/>
      <c r="X20" s="1617"/>
      <c r="Y20" s="1617"/>
      <c r="Z20" s="1617"/>
      <c r="AA20" s="1617"/>
      <c r="AB20" s="1617"/>
      <c r="AC20" s="1617"/>
      <c r="AD20" s="1617"/>
      <c r="AE20" s="1617"/>
      <c r="AF20" s="1617"/>
      <c r="AG20" s="1617"/>
      <c r="AH20" s="1617"/>
      <c r="AI20" s="1617">
        <v>0.2</v>
      </c>
      <c r="AJ20" s="1617"/>
      <c r="AK20" s="1617"/>
      <c r="AL20" s="1617"/>
      <c r="AM20" s="1617"/>
      <c r="AN20" s="1617"/>
      <c r="AO20" s="1617"/>
      <c r="AP20" s="1617">
        <v>0.4</v>
      </c>
      <c r="AQ20" s="1607"/>
      <c r="AR20" s="1607"/>
      <c r="AS20" s="1607"/>
      <c r="AT20" s="1607"/>
      <c r="AU20" s="1607"/>
      <c r="AV20" s="1607"/>
      <c r="AW20" s="1617">
        <v>0.25</v>
      </c>
      <c r="AX20" s="1607"/>
      <c r="AY20" s="1607"/>
      <c r="AZ20" s="1607"/>
      <c r="BA20" s="1607"/>
      <c r="BB20" s="1607"/>
      <c r="BC20" s="1607"/>
      <c r="BD20" s="1617">
        <v>0.05</v>
      </c>
      <c r="BE20" s="1608">
        <f>SUM(G20:BD20)</f>
        <v>1</v>
      </c>
      <c r="BF20" s="1616"/>
    </row>
    <row r="21" spans="2:58" hidden="1">
      <c r="B21" s="2560"/>
      <c r="C21" s="2370"/>
      <c r="D21" s="2370"/>
      <c r="E21" s="419" t="s">
        <v>126</v>
      </c>
      <c r="F21" s="1580">
        <v>300000000</v>
      </c>
      <c r="G21" s="1617">
        <v>0.2</v>
      </c>
      <c r="H21" s="1617"/>
      <c r="I21" s="1617"/>
      <c r="J21" s="1617"/>
      <c r="K21" s="1617"/>
      <c r="L21" s="1617"/>
      <c r="M21" s="1617"/>
      <c r="N21" s="1617">
        <v>0.2</v>
      </c>
      <c r="O21" s="1617"/>
      <c r="P21" s="1617"/>
      <c r="Q21" s="1617"/>
      <c r="R21" s="1617"/>
      <c r="S21" s="1617"/>
      <c r="T21" s="1617"/>
      <c r="U21" s="1617">
        <v>0.5</v>
      </c>
      <c r="V21" s="1617"/>
      <c r="W21" s="1617"/>
      <c r="X21" s="1617"/>
      <c r="Y21" s="1617"/>
      <c r="Z21" s="1617"/>
      <c r="AA21" s="1617"/>
      <c r="AB21" s="1617"/>
      <c r="AC21" s="1617"/>
      <c r="AD21" s="1617"/>
      <c r="AE21" s="1617"/>
      <c r="AF21" s="1617"/>
      <c r="AG21" s="1617"/>
      <c r="AH21" s="1617"/>
      <c r="AJ21" s="1617"/>
      <c r="AK21" s="1617"/>
      <c r="AL21" s="1617"/>
      <c r="AM21" s="1617"/>
      <c r="AN21" s="1617"/>
      <c r="AO21" s="1617"/>
      <c r="AP21" s="1617"/>
      <c r="AQ21" s="1618"/>
      <c r="AR21" s="1618"/>
      <c r="AS21" s="1618"/>
      <c r="AT21" s="1618"/>
      <c r="AU21" s="1618"/>
      <c r="AV21" s="1618"/>
      <c r="AW21" s="1618"/>
      <c r="AX21" s="1618"/>
      <c r="AY21" s="1618"/>
      <c r="AZ21" s="1618"/>
      <c r="BA21" s="1618"/>
      <c r="BB21" s="1618"/>
      <c r="BC21" s="1618"/>
      <c r="BD21" s="1617">
        <v>0.1</v>
      </c>
      <c r="BE21" s="1608">
        <f t="shared" ref="BE21:BE23" si="1">SUM(G21:BD21)</f>
        <v>1</v>
      </c>
    </row>
    <row r="22" spans="2:58" hidden="1">
      <c r="B22" s="2560"/>
      <c r="C22" s="2370"/>
      <c r="D22" s="2370"/>
      <c r="E22" s="419" t="s">
        <v>287</v>
      </c>
      <c r="F22" s="1580">
        <v>200000000</v>
      </c>
      <c r="G22" s="1617">
        <v>0.2</v>
      </c>
      <c r="H22" s="1617"/>
      <c r="I22" s="1617"/>
      <c r="J22" s="1617"/>
      <c r="K22" s="1617"/>
      <c r="L22" s="1617"/>
      <c r="M22" s="1617"/>
      <c r="N22" s="1617">
        <v>0.2</v>
      </c>
      <c r="O22" s="1617"/>
      <c r="P22" s="1617"/>
      <c r="Q22" s="1617"/>
      <c r="R22" s="1617"/>
      <c r="S22" s="1617"/>
      <c r="T22" s="1617"/>
      <c r="U22" s="1617">
        <v>0.5</v>
      </c>
      <c r="V22" s="1617"/>
      <c r="W22" s="1617"/>
      <c r="X22" s="1617"/>
      <c r="Y22" s="1617"/>
      <c r="Z22" s="1617"/>
      <c r="AA22" s="1617"/>
      <c r="AB22" s="1617"/>
      <c r="AC22" s="1617"/>
      <c r="AD22" s="1617"/>
      <c r="AE22" s="1617"/>
      <c r="AF22" s="1617"/>
      <c r="AG22" s="1617"/>
      <c r="AH22" s="1617"/>
      <c r="AJ22" s="1617"/>
      <c r="AK22" s="1617"/>
      <c r="AL22" s="1617"/>
      <c r="AM22" s="1617"/>
      <c r="AN22" s="1617"/>
      <c r="AO22" s="1617"/>
      <c r="AP22" s="1617"/>
      <c r="AQ22" s="1618"/>
      <c r="AR22" s="1618"/>
      <c r="AS22" s="1618"/>
      <c r="AT22" s="1618"/>
      <c r="AU22" s="1618"/>
      <c r="AV22" s="1618"/>
      <c r="AW22" s="1618"/>
      <c r="AX22" s="1618"/>
      <c r="AY22" s="1618"/>
      <c r="AZ22" s="1618"/>
      <c r="BA22" s="1618"/>
      <c r="BB22" s="1618"/>
      <c r="BC22" s="1618"/>
      <c r="BD22" s="1617">
        <v>0.1</v>
      </c>
      <c r="BE22" s="1608">
        <f t="shared" si="1"/>
        <v>1</v>
      </c>
    </row>
    <row r="23" spans="2:58" ht="13.5" hidden="1" thickBot="1">
      <c r="B23" s="2561"/>
      <c r="C23" s="2370"/>
      <c r="D23" s="2562"/>
      <c r="E23" s="426" t="s">
        <v>129</v>
      </c>
      <c r="F23" s="1593">
        <f>40000000*5</f>
        <v>200000000</v>
      </c>
      <c r="G23" s="1619"/>
      <c r="H23" s="1619"/>
      <c r="I23" s="1619"/>
      <c r="J23" s="1619"/>
      <c r="K23" s="1619"/>
      <c r="L23" s="1619"/>
      <c r="M23" s="1619"/>
      <c r="N23" s="1619"/>
      <c r="O23" s="1619"/>
      <c r="P23" s="1619"/>
      <c r="Q23" s="1619"/>
      <c r="R23" s="1619"/>
      <c r="S23" s="1619"/>
      <c r="T23" s="1619"/>
      <c r="U23" s="1619"/>
      <c r="V23" s="1619"/>
      <c r="W23" s="1619"/>
      <c r="X23" s="1619"/>
      <c r="Y23" s="1619"/>
      <c r="Z23" s="1619"/>
      <c r="AA23" s="1619"/>
      <c r="AB23" s="1619"/>
      <c r="AC23" s="1619"/>
      <c r="AD23" s="1619"/>
      <c r="AE23" s="1619"/>
      <c r="AF23" s="1619"/>
      <c r="AG23" s="1619"/>
      <c r="AH23" s="1619"/>
      <c r="AI23" s="1619"/>
      <c r="AJ23" s="1619"/>
      <c r="AK23" s="1619"/>
      <c r="AL23" s="1619"/>
      <c r="AM23" s="1619"/>
      <c r="AN23" s="1619"/>
      <c r="AO23" s="1619"/>
      <c r="AP23" s="1620"/>
      <c r="AQ23" s="1621"/>
      <c r="AR23" s="1621"/>
      <c r="AS23" s="1621"/>
      <c r="AT23" s="1621"/>
      <c r="AU23" s="1621"/>
      <c r="AV23" s="1621"/>
      <c r="AW23" s="1621"/>
      <c r="AX23" s="1621"/>
      <c r="AY23" s="1621"/>
      <c r="AZ23" s="1621"/>
      <c r="BA23" s="1621"/>
      <c r="BB23" s="1621"/>
      <c r="BC23" s="1621"/>
      <c r="BD23" s="1619">
        <v>1</v>
      </c>
      <c r="BE23" s="1615">
        <f t="shared" si="1"/>
        <v>1</v>
      </c>
    </row>
    <row r="24" spans="2:58" hidden="1">
      <c r="B24" s="2559" t="s">
        <v>292</v>
      </c>
      <c r="C24" s="2370"/>
      <c r="D24" s="2564" t="s">
        <v>291</v>
      </c>
      <c r="E24" s="419" t="s">
        <v>125</v>
      </c>
      <c r="F24" s="1580">
        <v>1050000000</v>
      </c>
      <c r="G24" s="1617"/>
      <c r="H24" s="1617"/>
      <c r="I24" s="1617"/>
      <c r="J24" s="1617"/>
      <c r="K24" s="1617"/>
      <c r="L24" s="1617"/>
      <c r="M24" s="1617"/>
      <c r="N24" s="1617"/>
      <c r="O24" s="1617"/>
      <c r="P24" s="1617"/>
      <c r="Q24" s="1617"/>
      <c r="R24" s="1617"/>
      <c r="S24" s="1617"/>
      <c r="T24" s="1617"/>
      <c r="U24" s="1617">
        <v>0.1</v>
      </c>
      <c r="V24" s="1617"/>
      <c r="W24" s="1617"/>
      <c r="X24" s="1617"/>
      <c r="Y24" s="1617"/>
      <c r="Z24" s="1617"/>
      <c r="AA24" s="1617"/>
      <c r="AB24" s="1617"/>
      <c r="AC24" s="1617"/>
      <c r="AD24" s="1617"/>
      <c r="AE24" s="1617"/>
      <c r="AF24" s="1617"/>
      <c r="AG24" s="1617"/>
      <c r="AH24" s="1617"/>
      <c r="AI24" s="1617">
        <v>0.2</v>
      </c>
      <c r="AJ24" s="1617"/>
      <c r="AK24" s="1617"/>
      <c r="AL24" s="1617"/>
      <c r="AM24" s="1617"/>
      <c r="AN24" s="1617"/>
      <c r="AO24" s="1617"/>
      <c r="AP24" s="1617">
        <v>0.4</v>
      </c>
      <c r="AQ24" s="1607"/>
      <c r="AR24" s="1607"/>
      <c r="AS24" s="1607"/>
      <c r="AT24" s="1607"/>
      <c r="AU24" s="1607"/>
      <c r="AV24" s="1607"/>
      <c r="AW24" s="1617">
        <v>0.25</v>
      </c>
      <c r="AX24" s="1607"/>
      <c r="AY24" s="1607"/>
      <c r="AZ24" s="1607"/>
      <c r="BA24" s="1607"/>
      <c r="BB24" s="1607"/>
      <c r="BC24" s="1607"/>
      <c r="BD24" s="1617">
        <v>0.05</v>
      </c>
      <c r="BE24" s="1608">
        <f>SUM(G24:BD24)</f>
        <v>1</v>
      </c>
    </row>
    <row r="25" spans="2:58" hidden="1">
      <c r="B25" s="2560"/>
      <c r="C25" s="2370"/>
      <c r="D25" s="2370"/>
      <c r="E25" s="419" t="s">
        <v>126</v>
      </c>
      <c r="F25" s="1580">
        <v>300000000</v>
      </c>
      <c r="G25" s="1617">
        <v>0.2</v>
      </c>
      <c r="H25" s="1617"/>
      <c r="I25" s="1617"/>
      <c r="J25" s="1617"/>
      <c r="K25" s="1617"/>
      <c r="L25" s="1617"/>
      <c r="M25" s="1617"/>
      <c r="N25" s="1617">
        <v>0.2</v>
      </c>
      <c r="O25" s="1617"/>
      <c r="P25" s="1617"/>
      <c r="Q25" s="1617"/>
      <c r="R25" s="1617"/>
      <c r="S25" s="1617"/>
      <c r="T25" s="1617"/>
      <c r="U25" s="1617">
        <v>0.5</v>
      </c>
      <c r="V25" s="1617"/>
      <c r="W25" s="1617"/>
      <c r="X25" s="1617"/>
      <c r="Y25" s="1617"/>
      <c r="Z25" s="1617"/>
      <c r="AA25" s="1617"/>
      <c r="AB25" s="1617"/>
      <c r="AC25" s="1617"/>
      <c r="AD25" s="1617"/>
      <c r="AE25" s="1617"/>
      <c r="AF25" s="1617"/>
      <c r="AG25" s="1617"/>
      <c r="AH25" s="1617"/>
      <c r="AJ25" s="1617"/>
      <c r="AK25" s="1617"/>
      <c r="AL25" s="1617"/>
      <c r="AM25" s="1617"/>
      <c r="AN25" s="1617"/>
      <c r="AO25" s="1617"/>
      <c r="AP25" s="1617"/>
      <c r="AQ25" s="1618"/>
      <c r="AR25" s="1618"/>
      <c r="AS25" s="1618"/>
      <c r="AT25" s="1618"/>
      <c r="AU25" s="1618"/>
      <c r="AV25" s="1618"/>
      <c r="AW25" s="1618"/>
      <c r="AX25" s="1618"/>
      <c r="AY25" s="1618"/>
      <c r="AZ25" s="1618"/>
      <c r="BA25" s="1618"/>
      <c r="BB25" s="1618"/>
      <c r="BC25" s="1618"/>
      <c r="BD25" s="1617">
        <v>0.1</v>
      </c>
      <c r="BE25" s="1608">
        <f t="shared" ref="BE25:BE27" si="2">SUM(G25:BD25)</f>
        <v>1</v>
      </c>
    </row>
    <row r="26" spans="2:58" hidden="1">
      <c r="B26" s="2560"/>
      <c r="C26" s="2370"/>
      <c r="D26" s="2370"/>
      <c r="E26" s="419" t="s">
        <v>287</v>
      </c>
      <c r="F26" s="1580">
        <v>200000000</v>
      </c>
      <c r="G26" s="1617">
        <v>0.2</v>
      </c>
      <c r="H26" s="1617"/>
      <c r="I26" s="1617"/>
      <c r="J26" s="1617"/>
      <c r="K26" s="1617"/>
      <c r="L26" s="1617"/>
      <c r="M26" s="1617"/>
      <c r="N26" s="1617">
        <v>0.2</v>
      </c>
      <c r="O26" s="1617"/>
      <c r="P26" s="1617"/>
      <c r="Q26" s="1617"/>
      <c r="R26" s="1617"/>
      <c r="S26" s="1617"/>
      <c r="T26" s="1617"/>
      <c r="U26" s="1617">
        <v>0.5</v>
      </c>
      <c r="V26" s="1617"/>
      <c r="W26" s="1617"/>
      <c r="X26" s="1617"/>
      <c r="Y26" s="1617"/>
      <c r="Z26" s="1617"/>
      <c r="AA26" s="1617"/>
      <c r="AB26" s="1617"/>
      <c r="AC26" s="1617"/>
      <c r="AD26" s="1617"/>
      <c r="AE26" s="1617"/>
      <c r="AF26" s="1617"/>
      <c r="AG26" s="1617"/>
      <c r="AH26" s="1617"/>
      <c r="AJ26" s="1617"/>
      <c r="AK26" s="1617"/>
      <c r="AL26" s="1617"/>
      <c r="AM26" s="1617"/>
      <c r="AN26" s="1617"/>
      <c r="AO26" s="1617"/>
      <c r="AP26" s="1617"/>
      <c r="AQ26" s="1618"/>
      <c r="AR26" s="1618"/>
      <c r="AS26" s="1618"/>
      <c r="AT26" s="1618"/>
      <c r="AU26" s="1618"/>
      <c r="AV26" s="1618"/>
      <c r="AW26" s="1618"/>
      <c r="AX26" s="1618"/>
      <c r="AY26" s="1618"/>
      <c r="AZ26" s="1618"/>
      <c r="BA26" s="1618"/>
      <c r="BB26" s="1618"/>
      <c r="BC26" s="1618"/>
      <c r="BD26" s="1617">
        <v>0.1</v>
      </c>
      <c r="BE26" s="1608">
        <f t="shared" si="2"/>
        <v>1</v>
      </c>
    </row>
    <row r="27" spans="2:58" ht="13.5" hidden="1" thickBot="1">
      <c r="B27" s="2561"/>
      <c r="C27" s="2370"/>
      <c r="D27" s="2562"/>
      <c r="E27" s="426" t="s">
        <v>129</v>
      </c>
      <c r="F27" s="1593">
        <f>40000000*7</f>
        <v>280000000</v>
      </c>
      <c r="G27" s="1619"/>
      <c r="H27" s="1619"/>
      <c r="I27" s="1619"/>
      <c r="J27" s="1619"/>
      <c r="K27" s="1619"/>
      <c r="L27" s="1619"/>
      <c r="M27" s="1619"/>
      <c r="N27" s="1619"/>
      <c r="O27" s="1619"/>
      <c r="P27" s="1619"/>
      <c r="Q27" s="1619"/>
      <c r="R27" s="1619"/>
      <c r="S27" s="1619"/>
      <c r="T27" s="1619"/>
      <c r="U27" s="1619"/>
      <c r="V27" s="1619"/>
      <c r="W27" s="1619"/>
      <c r="X27" s="1619"/>
      <c r="Y27" s="1619"/>
      <c r="Z27" s="1619"/>
      <c r="AA27" s="1619"/>
      <c r="AB27" s="1619"/>
      <c r="AC27" s="1619"/>
      <c r="AD27" s="1619"/>
      <c r="AE27" s="1619"/>
      <c r="AF27" s="1619"/>
      <c r="AG27" s="1619"/>
      <c r="AH27" s="1619"/>
      <c r="AI27" s="1619"/>
      <c r="AJ27" s="1619"/>
      <c r="AK27" s="1619"/>
      <c r="AL27" s="1619"/>
      <c r="AM27" s="1619"/>
      <c r="AN27" s="1619"/>
      <c r="AO27" s="1619"/>
      <c r="AP27" s="1620"/>
      <c r="AQ27" s="1621"/>
      <c r="AR27" s="1621"/>
      <c r="AS27" s="1621"/>
      <c r="AT27" s="1621"/>
      <c r="AU27" s="1621"/>
      <c r="AV27" s="1621"/>
      <c r="AW27" s="1621"/>
      <c r="AX27" s="1621"/>
      <c r="AY27" s="1621"/>
      <c r="AZ27" s="1621"/>
      <c r="BA27" s="1621"/>
      <c r="BB27" s="1621"/>
      <c r="BC27" s="1621"/>
      <c r="BD27" s="1619">
        <v>1</v>
      </c>
      <c r="BE27" s="1615">
        <f t="shared" si="2"/>
        <v>1</v>
      </c>
    </row>
    <row r="28" spans="2:58" hidden="1">
      <c r="B28" s="2559" t="s">
        <v>293</v>
      </c>
      <c r="C28" s="2370"/>
      <c r="D28" s="2564" t="s">
        <v>294</v>
      </c>
      <c r="E28" s="419" t="s">
        <v>125</v>
      </c>
      <c r="F28" s="1580">
        <v>1050000000</v>
      </c>
      <c r="G28" s="1617">
        <v>0.1</v>
      </c>
      <c r="H28" s="1617"/>
      <c r="I28" s="1617"/>
      <c r="J28" s="1617"/>
      <c r="K28" s="1617"/>
      <c r="L28" s="1617"/>
      <c r="M28" s="1617"/>
      <c r="N28" s="1617">
        <v>0.2</v>
      </c>
      <c r="O28" s="1617"/>
      <c r="P28" s="1617"/>
      <c r="Q28" s="1617"/>
      <c r="R28" s="1617"/>
      <c r="S28" s="1617"/>
      <c r="T28" s="1617"/>
      <c r="U28" s="1617">
        <v>0.4</v>
      </c>
      <c r="V28" s="1617"/>
      <c r="W28" s="1617"/>
      <c r="X28" s="1617"/>
      <c r="Y28" s="1617"/>
      <c r="Z28" s="1617"/>
      <c r="AA28" s="1617"/>
      <c r="AB28" s="1617"/>
      <c r="AC28" s="1617"/>
      <c r="AD28" s="1617"/>
      <c r="AE28" s="1617"/>
      <c r="AF28" s="1617"/>
      <c r="AG28" s="1617"/>
      <c r="AH28" s="1617"/>
      <c r="AI28" s="1617">
        <v>0.25</v>
      </c>
      <c r="AJ28" s="1617"/>
      <c r="AK28" s="1617"/>
      <c r="AL28" s="1617"/>
      <c r="AM28" s="1617"/>
      <c r="AN28" s="1617"/>
      <c r="AO28" s="1617"/>
      <c r="AP28" s="1617">
        <v>0.05</v>
      </c>
      <c r="AQ28" s="1607"/>
      <c r="AR28" s="1607"/>
      <c r="AS28" s="1607"/>
      <c r="AT28" s="1607"/>
      <c r="AU28" s="1607"/>
      <c r="AV28" s="1607"/>
      <c r="AW28" s="1607"/>
      <c r="AX28" s="1607"/>
      <c r="AY28" s="1607"/>
      <c r="AZ28" s="1607"/>
      <c r="BA28" s="1607"/>
      <c r="BB28" s="1607"/>
      <c r="BC28" s="1607"/>
      <c r="BD28" s="1607"/>
      <c r="BE28" s="1608">
        <f t="shared" ref="BE28:BE30" si="3">SUM(G28:AW28)</f>
        <v>1</v>
      </c>
      <c r="BF28" s="1616"/>
    </row>
    <row r="29" spans="2:58" hidden="1">
      <c r="B29" s="2560"/>
      <c r="C29" s="2370"/>
      <c r="D29" s="2370"/>
      <c r="E29" s="419" t="s">
        <v>126</v>
      </c>
      <c r="F29" s="1580">
        <v>300000000</v>
      </c>
      <c r="G29" s="1617">
        <v>0.2</v>
      </c>
      <c r="H29" s="1617"/>
      <c r="I29" s="1617"/>
      <c r="J29" s="1617"/>
      <c r="K29" s="1617"/>
      <c r="L29" s="1617"/>
      <c r="M29" s="1617"/>
      <c r="N29" s="1617">
        <v>0.2</v>
      </c>
      <c r="O29" s="1617"/>
      <c r="P29" s="1617"/>
      <c r="Q29" s="1617"/>
      <c r="R29" s="1617"/>
      <c r="S29" s="1617"/>
      <c r="T29" s="1617"/>
      <c r="U29" s="1617">
        <v>0.5</v>
      </c>
      <c r="V29" s="1617"/>
      <c r="W29" s="1617"/>
      <c r="X29" s="1617"/>
      <c r="Y29" s="1617"/>
      <c r="Z29" s="1617"/>
      <c r="AA29" s="1617"/>
      <c r="AB29" s="1617"/>
      <c r="AC29" s="1617"/>
      <c r="AD29" s="1617"/>
      <c r="AE29" s="1617"/>
      <c r="AF29" s="1617"/>
      <c r="AG29" s="1617"/>
      <c r="AH29" s="1617"/>
      <c r="AI29" s="1617">
        <v>0.1</v>
      </c>
      <c r="AJ29" s="1617"/>
      <c r="AK29" s="1617"/>
      <c r="AL29" s="1617"/>
      <c r="AM29" s="1617"/>
      <c r="AN29" s="1617"/>
      <c r="AO29" s="1617"/>
      <c r="AP29" s="1617"/>
      <c r="AQ29" s="1618"/>
      <c r="AR29" s="1618"/>
      <c r="AS29" s="1618"/>
      <c r="AT29" s="1618"/>
      <c r="AU29" s="1618"/>
      <c r="AV29" s="1618"/>
      <c r="AW29" s="1618"/>
      <c r="AX29" s="1618"/>
      <c r="AY29" s="1618"/>
      <c r="AZ29" s="1618"/>
      <c r="BA29" s="1618"/>
      <c r="BB29" s="1618"/>
      <c r="BC29" s="1618"/>
      <c r="BD29" s="1618"/>
      <c r="BE29" s="1608">
        <f t="shared" si="3"/>
        <v>1</v>
      </c>
    </row>
    <row r="30" spans="2:58" hidden="1">
      <c r="B30" s="2560"/>
      <c r="C30" s="2370"/>
      <c r="D30" s="2370"/>
      <c r="E30" s="419" t="s">
        <v>287</v>
      </c>
      <c r="F30" s="1580">
        <v>200000000</v>
      </c>
      <c r="G30" s="1617">
        <v>0.2</v>
      </c>
      <c r="H30" s="1617"/>
      <c r="I30" s="1617"/>
      <c r="J30" s="1617"/>
      <c r="K30" s="1617"/>
      <c r="L30" s="1617"/>
      <c r="M30" s="1617"/>
      <c r="N30" s="1617">
        <v>0.2</v>
      </c>
      <c r="O30" s="1617"/>
      <c r="P30" s="1617"/>
      <c r="Q30" s="1617"/>
      <c r="R30" s="1617"/>
      <c r="S30" s="1617"/>
      <c r="T30" s="1617"/>
      <c r="U30" s="1617">
        <v>0.5</v>
      </c>
      <c r="V30" s="1617"/>
      <c r="W30" s="1617"/>
      <c r="X30" s="1617"/>
      <c r="Y30" s="1617"/>
      <c r="Z30" s="1617"/>
      <c r="AA30" s="1617"/>
      <c r="AB30" s="1617"/>
      <c r="AC30" s="1617"/>
      <c r="AD30" s="1617"/>
      <c r="AE30" s="1617"/>
      <c r="AF30" s="1617"/>
      <c r="AG30" s="1617"/>
      <c r="AH30" s="1617"/>
      <c r="AI30" s="1617">
        <v>0.1</v>
      </c>
      <c r="AJ30" s="1617"/>
      <c r="AK30" s="1617"/>
      <c r="AL30" s="1617"/>
      <c r="AM30" s="1617"/>
      <c r="AN30" s="1617"/>
      <c r="AO30" s="1617"/>
      <c r="AP30" s="1617"/>
      <c r="AQ30" s="1618"/>
      <c r="AR30" s="1618"/>
      <c r="AS30" s="1618"/>
      <c r="AT30" s="1618"/>
      <c r="AU30" s="1618"/>
      <c r="AV30" s="1618"/>
      <c r="AW30" s="1618"/>
      <c r="AX30" s="1618"/>
      <c r="AY30" s="1618"/>
      <c r="AZ30" s="1618"/>
      <c r="BA30" s="1618"/>
      <c r="BB30" s="1618"/>
      <c r="BC30" s="1618"/>
      <c r="BD30" s="1618"/>
      <c r="BE30" s="1608">
        <f t="shared" si="3"/>
        <v>1</v>
      </c>
    </row>
    <row r="31" spans="2:58" ht="13.5" hidden="1" thickBot="1">
      <c r="B31" s="2561"/>
      <c r="C31" s="2562"/>
      <c r="D31" s="2562"/>
      <c r="E31" s="426" t="s">
        <v>129</v>
      </c>
      <c r="F31" s="1593"/>
      <c r="G31" s="1619">
        <v>0.2</v>
      </c>
      <c r="H31" s="1619"/>
      <c r="I31" s="1619"/>
      <c r="J31" s="1619"/>
      <c r="K31" s="1619"/>
      <c r="L31" s="1619"/>
      <c r="M31" s="1619"/>
      <c r="N31" s="1619">
        <v>0.2</v>
      </c>
      <c r="O31" s="1619"/>
      <c r="P31" s="1619"/>
      <c r="Q31" s="1619"/>
      <c r="R31" s="1619"/>
      <c r="S31" s="1619"/>
      <c r="T31" s="1619"/>
      <c r="U31" s="1619">
        <v>0.5</v>
      </c>
      <c r="V31" s="1619"/>
      <c r="W31" s="1619"/>
      <c r="X31" s="1619"/>
      <c r="Y31" s="1619"/>
      <c r="Z31" s="1619"/>
      <c r="AA31" s="1619"/>
      <c r="AB31" s="1619"/>
      <c r="AC31" s="1619"/>
      <c r="AD31" s="1619"/>
      <c r="AE31" s="1619"/>
      <c r="AF31" s="1619"/>
      <c r="AG31" s="1619"/>
      <c r="AH31" s="1619"/>
      <c r="AI31" s="1619">
        <v>0.1</v>
      </c>
      <c r="AJ31" s="1619"/>
      <c r="AK31" s="1619"/>
      <c r="AL31" s="1619"/>
      <c r="AM31" s="1619"/>
      <c r="AN31" s="1619"/>
      <c r="AO31" s="1619"/>
      <c r="AP31" s="1620"/>
      <c r="AQ31" s="1621"/>
      <c r="AR31" s="1621"/>
      <c r="AS31" s="1621"/>
      <c r="AT31" s="1621"/>
      <c r="AU31" s="1621"/>
      <c r="AV31" s="1621"/>
      <c r="AW31" s="1621"/>
      <c r="AX31" s="1621"/>
      <c r="AY31" s="1621"/>
      <c r="AZ31" s="1621"/>
      <c r="BA31" s="1621"/>
      <c r="BB31" s="1621"/>
      <c r="BC31" s="1621"/>
      <c r="BD31" s="1621"/>
      <c r="BE31" s="1615">
        <f>SUM(G31:AW31)</f>
        <v>1</v>
      </c>
    </row>
    <row r="32" spans="2:58" ht="19.5" hidden="1" customHeight="1" thickBot="1"/>
    <row r="33" spans="2:57" ht="19.5" hidden="1" customHeight="1">
      <c r="B33" s="2556" t="s">
        <v>262</v>
      </c>
      <c r="C33" s="2557"/>
      <c r="D33" s="2557"/>
      <c r="E33" s="2558"/>
      <c r="F33" s="1602" t="s">
        <v>263</v>
      </c>
      <c r="G33" s="1602" t="s">
        <v>264</v>
      </c>
      <c r="H33" s="1602"/>
      <c r="I33" s="1602"/>
      <c r="J33" s="1602"/>
      <c r="K33" s="1602"/>
      <c r="L33" s="1602"/>
      <c r="M33" s="1602"/>
      <c r="N33" s="1602" t="s">
        <v>265</v>
      </c>
      <c r="O33" s="1602"/>
      <c r="P33" s="1602"/>
      <c r="Q33" s="1602"/>
      <c r="R33" s="1602"/>
      <c r="S33" s="1602"/>
      <c r="T33" s="1602"/>
      <c r="U33" s="1602" t="s">
        <v>266</v>
      </c>
      <c r="V33" s="1602"/>
      <c r="W33" s="1602"/>
      <c r="X33" s="1602"/>
      <c r="Y33" s="1602"/>
      <c r="Z33" s="1602"/>
      <c r="AA33" s="1602"/>
      <c r="AB33" s="1602" t="s">
        <v>267</v>
      </c>
      <c r="AC33" s="1602"/>
      <c r="AD33" s="1602"/>
      <c r="AE33" s="1602"/>
      <c r="AF33" s="1602"/>
      <c r="AG33" s="1602"/>
      <c r="AH33" s="1602"/>
      <c r="AI33" s="1602" t="s">
        <v>268</v>
      </c>
      <c r="AJ33" s="1604"/>
      <c r="AK33" s="1604"/>
      <c r="AL33" s="1604"/>
      <c r="AM33" s="1604"/>
      <c r="AN33" s="1604"/>
      <c r="AO33" s="1604"/>
      <c r="AP33" s="1604" t="s">
        <v>269</v>
      </c>
      <c r="AQ33" s="1604"/>
      <c r="AR33" s="1604"/>
      <c r="AS33" s="1604"/>
      <c r="AT33" s="1604"/>
      <c r="AU33" s="1604"/>
      <c r="AV33" s="1604"/>
      <c r="AW33" s="1604" t="s">
        <v>270</v>
      </c>
      <c r="AX33" s="1604" t="s">
        <v>271</v>
      </c>
      <c r="AY33" s="1604" t="s">
        <v>272</v>
      </c>
      <c r="AZ33" s="1604" t="s">
        <v>273</v>
      </c>
      <c r="BA33" s="1604" t="s">
        <v>274</v>
      </c>
      <c r="BB33" s="1604" t="s">
        <v>275</v>
      </c>
      <c r="BC33" s="1604" t="s">
        <v>276</v>
      </c>
      <c r="BD33" s="1604" t="s">
        <v>277</v>
      </c>
      <c r="BE33" s="1605" t="s">
        <v>278</v>
      </c>
    </row>
    <row r="34" spans="2:57" hidden="1">
      <c r="B34" s="2559" t="s">
        <v>295</v>
      </c>
      <c r="C34" s="2372" t="s">
        <v>290</v>
      </c>
      <c r="D34" s="2372" t="s">
        <v>296</v>
      </c>
      <c r="E34" s="419" t="s">
        <v>125</v>
      </c>
      <c r="F34" s="1580">
        <v>1050000000</v>
      </c>
      <c r="G34" s="1617"/>
      <c r="H34" s="1617"/>
      <c r="I34" s="1617"/>
      <c r="J34" s="1617"/>
      <c r="K34" s="1617"/>
      <c r="L34" s="1617"/>
      <c r="M34" s="1617"/>
      <c r="N34" s="1617"/>
      <c r="O34" s="1617"/>
      <c r="P34" s="1617"/>
      <c r="Q34" s="1617"/>
      <c r="R34" s="1617"/>
      <c r="S34" s="1617"/>
      <c r="T34" s="1617"/>
      <c r="U34" s="1617">
        <v>0.1</v>
      </c>
      <c r="V34" s="1617"/>
      <c r="W34" s="1617"/>
      <c r="X34" s="1617"/>
      <c r="Y34" s="1617"/>
      <c r="Z34" s="1617"/>
      <c r="AA34" s="1617"/>
      <c r="AB34" s="1617"/>
      <c r="AC34" s="1617"/>
      <c r="AD34" s="1617"/>
      <c r="AE34" s="1617"/>
      <c r="AF34" s="1617"/>
      <c r="AG34" s="1617"/>
      <c r="AH34" s="1617"/>
      <c r="AI34" s="1617">
        <v>0.2</v>
      </c>
      <c r="AJ34" s="1617"/>
      <c r="AK34" s="1617"/>
      <c r="AL34" s="1617"/>
      <c r="AM34" s="1617"/>
      <c r="AN34" s="1617"/>
      <c r="AO34" s="1617"/>
      <c r="AP34" s="1617">
        <v>0.4</v>
      </c>
      <c r="AQ34" s="1617"/>
      <c r="AR34" s="1617"/>
      <c r="AS34" s="1617"/>
      <c r="AT34" s="1617"/>
      <c r="AU34" s="1617"/>
      <c r="AV34" s="1617"/>
      <c r="AW34" s="1617">
        <v>0.25</v>
      </c>
      <c r="AX34" s="1617"/>
      <c r="AY34" s="1617"/>
      <c r="AZ34" s="1617"/>
      <c r="BA34" s="1617"/>
      <c r="BB34" s="1617"/>
      <c r="BC34" s="1617"/>
      <c r="BD34" s="1617">
        <v>0.05</v>
      </c>
      <c r="BE34" s="1608">
        <f t="shared" ref="BE34:BE45" si="4">SUM(G34:BD34)</f>
        <v>1</v>
      </c>
    </row>
    <row r="35" spans="2:57" ht="16.5" hidden="1" customHeight="1">
      <c r="B35" s="2560"/>
      <c r="C35" s="2370"/>
      <c r="D35" s="2370"/>
      <c r="E35" s="419" t="s">
        <v>126</v>
      </c>
      <c r="F35" s="1580">
        <v>300000000</v>
      </c>
      <c r="G35" s="1617">
        <v>0.3</v>
      </c>
      <c r="H35" s="1617"/>
      <c r="I35" s="1617"/>
      <c r="J35" s="1617"/>
      <c r="K35" s="1617"/>
      <c r="L35" s="1617"/>
      <c r="M35" s="1617"/>
      <c r="N35" s="1617">
        <v>0.1</v>
      </c>
      <c r="O35" s="1617"/>
      <c r="P35" s="1617"/>
      <c r="Q35" s="1617"/>
      <c r="R35" s="1617"/>
      <c r="S35" s="1617"/>
      <c r="T35" s="1617"/>
      <c r="U35" s="1617">
        <v>0.5</v>
      </c>
      <c r="V35" s="1617"/>
      <c r="W35" s="1617"/>
      <c r="X35" s="1617"/>
      <c r="Y35" s="1617"/>
      <c r="Z35" s="1617"/>
      <c r="AA35" s="1617"/>
      <c r="AB35" s="1617"/>
      <c r="AC35" s="1617"/>
      <c r="AD35" s="1617"/>
      <c r="AE35" s="1617"/>
      <c r="AF35" s="1617"/>
      <c r="AG35" s="1617"/>
      <c r="AH35" s="1617"/>
      <c r="AI35" s="1617"/>
      <c r="AJ35" s="1617"/>
      <c r="AK35" s="1617"/>
      <c r="AL35" s="1617"/>
      <c r="AM35" s="1617"/>
      <c r="AN35" s="1617"/>
      <c r="AO35" s="1617"/>
      <c r="AP35" s="1617"/>
      <c r="AQ35" s="1618"/>
      <c r="AR35" s="1618"/>
      <c r="AS35" s="1618"/>
      <c r="AT35" s="1618"/>
      <c r="AU35" s="1618"/>
      <c r="AV35" s="1618"/>
      <c r="AW35" s="1618"/>
      <c r="AX35" s="1618"/>
      <c r="AY35" s="1618"/>
      <c r="AZ35" s="1618"/>
      <c r="BA35" s="1618"/>
      <c r="BB35" s="1618"/>
      <c r="BC35" s="1618"/>
      <c r="BD35" s="1617">
        <v>0.1</v>
      </c>
      <c r="BE35" s="1608">
        <f t="shared" si="4"/>
        <v>1</v>
      </c>
    </row>
    <row r="36" spans="2:57" ht="16.5" hidden="1" customHeight="1">
      <c r="B36" s="2560"/>
      <c r="C36" s="2370"/>
      <c r="D36" s="2370"/>
      <c r="E36" s="419" t="s">
        <v>281</v>
      </c>
      <c r="F36" s="1580">
        <v>50000000</v>
      </c>
      <c r="G36" s="1617">
        <v>0.3</v>
      </c>
      <c r="H36" s="1617"/>
      <c r="I36" s="1617"/>
      <c r="J36" s="1617"/>
      <c r="K36" s="1617"/>
      <c r="L36" s="1617"/>
      <c r="M36" s="1617"/>
      <c r="N36" s="1617">
        <v>0.1</v>
      </c>
      <c r="O36" s="1617"/>
      <c r="P36" s="1617"/>
      <c r="Q36" s="1617"/>
      <c r="R36" s="1617"/>
      <c r="S36" s="1617"/>
      <c r="T36" s="1617"/>
      <c r="U36" s="1617">
        <v>0.5</v>
      </c>
      <c r="V36" s="1617"/>
      <c r="W36" s="1617"/>
      <c r="X36" s="1617"/>
      <c r="Y36" s="1617"/>
      <c r="Z36" s="1617"/>
      <c r="AA36" s="1617"/>
      <c r="AB36" s="1617"/>
      <c r="AC36" s="1617"/>
      <c r="AD36" s="1617"/>
      <c r="AE36" s="1617"/>
      <c r="AF36" s="1617"/>
      <c r="AG36" s="1617"/>
      <c r="AH36" s="1617"/>
      <c r="AI36" s="1617"/>
      <c r="AJ36" s="1617"/>
      <c r="AK36" s="1617"/>
      <c r="AL36" s="1617"/>
      <c r="AM36" s="1617"/>
      <c r="AN36" s="1617"/>
      <c r="AO36" s="1617"/>
      <c r="AP36" s="1617"/>
      <c r="AQ36" s="1618"/>
      <c r="AR36" s="1618"/>
      <c r="AS36" s="1618"/>
      <c r="AT36" s="1618"/>
      <c r="AU36" s="1618"/>
      <c r="AV36" s="1618"/>
      <c r="AW36" s="1618"/>
      <c r="AX36" s="1618"/>
      <c r="AY36" s="1618"/>
      <c r="AZ36" s="1618"/>
      <c r="BA36" s="1618"/>
      <c r="BB36" s="1618"/>
      <c r="BC36" s="1618"/>
      <c r="BD36" s="1617">
        <v>0.1</v>
      </c>
      <c r="BE36" s="1608">
        <f t="shared" si="4"/>
        <v>1</v>
      </c>
    </row>
    <row r="37" spans="2:57" ht="17.25" hidden="1" customHeight="1" thickBot="1">
      <c r="B37" s="2561"/>
      <c r="C37" s="2370"/>
      <c r="D37" s="2562"/>
      <c r="E37" s="426" t="s">
        <v>282</v>
      </c>
      <c r="F37" s="1593">
        <f>35000000*5</f>
        <v>175000000</v>
      </c>
      <c r="G37" s="1619"/>
      <c r="H37" s="1619"/>
      <c r="I37" s="1619"/>
      <c r="J37" s="1619"/>
      <c r="K37" s="1619"/>
      <c r="L37" s="1619"/>
      <c r="M37" s="1619"/>
      <c r="N37" s="1619"/>
      <c r="O37" s="1619"/>
      <c r="P37" s="1619"/>
      <c r="Q37" s="1619"/>
      <c r="R37" s="1619"/>
      <c r="S37" s="1619"/>
      <c r="T37" s="1619"/>
      <c r="U37" s="1619"/>
      <c r="V37" s="1619"/>
      <c r="W37" s="1619"/>
      <c r="X37" s="1619"/>
      <c r="Y37" s="1619"/>
      <c r="Z37" s="1619"/>
      <c r="AA37" s="1619"/>
      <c r="AB37" s="1619"/>
      <c r="AC37" s="1619"/>
      <c r="AD37" s="1619"/>
      <c r="AE37" s="1619"/>
      <c r="AF37" s="1619"/>
      <c r="AG37" s="1619"/>
      <c r="AH37" s="1619"/>
      <c r="AI37" s="1619"/>
      <c r="AJ37" s="1619"/>
      <c r="AK37" s="1619"/>
      <c r="AL37" s="1619"/>
      <c r="AM37" s="1619"/>
      <c r="AN37" s="1619"/>
      <c r="AO37" s="1619"/>
      <c r="AP37" s="1620"/>
      <c r="AQ37" s="1621"/>
      <c r="AR37" s="1621"/>
      <c r="AS37" s="1621"/>
      <c r="AT37" s="1621"/>
      <c r="AU37" s="1621"/>
      <c r="AV37" s="1621"/>
      <c r="AW37" s="1621"/>
      <c r="AX37" s="1621"/>
      <c r="AY37" s="1621"/>
      <c r="AZ37" s="1621"/>
      <c r="BA37" s="1621"/>
      <c r="BB37" s="1621"/>
      <c r="BC37" s="1621"/>
      <c r="BD37" s="1619">
        <v>1</v>
      </c>
      <c r="BE37" s="1615">
        <f t="shared" si="4"/>
        <v>1</v>
      </c>
    </row>
    <row r="38" spans="2:57" ht="16.5" hidden="1" customHeight="1">
      <c r="B38" s="2559" t="s">
        <v>297</v>
      </c>
      <c r="C38" s="2370"/>
      <c r="D38" s="2564" t="s">
        <v>296</v>
      </c>
      <c r="E38" s="419" t="s">
        <v>125</v>
      </c>
      <c r="F38" s="1580">
        <v>1050000000</v>
      </c>
      <c r="G38" s="1617"/>
      <c r="H38" s="1617"/>
      <c r="I38" s="1617"/>
      <c r="J38" s="1617"/>
      <c r="K38" s="1617"/>
      <c r="L38" s="1617"/>
      <c r="M38" s="1617"/>
      <c r="N38" s="1617"/>
      <c r="O38" s="1617"/>
      <c r="P38" s="1617"/>
      <c r="Q38" s="1617"/>
      <c r="R38" s="1617"/>
      <c r="S38" s="1617"/>
      <c r="T38" s="1617"/>
      <c r="U38" s="1617">
        <v>0.1</v>
      </c>
      <c r="V38" s="1617"/>
      <c r="W38" s="1617"/>
      <c r="X38" s="1617"/>
      <c r="Y38" s="1617"/>
      <c r="Z38" s="1617"/>
      <c r="AA38" s="1617"/>
      <c r="AB38" s="1617"/>
      <c r="AC38" s="1617"/>
      <c r="AD38" s="1617"/>
      <c r="AE38" s="1617"/>
      <c r="AF38" s="1617"/>
      <c r="AG38" s="1617"/>
      <c r="AH38" s="1617"/>
      <c r="AI38" s="1617">
        <v>0.2</v>
      </c>
      <c r="AJ38" s="1617"/>
      <c r="AK38" s="1617"/>
      <c r="AL38" s="1617"/>
      <c r="AM38" s="1617"/>
      <c r="AN38" s="1617"/>
      <c r="AO38" s="1617"/>
      <c r="AP38" s="1617">
        <v>0.4</v>
      </c>
      <c r="AQ38" s="1617"/>
      <c r="AR38" s="1617"/>
      <c r="AS38" s="1617"/>
      <c r="AT38" s="1617"/>
      <c r="AU38" s="1617"/>
      <c r="AV38" s="1617"/>
      <c r="AW38" s="1617">
        <v>0.25</v>
      </c>
      <c r="AX38" s="1617"/>
      <c r="AY38" s="1617"/>
      <c r="AZ38" s="1617"/>
      <c r="BA38" s="1617"/>
      <c r="BB38" s="1617"/>
      <c r="BC38" s="1617"/>
      <c r="BD38" s="1617">
        <v>0.05</v>
      </c>
      <c r="BE38" s="1608">
        <f t="shared" si="4"/>
        <v>1</v>
      </c>
    </row>
    <row r="39" spans="2:57" ht="16.5" hidden="1" customHeight="1">
      <c r="B39" s="2560"/>
      <c r="C39" s="2370"/>
      <c r="D39" s="2370"/>
      <c r="E39" s="419" t="s">
        <v>126</v>
      </c>
      <c r="F39" s="1580">
        <v>300000000</v>
      </c>
      <c r="G39" s="1617">
        <v>0.3</v>
      </c>
      <c r="H39" s="1617"/>
      <c r="I39" s="1617"/>
      <c r="J39" s="1617"/>
      <c r="K39" s="1617"/>
      <c r="L39" s="1617"/>
      <c r="M39" s="1617"/>
      <c r="N39" s="1617">
        <v>0.1</v>
      </c>
      <c r="O39" s="1617"/>
      <c r="P39" s="1617"/>
      <c r="Q39" s="1617"/>
      <c r="R39" s="1617"/>
      <c r="S39" s="1617"/>
      <c r="T39" s="1617"/>
      <c r="U39" s="1617">
        <v>0.5</v>
      </c>
      <c r="V39" s="1617"/>
      <c r="W39" s="1617"/>
      <c r="X39" s="1617"/>
      <c r="Y39" s="1617"/>
      <c r="Z39" s="1617"/>
      <c r="AA39" s="1617"/>
      <c r="AB39" s="1617"/>
      <c r="AC39" s="1617"/>
      <c r="AD39" s="1617"/>
      <c r="AE39" s="1617"/>
      <c r="AF39" s="1617"/>
      <c r="AG39" s="1617"/>
      <c r="AH39" s="1617"/>
      <c r="AI39" s="1617"/>
      <c r="AJ39" s="1617"/>
      <c r="AK39" s="1617"/>
      <c r="AL39" s="1617"/>
      <c r="AM39" s="1617"/>
      <c r="AN39" s="1617"/>
      <c r="AO39" s="1617"/>
      <c r="AP39" s="1617"/>
      <c r="AQ39" s="1618"/>
      <c r="AR39" s="1618"/>
      <c r="AS39" s="1618"/>
      <c r="AT39" s="1618"/>
      <c r="AU39" s="1618"/>
      <c r="AV39" s="1618"/>
      <c r="AW39" s="1618"/>
      <c r="AX39" s="1618"/>
      <c r="AY39" s="1618"/>
      <c r="AZ39" s="1618"/>
      <c r="BA39" s="1618"/>
      <c r="BB39" s="1618"/>
      <c r="BC39" s="1618"/>
      <c r="BD39" s="1617">
        <v>0.1</v>
      </c>
      <c r="BE39" s="1608">
        <f t="shared" si="4"/>
        <v>1</v>
      </c>
    </row>
    <row r="40" spans="2:57" ht="16.5" hidden="1" customHeight="1">
      <c r="B40" s="2560"/>
      <c r="C40" s="2370"/>
      <c r="D40" s="2370"/>
      <c r="E40" s="419" t="s">
        <v>287</v>
      </c>
      <c r="F40" s="1580">
        <v>150000000</v>
      </c>
      <c r="G40" s="1617">
        <v>0.3</v>
      </c>
      <c r="H40" s="1617"/>
      <c r="I40" s="1617"/>
      <c r="J40" s="1617"/>
      <c r="K40" s="1617"/>
      <c r="L40" s="1617"/>
      <c r="M40" s="1617"/>
      <c r="N40" s="1617">
        <v>0.1</v>
      </c>
      <c r="O40" s="1617"/>
      <c r="P40" s="1617"/>
      <c r="Q40" s="1617"/>
      <c r="R40" s="1617"/>
      <c r="S40" s="1617"/>
      <c r="T40" s="1617"/>
      <c r="U40" s="1617">
        <v>0.5</v>
      </c>
      <c r="V40" s="1617"/>
      <c r="W40" s="1617"/>
      <c r="X40" s="1617"/>
      <c r="Y40" s="1617"/>
      <c r="Z40" s="1617"/>
      <c r="AA40" s="1617"/>
      <c r="AB40" s="1617"/>
      <c r="AC40" s="1617"/>
      <c r="AD40" s="1617"/>
      <c r="AE40" s="1617"/>
      <c r="AF40" s="1617"/>
      <c r="AG40" s="1617"/>
      <c r="AH40" s="1617"/>
      <c r="AI40" s="1617"/>
      <c r="AJ40" s="1617"/>
      <c r="AK40" s="1617"/>
      <c r="AL40" s="1617"/>
      <c r="AM40" s="1617"/>
      <c r="AN40" s="1617"/>
      <c r="AO40" s="1617"/>
      <c r="AP40" s="1617"/>
      <c r="AQ40" s="1618"/>
      <c r="AR40" s="1618"/>
      <c r="AS40" s="1618"/>
      <c r="AT40" s="1618"/>
      <c r="AU40" s="1618"/>
      <c r="AV40" s="1618"/>
      <c r="AW40" s="1618"/>
      <c r="AX40" s="1618"/>
      <c r="AY40" s="1618"/>
      <c r="AZ40" s="1618"/>
      <c r="BA40" s="1618"/>
      <c r="BB40" s="1618"/>
      <c r="BC40" s="1618"/>
      <c r="BD40" s="1617">
        <v>0.1</v>
      </c>
      <c r="BE40" s="1608">
        <f t="shared" si="4"/>
        <v>1</v>
      </c>
    </row>
    <row r="41" spans="2:57" ht="17.25" hidden="1" customHeight="1" thickBot="1">
      <c r="B41" s="2561"/>
      <c r="C41" s="2370"/>
      <c r="D41" s="2562"/>
      <c r="E41" s="426" t="s">
        <v>129</v>
      </c>
      <c r="F41" s="1593">
        <f>35000000*5</f>
        <v>175000000</v>
      </c>
      <c r="G41" s="1619"/>
      <c r="H41" s="1619"/>
      <c r="I41" s="1619"/>
      <c r="J41" s="1619"/>
      <c r="K41" s="1619"/>
      <c r="L41" s="1619"/>
      <c r="M41" s="1619"/>
      <c r="N41" s="1619"/>
      <c r="O41" s="1619"/>
      <c r="P41" s="1619"/>
      <c r="Q41" s="1619"/>
      <c r="R41" s="1619"/>
      <c r="S41" s="1619"/>
      <c r="T41" s="1619"/>
      <c r="U41" s="1619"/>
      <c r="V41" s="1619"/>
      <c r="W41" s="1619"/>
      <c r="X41" s="1619"/>
      <c r="Y41" s="1619"/>
      <c r="Z41" s="1619"/>
      <c r="AA41" s="1619"/>
      <c r="AB41" s="1619"/>
      <c r="AC41" s="1619"/>
      <c r="AD41" s="1619"/>
      <c r="AE41" s="1619"/>
      <c r="AF41" s="1619"/>
      <c r="AG41" s="1619"/>
      <c r="AH41" s="1619"/>
      <c r="AI41" s="1619"/>
      <c r="AJ41" s="1619"/>
      <c r="AK41" s="1619"/>
      <c r="AL41" s="1619"/>
      <c r="AM41" s="1619"/>
      <c r="AN41" s="1619"/>
      <c r="AO41" s="1619"/>
      <c r="AP41" s="1620"/>
      <c r="AQ41" s="1621"/>
      <c r="AR41" s="1621"/>
      <c r="AS41" s="1621"/>
      <c r="AT41" s="1621"/>
      <c r="AU41" s="1621"/>
      <c r="AV41" s="1621"/>
      <c r="AW41" s="1621"/>
      <c r="AX41" s="1621"/>
      <c r="AY41" s="1621"/>
      <c r="AZ41" s="1621"/>
      <c r="BA41" s="1621"/>
      <c r="BB41" s="1621"/>
      <c r="BC41" s="1621"/>
      <c r="BD41" s="1619">
        <v>1</v>
      </c>
      <c r="BE41" s="1615">
        <f t="shared" si="4"/>
        <v>1</v>
      </c>
    </row>
    <row r="42" spans="2:57" ht="16.5" hidden="1" customHeight="1">
      <c r="B42" s="2559" t="s">
        <v>298</v>
      </c>
      <c r="C42" s="2370"/>
      <c r="D42" s="2564" t="s">
        <v>296</v>
      </c>
      <c r="E42" s="419" t="s">
        <v>125</v>
      </c>
      <c r="F42" s="1580">
        <v>1050000000</v>
      </c>
      <c r="G42" s="1617"/>
      <c r="H42" s="1617"/>
      <c r="I42" s="1617"/>
      <c r="J42" s="1617"/>
      <c r="K42" s="1617"/>
      <c r="L42" s="1617"/>
      <c r="M42" s="1617"/>
      <c r="N42" s="1617"/>
      <c r="O42" s="1617"/>
      <c r="P42" s="1617"/>
      <c r="Q42" s="1617"/>
      <c r="R42" s="1617"/>
      <c r="S42" s="1617"/>
      <c r="T42" s="1617"/>
      <c r="U42" s="1617">
        <v>0.1</v>
      </c>
      <c r="V42" s="1617"/>
      <c r="W42" s="1617"/>
      <c r="X42" s="1617"/>
      <c r="Y42" s="1617"/>
      <c r="Z42" s="1617"/>
      <c r="AA42" s="1617"/>
      <c r="AB42" s="1617"/>
      <c r="AC42" s="1617"/>
      <c r="AD42" s="1617"/>
      <c r="AE42" s="1617"/>
      <c r="AF42" s="1617"/>
      <c r="AG42" s="1617"/>
      <c r="AH42" s="1617"/>
      <c r="AI42" s="1617">
        <v>0.2</v>
      </c>
      <c r="AJ42" s="1617"/>
      <c r="AK42" s="1617"/>
      <c r="AL42" s="1617"/>
      <c r="AM42" s="1617"/>
      <c r="AN42" s="1617"/>
      <c r="AO42" s="1617"/>
      <c r="AP42" s="1617">
        <v>0.4</v>
      </c>
      <c r="AQ42" s="1617"/>
      <c r="AR42" s="1617"/>
      <c r="AS42" s="1617"/>
      <c r="AT42" s="1617"/>
      <c r="AU42" s="1617"/>
      <c r="AV42" s="1617"/>
      <c r="AW42" s="1617">
        <v>0.25</v>
      </c>
      <c r="AX42" s="1617"/>
      <c r="AY42" s="1617"/>
      <c r="AZ42" s="1617"/>
      <c r="BA42" s="1617"/>
      <c r="BB42" s="1617"/>
      <c r="BC42" s="1617"/>
      <c r="BD42" s="1617">
        <v>0.05</v>
      </c>
      <c r="BE42" s="1608">
        <f t="shared" si="4"/>
        <v>1</v>
      </c>
    </row>
    <row r="43" spans="2:57" ht="16.5" hidden="1" customHeight="1">
      <c r="B43" s="2560"/>
      <c r="C43" s="2370"/>
      <c r="D43" s="2370"/>
      <c r="E43" s="419" t="s">
        <v>126</v>
      </c>
      <c r="F43" s="1580">
        <v>300000000</v>
      </c>
      <c r="G43" s="1617">
        <v>0.3</v>
      </c>
      <c r="H43" s="1617"/>
      <c r="I43" s="1617"/>
      <c r="J43" s="1617"/>
      <c r="K43" s="1617"/>
      <c r="L43" s="1617"/>
      <c r="M43" s="1617"/>
      <c r="N43" s="1617">
        <v>0.1</v>
      </c>
      <c r="O43" s="1617"/>
      <c r="P43" s="1617"/>
      <c r="Q43" s="1617"/>
      <c r="R43" s="1617"/>
      <c r="S43" s="1617"/>
      <c r="T43" s="1617"/>
      <c r="U43" s="1617">
        <v>0.5</v>
      </c>
      <c r="V43" s="1617"/>
      <c r="W43" s="1617"/>
      <c r="X43" s="1617"/>
      <c r="Y43" s="1617"/>
      <c r="Z43" s="1617"/>
      <c r="AA43" s="1617"/>
      <c r="AB43" s="1617"/>
      <c r="AC43" s="1617"/>
      <c r="AD43" s="1617"/>
      <c r="AE43" s="1617"/>
      <c r="AF43" s="1617"/>
      <c r="AG43" s="1617"/>
      <c r="AH43" s="1617"/>
      <c r="AI43" s="1617"/>
      <c r="AJ43" s="1617"/>
      <c r="AK43" s="1617"/>
      <c r="AL43" s="1617"/>
      <c r="AM43" s="1617"/>
      <c r="AN43" s="1617"/>
      <c r="AO43" s="1617"/>
      <c r="AP43" s="1617"/>
      <c r="AQ43" s="1618"/>
      <c r="AR43" s="1618"/>
      <c r="AS43" s="1618"/>
      <c r="AT43" s="1618"/>
      <c r="AU43" s="1618"/>
      <c r="AV43" s="1618"/>
      <c r="AW43" s="1618"/>
      <c r="AX43" s="1618"/>
      <c r="AY43" s="1618"/>
      <c r="AZ43" s="1618"/>
      <c r="BA43" s="1618"/>
      <c r="BB43" s="1618"/>
      <c r="BC43" s="1618"/>
      <c r="BD43" s="1617">
        <v>0.1</v>
      </c>
      <c r="BE43" s="1608">
        <f t="shared" si="4"/>
        <v>1</v>
      </c>
    </row>
    <row r="44" spans="2:57" ht="16.5" hidden="1" customHeight="1">
      <c r="B44" s="2560"/>
      <c r="C44" s="2370"/>
      <c r="D44" s="2370"/>
      <c r="E44" s="419" t="s">
        <v>287</v>
      </c>
      <c r="F44" s="1580">
        <v>150000000</v>
      </c>
      <c r="G44" s="1617">
        <v>0.3</v>
      </c>
      <c r="H44" s="1617"/>
      <c r="I44" s="1617"/>
      <c r="J44" s="1617"/>
      <c r="K44" s="1617"/>
      <c r="L44" s="1617"/>
      <c r="M44" s="1617"/>
      <c r="N44" s="1617">
        <v>0.1</v>
      </c>
      <c r="O44" s="1617"/>
      <c r="P44" s="1617"/>
      <c r="Q44" s="1617"/>
      <c r="R44" s="1617"/>
      <c r="S44" s="1617"/>
      <c r="T44" s="1617"/>
      <c r="U44" s="1617">
        <v>0.5</v>
      </c>
      <c r="V44" s="1617"/>
      <c r="W44" s="1617"/>
      <c r="X44" s="1617"/>
      <c r="Y44" s="1617"/>
      <c r="Z44" s="1617"/>
      <c r="AA44" s="1617"/>
      <c r="AB44" s="1617"/>
      <c r="AC44" s="1617"/>
      <c r="AD44" s="1617"/>
      <c r="AE44" s="1617"/>
      <c r="AF44" s="1617"/>
      <c r="AG44" s="1617"/>
      <c r="AH44" s="1617"/>
      <c r="AI44" s="1617"/>
      <c r="AJ44" s="1617"/>
      <c r="AK44" s="1617"/>
      <c r="AL44" s="1617"/>
      <c r="AM44" s="1617"/>
      <c r="AN44" s="1617"/>
      <c r="AO44" s="1617"/>
      <c r="AP44" s="1617"/>
      <c r="AQ44" s="1618"/>
      <c r="AR44" s="1618"/>
      <c r="AS44" s="1618"/>
      <c r="AT44" s="1618"/>
      <c r="AU44" s="1618"/>
      <c r="AV44" s="1618"/>
      <c r="AW44" s="1618"/>
      <c r="AX44" s="1618"/>
      <c r="AY44" s="1618"/>
      <c r="AZ44" s="1618"/>
      <c r="BA44" s="1618"/>
      <c r="BB44" s="1618"/>
      <c r="BC44" s="1618"/>
      <c r="BD44" s="1617">
        <v>0.1</v>
      </c>
      <c r="BE44" s="1608">
        <f t="shared" si="4"/>
        <v>1</v>
      </c>
    </row>
    <row r="45" spans="2:57" ht="17.25" hidden="1" customHeight="1" thickBot="1">
      <c r="B45" s="2561"/>
      <c r="C45" s="2562"/>
      <c r="D45" s="2562"/>
      <c r="E45" s="426" t="s">
        <v>129</v>
      </c>
      <c r="F45" s="1593">
        <f>40000000*5</f>
        <v>200000000</v>
      </c>
      <c r="G45" s="1619"/>
      <c r="H45" s="1619"/>
      <c r="I45" s="1619"/>
      <c r="J45" s="1619"/>
      <c r="K45" s="1619"/>
      <c r="L45" s="1619"/>
      <c r="M45" s="1619"/>
      <c r="N45" s="1619"/>
      <c r="O45" s="1619"/>
      <c r="P45" s="1619"/>
      <c r="Q45" s="1619"/>
      <c r="R45" s="1619"/>
      <c r="S45" s="1619"/>
      <c r="T45" s="1619"/>
      <c r="U45" s="1619"/>
      <c r="V45" s="1619"/>
      <c r="W45" s="1619"/>
      <c r="X45" s="1619"/>
      <c r="Y45" s="1619"/>
      <c r="Z45" s="1619"/>
      <c r="AA45" s="1619"/>
      <c r="AB45" s="1619"/>
      <c r="AC45" s="1619"/>
      <c r="AD45" s="1619"/>
      <c r="AE45" s="1619"/>
      <c r="AF45" s="1619"/>
      <c r="AG45" s="1619"/>
      <c r="AH45" s="1619"/>
      <c r="AI45" s="1619"/>
      <c r="AJ45" s="1619"/>
      <c r="AK45" s="1619"/>
      <c r="AL45" s="1619"/>
      <c r="AM45" s="1619"/>
      <c r="AN45" s="1619"/>
      <c r="AO45" s="1619"/>
      <c r="AP45" s="1620"/>
      <c r="AQ45" s="1621"/>
      <c r="AR45" s="1621"/>
      <c r="AS45" s="1621"/>
      <c r="AT45" s="1621"/>
      <c r="AU45" s="1621"/>
      <c r="AV45" s="1621"/>
      <c r="AW45" s="1621"/>
      <c r="AX45" s="1621"/>
      <c r="AY45" s="1621"/>
      <c r="AZ45" s="1621"/>
      <c r="BA45" s="1621"/>
      <c r="BB45" s="1621"/>
      <c r="BC45" s="1621"/>
      <c r="BD45" s="1619">
        <v>1</v>
      </c>
      <c r="BE45" s="1615">
        <f t="shared" si="4"/>
        <v>1</v>
      </c>
    </row>
    <row r="46" spans="2:57" hidden="1">
      <c r="B46" s="2559" t="s">
        <v>292</v>
      </c>
      <c r="C46" s="1622"/>
      <c r="D46" s="1622"/>
      <c r="E46" s="419" t="s">
        <v>125</v>
      </c>
      <c r="F46" s="419"/>
      <c r="G46" s="1606">
        <v>0.1</v>
      </c>
      <c r="H46" s="1606"/>
      <c r="I46" s="1606"/>
      <c r="J46" s="1606"/>
      <c r="K46" s="1606"/>
      <c r="L46" s="1606"/>
      <c r="M46" s="1606"/>
      <c r="N46" s="1606">
        <v>0.2</v>
      </c>
      <c r="O46" s="1606"/>
      <c r="P46" s="1606"/>
      <c r="Q46" s="1606"/>
      <c r="R46" s="1606"/>
      <c r="S46" s="1606"/>
      <c r="T46" s="1606"/>
      <c r="U46" s="1606">
        <v>0.4</v>
      </c>
      <c r="V46" s="1606"/>
      <c r="W46" s="1606"/>
      <c r="X46" s="1606"/>
      <c r="Y46" s="1606"/>
      <c r="Z46" s="1606"/>
      <c r="AA46" s="1606"/>
      <c r="AB46" s="1606"/>
      <c r="AC46" s="1606"/>
      <c r="AD46" s="1606"/>
      <c r="AE46" s="1606"/>
      <c r="AF46" s="1606"/>
      <c r="AG46" s="1606"/>
      <c r="AH46" s="1606"/>
      <c r="AI46" s="1606">
        <v>0.25</v>
      </c>
      <c r="AJ46" s="1606"/>
      <c r="AK46" s="1606"/>
      <c r="AL46" s="1606"/>
      <c r="AM46" s="1606"/>
      <c r="AN46" s="1606"/>
      <c r="AO46" s="1606"/>
      <c r="AP46" s="1606">
        <v>0.05</v>
      </c>
      <c r="AQ46" s="1607"/>
      <c r="AR46" s="1607"/>
      <c r="AS46" s="1607"/>
      <c r="AT46" s="1607"/>
      <c r="AU46" s="1607"/>
      <c r="AV46" s="1607"/>
      <c r="AW46" s="1607"/>
      <c r="AX46" s="1607"/>
      <c r="AY46" s="1607"/>
      <c r="AZ46" s="1607"/>
      <c r="BA46" s="1607"/>
      <c r="BB46" s="1607"/>
      <c r="BC46" s="1607"/>
      <c r="BD46" s="1607"/>
      <c r="BE46" s="1608">
        <f>SUM(G46:AW46)</f>
        <v>1</v>
      </c>
    </row>
    <row r="47" spans="2:57" hidden="1">
      <c r="B47" s="2560"/>
      <c r="C47" s="1623"/>
      <c r="D47" s="1623"/>
      <c r="E47" s="419" t="s">
        <v>126</v>
      </c>
      <c r="F47" s="419"/>
      <c r="G47" s="1606">
        <v>0.55000000000000004</v>
      </c>
      <c r="H47" s="1606"/>
      <c r="I47" s="1606"/>
      <c r="J47" s="1606"/>
      <c r="K47" s="1606"/>
      <c r="L47" s="1606"/>
      <c r="M47" s="1606"/>
      <c r="N47" s="1606">
        <v>0.15</v>
      </c>
      <c r="O47" s="1606"/>
      <c r="P47" s="1606"/>
      <c r="Q47" s="1606"/>
      <c r="R47" s="1606"/>
      <c r="S47" s="1606"/>
      <c r="T47" s="1606"/>
      <c r="U47" s="1606">
        <v>0.3</v>
      </c>
      <c r="V47" s="1606"/>
      <c r="W47" s="1606"/>
      <c r="X47" s="1606"/>
      <c r="Y47" s="1606"/>
      <c r="Z47" s="1606"/>
      <c r="AA47" s="1606"/>
      <c r="AB47" s="1606"/>
      <c r="AC47" s="1606"/>
      <c r="AD47" s="1606"/>
      <c r="AE47" s="1606"/>
      <c r="AF47" s="1606"/>
      <c r="AG47" s="1606"/>
      <c r="AH47" s="1606"/>
      <c r="AI47" s="1609"/>
      <c r="AJ47" s="1609"/>
      <c r="AK47" s="1609"/>
      <c r="AL47" s="1609"/>
      <c r="AM47" s="1609"/>
      <c r="AN47" s="1609"/>
      <c r="AO47" s="1609"/>
      <c r="AP47" s="1609"/>
      <c r="AQ47" s="1610"/>
      <c r="AR47" s="1610"/>
      <c r="AS47" s="1610"/>
      <c r="AT47" s="1610"/>
      <c r="AU47" s="1610"/>
      <c r="AV47" s="1610"/>
      <c r="AW47" s="1610"/>
      <c r="AX47" s="1610"/>
      <c r="AY47" s="1610"/>
      <c r="AZ47" s="1610"/>
      <c r="BA47" s="1610"/>
      <c r="BB47" s="1610"/>
      <c r="BC47" s="1610"/>
      <c r="BD47" s="1610"/>
      <c r="BE47" s="1608">
        <f>SUM(G47:AW47)</f>
        <v>1</v>
      </c>
    </row>
    <row r="48" spans="2:57" hidden="1">
      <c r="B48" s="2560"/>
      <c r="C48" s="1623"/>
      <c r="D48" s="1623"/>
      <c r="E48" s="419" t="s">
        <v>286</v>
      </c>
      <c r="F48" s="419"/>
      <c r="G48" s="1609"/>
      <c r="H48" s="1609"/>
      <c r="I48" s="1609"/>
      <c r="J48" s="1609"/>
      <c r="K48" s="1609"/>
      <c r="L48" s="1609"/>
      <c r="M48" s="1609"/>
      <c r="N48" s="1609"/>
      <c r="O48" s="1609"/>
      <c r="P48" s="1609"/>
      <c r="Q48" s="1609"/>
      <c r="R48" s="1609"/>
      <c r="S48" s="1609"/>
      <c r="T48" s="1609"/>
      <c r="U48" s="1609"/>
      <c r="V48" s="1609"/>
      <c r="W48" s="1609"/>
      <c r="X48" s="1609"/>
      <c r="Y48" s="1609"/>
      <c r="Z48" s="1609"/>
      <c r="AA48" s="1609"/>
      <c r="AB48" s="1609"/>
      <c r="AC48" s="1609"/>
      <c r="AD48" s="1609"/>
      <c r="AE48" s="1609"/>
      <c r="AF48" s="1609"/>
      <c r="AG48" s="1609"/>
      <c r="AH48" s="1609"/>
      <c r="AI48" s="1609"/>
      <c r="AJ48" s="1609"/>
      <c r="AK48" s="1609"/>
      <c r="AL48" s="1609"/>
      <c r="AM48" s="1609"/>
      <c r="AN48" s="1609"/>
      <c r="AO48" s="1609"/>
      <c r="AP48" s="1609"/>
      <c r="AQ48" s="1610"/>
      <c r="AR48" s="1610"/>
      <c r="AS48" s="1610"/>
      <c r="AT48" s="1610"/>
      <c r="AU48" s="1610"/>
      <c r="AV48" s="1610"/>
      <c r="AW48" s="1610"/>
      <c r="AX48" s="1610"/>
      <c r="AY48" s="1610"/>
      <c r="AZ48" s="1610"/>
      <c r="BA48" s="1610"/>
      <c r="BB48" s="1610"/>
      <c r="BC48" s="1610"/>
      <c r="BD48" s="1610"/>
      <c r="BE48" s="1608">
        <f>SUM(G48:AW48)</f>
        <v>0</v>
      </c>
    </row>
    <row r="49" spans="2:78" hidden="1">
      <c r="B49" s="2560"/>
      <c r="C49" s="1623"/>
      <c r="D49" s="1623"/>
      <c r="E49" s="419" t="s">
        <v>287</v>
      </c>
      <c r="F49" s="419"/>
      <c r="G49" s="1609"/>
      <c r="H49" s="1609"/>
      <c r="I49" s="1609"/>
      <c r="J49" s="1609"/>
      <c r="K49" s="1609"/>
      <c r="L49" s="1609"/>
      <c r="M49" s="1609"/>
      <c r="N49" s="1609"/>
      <c r="O49" s="1609"/>
      <c r="P49" s="1609"/>
      <c r="Q49" s="1609"/>
      <c r="R49" s="1609"/>
      <c r="S49" s="1609"/>
      <c r="T49" s="1609"/>
      <c r="U49" s="1609"/>
      <c r="V49" s="1609"/>
      <c r="W49" s="1609"/>
      <c r="X49" s="1609"/>
      <c r="Y49" s="1609"/>
      <c r="Z49" s="1609"/>
      <c r="AA49" s="1609"/>
      <c r="AB49" s="1609"/>
      <c r="AC49" s="1609"/>
      <c r="AD49" s="1609"/>
      <c r="AE49" s="1609"/>
      <c r="AF49" s="1609"/>
      <c r="AG49" s="1609"/>
      <c r="AH49" s="1609"/>
      <c r="AI49" s="1609"/>
      <c r="AJ49" s="1609"/>
      <c r="AK49" s="1609"/>
      <c r="AL49" s="1609"/>
      <c r="AM49" s="1609"/>
      <c r="AN49" s="1609"/>
      <c r="AO49" s="1609"/>
      <c r="AP49" s="1609"/>
      <c r="AQ49" s="1610"/>
      <c r="AR49" s="1610"/>
      <c r="AS49" s="1610"/>
      <c r="AT49" s="1610"/>
      <c r="AU49" s="1610"/>
      <c r="AV49" s="1610"/>
      <c r="AW49" s="1610"/>
      <c r="AX49" s="1610"/>
      <c r="AY49" s="1610"/>
      <c r="AZ49" s="1610"/>
      <c r="BA49" s="1610"/>
      <c r="BB49" s="1610"/>
      <c r="BC49" s="1610"/>
      <c r="BD49" s="1610"/>
      <c r="BE49" s="1608">
        <f>SUM(G49:AW49)</f>
        <v>0</v>
      </c>
    </row>
    <row r="50" spans="2:78" ht="13.5" hidden="1" thickBot="1">
      <c r="B50" s="2561"/>
      <c r="C50" s="1624"/>
      <c r="D50" s="1624"/>
      <c r="E50" s="426" t="s">
        <v>129</v>
      </c>
      <c r="F50" s="426"/>
      <c r="G50" s="1612">
        <v>1</v>
      </c>
      <c r="H50" s="1612"/>
      <c r="I50" s="1612"/>
      <c r="J50" s="1612"/>
      <c r="K50" s="1612"/>
      <c r="L50" s="1612"/>
      <c r="M50" s="1612"/>
      <c r="N50" s="1612"/>
      <c r="O50" s="1612"/>
      <c r="P50" s="1612"/>
      <c r="Q50" s="1612"/>
      <c r="R50" s="1612"/>
      <c r="S50" s="1612"/>
      <c r="T50" s="1612"/>
      <c r="U50" s="1612"/>
      <c r="V50" s="1612"/>
      <c r="W50" s="1612"/>
      <c r="X50" s="1612"/>
      <c r="Y50" s="1612"/>
      <c r="Z50" s="1612"/>
      <c r="AA50" s="1612"/>
      <c r="AB50" s="1612"/>
      <c r="AC50" s="1612"/>
      <c r="AD50" s="1612"/>
      <c r="AE50" s="1612"/>
      <c r="AF50" s="1612"/>
      <c r="AG50" s="1612"/>
      <c r="AH50" s="1612"/>
      <c r="AI50" s="1612"/>
      <c r="AJ50" s="1612"/>
      <c r="AK50" s="1612"/>
      <c r="AL50" s="1612"/>
      <c r="AM50" s="1612"/>
      <c r="AN50" s="1612"/>
      <c r="AO50" s="1612"/>
      <c r="AP50" s="1613"/>
      <c r="AQ50" s="1614"/>
      <c r="AR50" s="1614"/>
      <c r="AS50" s="1614"/>
      <c r="AT50" s="1614"/>
      <c r="AU50" s="1614"/>
      <c r="AV50" s="1614"/>
      <c r="AW50" s="1614"/>
      <c r="AX50" s="1614"/>
      <c r="AY50" s="1614"/>
      <c r="AZ50" s="1614"/>
      <c r="BA50" s="1614"/>
      <c r="BB50" s="1614"/>
      <c r="BC50" s="1614"/>
      <c r="BD50" s="1614"/>
      <c r="BE50" s="1615">
        <f>SUM(G50:AW50)</f>
        <v>1</v>
      </c>
    </row>
    <row r="51" spans="2:78" ht="17.25" customHeight="1" thickBot="1">
      <c r="BG51" s="2565" t="s">
        <v>2440</v>
      </c>
      <c r="BH51" s="2565" t="s">
        <v>2444</v>
      </c>
      <c r="BI51" s="1918" t="s">
        <v>2441</v>
      </c>
      <c r="BJ51" s="1919" t="s">
        <v>2442</v>
      </c>
      <c r="BK51" s="2566" t="s">
        <v>2443</v>
      </c>
    </row>
    <row r="52" spans="2:78" ht="13.5">
      <c r="B52" s="2556" t="s">
        <v>262</v>
      </c>
      <c r="C52" s="2557"/>
      <c r="D52" s="2557"/>
      <c r="E52" s="2558"/>
      <c r="F52" s="1602" t="s">
        <v>263</v>
      </c>
      <c r="G52" s="1602" t="s">
        <v>264</v>
      </c>
      <c r="H52" s="1602"/>
      <c r="I52" s="1602"/>
      <c r="J52" s="1602"/>
      <c r="K52" s="1602"/>
      <c r="L52" s="1602"/>
      <c r="M52" s="1602"/>
      <c r="N52" s="1602" t="s">
        <v>265</v>
      </c>
      <c r="O52" s="1602"/>
      <c r="P52" s="1602"/>
      <c r="Q52" s="1602"/>
      <c r="R52" s="1602"/>
      <c r="S52" s="1602"/>
      <c r="T52" s="1602"/>
      <c r="U52" s="1602" t="s">
        <v>299</v>
      </c>
      <c r="V52" s="1602"/>
      <c r="W52" s="1602"/>
      <c r="X52" s="1602"/>
      <c r="Y52" s="1602"/>
      <c r="Z52" s="1602"/>
      <c r="AA52" s="1602"/>
      <c r="AB52" s="1602" t="s">
        <v>267</v>
      </c>
      <c r="AC52" s="1602"/>
      <c r="AD52" s="1602"/>
      <c r="AE52" s="1602"/>
      <c r="AF52" s="1602"/>
      <c r="AG52" s="1602"/>
      <c r="AH52" s="1602"/>
      <c r="AI52" s="1602" t="s">
        <v>268</v>
      </c>
      <c r="AJ52" s="1604"/>
      <c r="AK52" s="1604"/>
      <c r="AL52" s="1604"/>
      <c r="AM52" s="1604"/>
      <c r="AN52" s="1604"/>
      <c r="AO52" s="1604"/>
      <c r="AP52" s="1604" t="s">
        <v>269</v>
      </c>
      <c r="AQ52" s="1604"/>
      <c r="AR52" s="1604"/>
      <c r="AS52" s="1604"/>
      <c r="AT52" s="1604"/>
      <c r="AU52" s="1604"/>
      <c r="AV52" s="1604"/>
      <c r="AW52" s="1604" t="s">
        <v>270</v>
      </c>
      <c r="AX52" s="1604" t="s">
        <v>271</v>
      </c>
      <c r="AY52" s="1604" t="s">
        <v>272</v>
      </c>
      <c r="AZ52" s="1604" t="s">
        <v>273</v>
      </c>
      <c r="BA52" s="1604" t="s">
        <v>274</v>
      </c>
      <c r="BB52" s="1604" t="s">
        <v>275</v>
      </c>
      <c r="BC52" s="1604" t="s">
        <v>276</v>
      </c>
      <c r="BD52" s="1604" t="s">
        <v>300</v>
      </c>
      <c r="BE52" s="1605" t="s">
        <v>278</v>
      </c>
      <c r="BG52" s="2565"/>
      <c r="BH52" s="2565"/>
      <c r="BI52" s="1920">
        <v>40000000</v>
      </c>
      <c r="BJ52" s="1920">
        <v>1100000000</v>
      </c>
      <c r="BK52" s="2566"/>
    </row>
    <row r="53" spans="2:78">
      <c r="B53" s="2559" t="s">
        <v>301</v>
      </c>
      <c r="C53" s="2372" t="s">
        <v>302</v>
      </c>
      <c r="D53" s="2372" t="s">
        <v>296</v>
      </c>
      <c r="E53" s="419" t="s">
        <v>125</v>
      </c>
      <c r="F53" s="1580">
        <v>1100000000</v>
      </c>
      <c r="G53" s="1617"/>
      <c r="H53" s="1617"/>
      <c r="I53" s="1617"/>
      <c r="J53" s="1617"/>
      <c r="K53" s="1617"/>
      <c r="L53" s="1617"/>
      <c r="M53" s="1617"/>
      <c r="N53" s="1617"/>
      <c r="O53" s="1617"/>
      <c r="P53" s="1617"/>
      <c r="Q53" s="1617"/>
      <c r="R53" s="1617"/>
      <c r="S53" s="1617"/>
      <c r="T53" s="1617"/>
      <c r="U53" s="1617">
        <v>0.5</v>
      </c>
      <c r="V53" s="1617"/>
      <c r="W53" s="1617"/>
      <c r="X53" s="1617"/>
      <c r="Y53" s="1617"/>
      <c r="Z53" s="1617"/>
      <c r="AA53" s="1617"/>
      <c r="AB53" s="1617"/>
      <c r="AC53" s="1617"/>
      <c r="AD53" s="1617"/>
      <c r="AE53" s="1617"/>
      <c r="AF53" s="1617"/>
      <c r="AG53" s="1617"/>
      <c r="AH53" s="1617"/>
      <c r="AI53" s="1617"/>
      <c r="AJ53" s="1617"/>
      <c r="AK53" s="1617"/>
      <c r="AL53" s="1617"/>
      <c r="AM53" s="1617"/>
      <c r="AN53" s="1617"/>
      <c r="AO53" s="1617"/>
      <c r="AP53" s="1617"/>
      <c r="AQ53" s="1617"/>
      <c r="AR53" s="1617"/>
      <c r="AS53" s="1617"/>
      <c r="AT53" s="1617"/>
      <c r="AU53" s="1617"/>
      <c r="AV53" s="1617"/>
      <c r="AW53" s="1617"/>
      <c r="AX53" s="1617"/>
      <c r="AY53" s="1617"/>
      <c r="AZ53" s="1617"/>
      <c r="BA53" s="1617"/>
      <c r="BB53" s="1617"/>
      <c r="BC53" s="1617"/>
      <c r="BD53" s="1617">
        <v>0.5</v>
      </c>
      <c r="BE53" s="1608">
        <f t="shared" ref="BE53:BE57" si="5">SUM(G53:BD53)</f>
        <v>1</v>
      </c>
      <c r="BG53" s="1916" t="s">
        <v>2436</v>
      </c>
      <c r="BH53" s="1916">
        <v>362.88</v>
      </c>
      <c r="BI53" s="1917">
        <f>+ROUND($BI$52*(BH53/$BH$57),)</f>
        <v>9404082</v>
      </c>
      <c r="BJ53" s="1917">
        <f>+$BJ$52*BH53/1000+BI53</f>
        <v>408572082</v>
      </c>
      <c r="BK53" s="1917">
        <f>+BJ53/BH53*1000</f>
        <v>1125915128.9682539</v>
      </c>
    </row>
    <row r="54" spans="2:78">
      <c r="B54" s="2560"/>
      <c r="C54" s="2370"/>
      <c r="D54" s="2370"/>
      <c r="E54" s="419" t="s">
        <v>126</v>
      </c>
      <c r="F54" s="1580">
        <v>400000000</v>
      </c>
      <c r="G54" s="1617">
        <v>0.7</v>
      </c>
      <c r="H54" s="1617"/>
      <c r="I54" s="1617"/>
      <c r="J54" s="1617"/>
      <c r="K54" s="1617"/>
      <c r="L54" s="1617"/>
      <c r="M54" s="1617"/>
      <c r="N54" s="1617">
        <v>0.2</v>
      </c>
      <c r="O54" s="1617"/>
      <c r="P54" s="1617"/>
      <c r="Q54" s="1617"/>
      <c r="R54" s="1617"/>
      <c r="S54" s="1617"/>
      <c r="T54" s="1617"/>
      <c r="U54" s="1617"/>
      <c r="V54" s="1617"/>
      <c r="W54" s="1617"/>
      <c r="X54" s="1617"/>
      <c r="Y54" s="1617"/>
      <c r="Z54" s="1617"/>
      <c r="AA54" s="1617"/>
      <c r="AB54" s="1617"/>
      <c r="AC54" s="1617"/>
      <c r="AD54" s="1617"/>
      <c r="AE54" s="1617"/>
      <c r="AF54" s="1617"/>
      <c r="AG54" s="1617"/>
      <c r="AH54" s="1617"/>
      <c r="AI54" s="1617"/>
      <c r="AJ54" s="1617"/>
      <c r="AK54" s="1617"/>
      <c r="AL54" s="1617"/>
      <c r="AM54" s="1617"/>
      <c r="AN54" s="1617"/>
      <c r="AO54" s="1617"/>
      <c r="AP54" s="1617"/>
      <c r="AQ54" s="1618"/>
      <c r="AR54" s="1618"/>
      <c r="AS54" s="1618"/>
      <c r="AT54" s="1618"/>
      <c r="AU54" s="1618"/>
      <c r="AV54" s="1618"/>
      <c r="AW54" s="1618"/>
      <c r="AX54" s="1618"/>
      <c r="AY54" s="1618"/>
      <c r="AZ54" s="1618"/>
      <c r="BA54" s="1618"/>
      <c r="BB54" s="1618"/>
      <c r="BC54" s="1618"/>
      <c r="BD54" s="1617">
        <v>0.1</v>
      </c>
      <c r="BE54" s="1608">
        <f t="shared" si="5"/>
        <v>0.99999999999999989</v>
      </c>
      <c r="BG54" s="1916" t="s">
        <v>2437</v>
      </c>
      <c r="BH54" s="1916">
        <v>141.12</v>
      </c>
      <c r="BI54" s="1917">
        <f>+ROUND($BI$52*(BH54/$BH$57),)</f>
        <v>3657143</v>
      </c>
      <c r="BJ54" s="1917">
        <f>+$BJ$52*BH54/1000+BI54</f>
        <v>158889143</v>
      </c>
      <c r="BK54" s="1917">
        <f t="shared" ref="BK54:BK56" si="6">+BJ54/BH54*1000</f>
        <v>1125915128.9682539</v>
      </c>
    </row>
    <row r="55" spans="2:78">
      <c r="B55" s="2560"/>
      <c r="C55" s="2370"/>
      <c r="D55" s="2370"/>
      <c r="E55" s="1661" t="s">
        <v>127</v>
      </c>
      <c r="F55" s="1661"/>
      <c r="G55" s="1617"/>
      <c r="H55" s="1617"/>
      <c r="I55" s="1617"/>
      <c r="J55" s="1617"/>
      <c r="K55" s="1617"/>
      <c r="L55" s="1617"/>
      <c r="M55" s="1617"/>
      <c r="N55" s="1617"/>
      <c r="O55" s="1617"/>
      <c r="P55" s="1617"/>
      <c r="Q55" s="1617"/>
      <c r="R55" s="1617"/>
      <c r="S55" s="1617"/>
      <c r="T55" s="1617"/>
      <c r="U55" s="1617"/>
      <c r="V55" s="1617"/>
      <c r="W55" s="1617"/>
      <c r="X55" s="1617"/>
      <c r="Y55" s="1617"/>
      <c r="Z55" s="1617"/>
      <c r="AA55" s="1617"/>
      <c r="AB55" s="1617"/>
      <c r="AC55" s="1617"/>
      <c r="AD55" s="1617"/>
      <c r="AE55" s="1617"/>
      <c r="AF55" s="1617"/>
      <c r="AG55" s="1617"/>
      <c r="AH55" s="1617"/>
      <c r="AI55" s="1617"/>
      <c r="AJ55" s="1617"/>
      <c r="AK55" s="1617"/>
      <c r="AL55" s="1617"/>
      <c r="AM55" s="1617"/>
      <c r="AN55" s="1617"/>
      <c r="AO55" s="1617"/>
      <c r="AP55" s="1617"/>
      <c r="AQ55" s="1618"/>
      <c r="AR55" s="1618"/>
      <c r="AS55" s="1618"/>
      <c r="AT55" s="1618"/>
      <c r="AU55" s="1618"/>
      <c r="AV55" s="1618"/>
      <c r="AW55" s="1618"/>
      <c r="AX55" s="1618"/>
      <c r="AY55" s="1618"/>
      <c r="AZ55" s="1618"/>
      <c r="BA55" s="1618"/>
      <c r="BB55" s="1618"/>
      <c r="BC55" s="1618"/>
      <c r="BD55" s="1617"/>
      <c r="BE55" s="1608"/>
      <c r="BG55" s="1916" t="s">
        <v>2438</v>
      </c>
      <c r="BH55" s="1916">
        <v>790.65</v>
      </c>
      <c r="BI55" s="1917">
        <f>+ROUND($BI$52*(BH55/$BH$57),)-1</f>
        <v>20489795</v>
      </c>
      <c r="BJ55" s="1917">
        <f>+$BJ$52*BH55/1000+BI55</f>
        <v>890204795</v>
      </c>
      <c r="BK55" s="1917">
        <f t="shared" si="6"/>
        <v>1125915126.7944098</v>
      </c>
    </row>
    <row r="56" spans="2:78">
      <c r="B56" s="2560"/>
      <c r="C56" s="2370"/>
      <c r="D56" s="2370"/>
      <c r="E56" s="419" t="s">
        <v>281</v>
      </c>
      <c r="F56" s="419"/>
      <c r="G56" s="1617"/>
      <c r="H56" s="1617"/>
      <c r="I56" s="1617"/>
      <c r="J56" s="1617"/>
      <c r="K56" s="1617"/>
      <c r="L56" s="1617"/>
      <c r="M56" s="1617"/>
      <c r="N56" s="1617"/>
      <c r="O56" s="1617"/>
      <c r="P56" s="1617"/>
      <c r="Q56" s="1617"/>
      <c r="R56" s="1617"/>
      <c r="S56" s="1617"/>
      <c r="T56" s="1617"/>
      <c r="U56" s="1617"/>
      <c r="V56" s="1617"/>
      <c r="W56" s="1617"/>
      <c r="X56" s="1617"/>
      <c r="Y56" s="1617"/>
      <c r="Z56" s="1617"/>
      <c r="AA56" s="1617"/>
      <c r="AB56" s="1617"/>
      <c r="AC56" s="1617"/>
      <c r="AD56" s="1617"/>
      <c r="AE56" s="1617"/>
      <c r="AF56" s="1617"/>
      <c r="AG56" s="1617"/>
      <c r="AH56" s="1617"/>
      <c r="AI56" s="1617"/>
      <c r="AJ56" s="1617"/>
      <c r="AK56" s="1617"/>
      <c r="AL56" s="1617"/>
      <c r="AM56" s="1617"/>
      <c r="AN56" s="1617"/>
      <c r="AO56" s="1617"/>
      <c r="AP56" s="1617"/>
      <c r="AQ56" s="1618"/>
      <c r="AR56" s="1618"/>
      <c r="AS56" s="1618"/>
      <c r="AT56" s="1618"/>
      <c r="AU56" s="1618"/>
      <c r="AV56" s="1618"/>
      <c r="AW56" s="1618"/>
      <c r="AX56" s="1618"/>
      <c r="AY56" s="1618"/>
      <c r="AZ56" s="1618"/>
      <c r="BA56" s="1618"/>
      <c r="BB56" s="1618"/>
      <c r="BC56" s="1618"/>
      <c r="BD56" s="1617"/>
      <c r="BE56" s="1608">
        <f t="shared" si="5"/>
        <v>0</v>
      </c>
      <c r="BG56" s="1916" t="s">
        <v>2439</v>
      </c>
      <c r="BH56" s="1916">
        <v>248.85</v>
      </c>
      <c r="BI56" s="1917">
        <f>+ROUND($BI$52*(BH56/$BH$57),)</f>
        <v>6448980</v>
      </c>
      <c r="BJ56" s="1917">
        <f>+$BJ$52*BH56/1000+BI56</f>
        <v>280183980</v>
      </c>
      <c r="BK56" s="1917">
        <f t="shared" si="6"/>
        <v>1125915129.5961423</v>
      </c>
    </row>
    <row r="57" spans="2:78" ht="14.25" thickBot="1">
      <c r="B57" s="2561"/>
      <c r="C57" s="2562"/>
      <c r="D57" s="2562"/>
      <c r="E57" s="426" t="s">
        <v>282</v>
      </c>
      <c r="F57" s="1593">
        <f>30000000*90%*5</f>
        <v>135000000</v>
      </c>
      <c r="G57" s="1619"/>
      <c r="H57" s="1619"/>
      <c r="I57" s="1619"/>
      <c r="J57" s="1619"/>
      <c r="K57" s="1619"/>
      <c r="L57" s="1619"/>
      <c r="M57" s="1619"/>
      <c r="N57" s="1619"/>
      <c r="O57" s="1619"/>
      <c r="P57" s="1619"/>
      <c r="Q57" s="1619"/>
      <c r="R57" s="1619"/>
      <c r="S57" s="1619"/>
      <c r="T57" s="1619"/>
      <c r="U57" s="1619"/>
      <c r="V57" s="1619"/>
      <c r="W57" s="1619"/>
      <c r="X57" s="1619"/>
      <c r="Y57" s="1619"/>
      <c r="Z57" s="1619"/>
      <c r="AA57" s="1619"/>
      <c r="AB57" s="1619"/>
      <c r="AC57" s="1619"/>
      <c r="AD57" s="1619"/>
      <c r="AE57" s="1619"/>
      <c r="AF57" s="1619"/>
      <c r="AG57" s="1619"/>
      <c r="AH57" s="1619"/>
      <c r="AI57" s="1619"/>
      <c r="AJ57" s="1619"/>
      <c r="AK57" s="1619"/>
      <c r="AL57" s="1619"/>
      <c r="AM57" s="1619"/>
      <c r="AN57" s="1619"/>
      <c r="AO57" s="1619"/>
      <c r="AP57" s="1620"/>
      <c r="AQ57" s="1621"/>
      <c r="AR57" s="1621"/>
      <c r="AS57" s="1621"/>
      <c r="AT57" s="1621"/>
      <c r="AU57" s="1621"/>
      <c r="AV57" s="1621"/>
      <c r="AW57" s="1621"/>
      <c r="AX57" s="1621"/>
      <c r="AY57" s="1621"/>
      <c r="AZ57" s="1621"/>
      <c r="BA57" s="1621"/>
      <c r="BB57" s="1621"/>
      <c r="BC57" s="1621"/>
      <c r="BD57" s="1619">
        <v>1</v>
      </c>
      <c r="BE57" s="1615">
        <f t="shared" si="5"/>
        <v>1</v>
      </c>
      <c r="BG57" s="1916" t="s">
        <v>130</v>
      </c>
      <c r="BH57" s="1916">
        <f>+SUM(BH53:BH56)</f>
        <v>1543.5</v>
      </c>
      <c r="BI57" s="1917">
        <f>+SUM(BI53:BI56)</f>
        <v>40000000</v>
      </c>
      <c r="BJ57" s="1917">
        <f>+SUM(BJ53:BJ56)</f>
        <v>1737850000</v>
      </c>
      <c r="BK57" s="1917"/>
    </row>
    <row r="58" spans="2:78" ht="13.5" thickBot="1"/>
    <row r="59" spans="2:78" s="1600" customFormat="1" ht="13.5">
      <c r="B59" s="2556" t="s">
        <v>262</v>
      </c>
      <c r="C59" s="2557"/>
      <c r="D59" s="2557"/>
      <c r="E59" s="2558"/>
      <c r="F59" s="1602" t="s">
        <v>263</v>
      </c>
      <c r="G59" s="1602" t="s">
        <v>264</v>
      </c>
      <c r="H59" s="1602"/>
      <c r="I59" s="1602"/>
      <c r="J59" s="1602"/>
      <c r="K59" s="1602"/>
      <c r="L59" s="1602"/>
      <c r="M59" s="1602"/>
      <c r="N59" s="1602" t="s">
        <v>265</v>
      </c>
      <c r="O59" s="1602"/>
      <c r="P59" s="1602"/>
      <c r="Q59" s="1602"/>
      <c r="R59" s="1602"/>
      <c r="S59" s="1602"/>
      <c r="T59" s="1602"/>
      <c r="U59" s="1602" t="s">
        <v>266</v>
      </c>
      <c r="V59" s="1602"/>
      <c r="W59" s="1602"/>
      <c r="X59" s="1602"/>
      <c r="Y59" s="1602"/>
      <c r="Z59" s="1602"/>
      <c r="AA59" s="1602"/>
      <c r="AB59" s="1602" t="s">
        <v>267</v>
      </c>
      <c r="AC59" s="1602"/>
      <c r="AD59" s="1602"/>
      <c r="AE59" s="1602"/>
      <c r="AF59" s="1602"/>
      <c r="AG59" s="1602"/>
      <c r="AH59" s="1602"/>
      <c r="AI59" s="1602" t="s">
        <v>268</v>
      </c>
      <c r="AJ59" s="1604"/>
      <c r="AK59" s="1604"/>
      <c r="AL59" s="1604"/>
      <c r="AM59" s="1604"/>
      <c r="AN59" s="1604"/>
      <c r="AO59" s="1604"/>
      <c r="AP59" s="1604" t="s">
        <v>269</v>
      </c>
      <c r="AQ59" s="1604"/>
      <c r="AR59" s="1604"/>
      <c r="AS59" s="1604"/>
      <c r="AT59" s="1604"/>
      <c r="AU59" s="1604"/>
      <c r="AV59" s="1604"/>
      <c r="AW59" s="1604" t="s">
        <v>270</v>
      </c>
      <c r="AX59" s="1604" t="s">
        <v>271</v>
      </c>
      <c r="AY59" s="1604" t="s">
        <v>272</v>
      </c>
      <c r="AZ59" s="1604" t="s">
        <v>273</v>
      </c>
      <c r="BA59" s="1604" t="s">
        <v>274</v>
      </c>
      <c r="BB59" s="1604" t="s">
        <v>275</v>
      </c>
      <c r="BC59" s="1604" t="s">
        <v>276</v>
      </c>
      <c r="BD59" s="1604" t="s">
        <v>277</v>
      </c>
      <c r="BE59" s="1605" t="s">
        <v>278</v>
      </c>
      <c r="BG59" s="1600" t="s">
        <v>2445</v>
      </c>
      <c r="BH59" s="1616">
        <f>+BJ57*1.1</f>
        <v>1911635000.0000002</v>
      </c>
      <c r="BI59" s="1616"/>
      <c r="BN59" s="1603"/>
      <c r="BO59" s="1603"/>
      <c r="BP59" s="1603"/>
      <c r="BQ59" s="1603"/>
    </row>
    <row r="60" spans="2:78" s="1600" customFormat="1" ht="13.5">
      <c r="B60" s="2559" t="s">
        <v>279</v>
      </c>
      <c r="C60" s="2372" t="s">
        <v>200</v>
      </c>
      <c r="D60" s="2563" t="s">
        <v>303</v>
      </c>
      <c r="E60" s="419" t="s">
        <v>125</v>
      </c>
      <c r="F60" s="1580">
        <v>1050000000</v>
      </c>
      <c r="G60" s="1617"/>
      <c r="H60" s="1617"/>
      <c r="I60" s="1617"/>
      <c r="J60" s="1617"/>
      <c r="K60" s="1617"/>
      <c r="L60" s="1617"/>
      <c r="M60" s="1617"/>
      <c r="N60" s="1617"/>
      <c r="O60" s="1617"/>
      <c r="P60" s="1617"/>
      <c r="Q60" s="1617"/>
      <c r="R60" s="1617"/>
      <c r="S60" s="1617"/>
      <c r="T60" s="1617"/>
      <c r="U60" s="1617">
        <v>0.2</v>
      </c>
      <c r="V60" s="1617"/>
      <c r="W60" s="1617"/>
      <c r="X60" s="1617"/>
      <c r="Y60" s="1617"/>
      <c r="Z60" s="1617"/>
      <c r="AA60" s="1617"/>
      <c r="AB60" s="1617"/>
      <c r="AC60" s="1617"/>
      <c r="AD60" s="1617"/>
      <c r="AE60" s="1617"/>
      <c r="AF60" s="1617"/>
      <c r="AG60" s="1617"/>
      <c r="AH60" s="1617"/>
      <c r="AI60" s="1617">
        <v>0.5</v>
      </c>
      <c r="AJ60" s="1617"/>
      <c r="AK60" s="1617"/>
      <c r="AL60" s="1617"/>
      <c r="AM60" s="1617"/>
      <c r="AN60" s="1617"/>
      <c r="AO60" s="1617"/>
      <c r="AP60" s="1617"/>
      <c r="AQ60" s="1607"/>
      <c r="AR60" s="1607"/>
      <c r="AS60" s="1607"/>
      <c r="AT60" s="1607"/>
      <c r="AU60" s="1607"/>
      <c r="AV60" s="1607"/>
      <c r="AW60" s="1617">
        <v>0.25</v>
      </c>
      <c r="AX60" s="1607"/>
      <c r="AY60" s="1607"/>
      <c r="AZ60" s="1607"/>
      <c r="BA60" s="1607"/>
      <c r="BB60" s="1607"/>
      <c r="BC60" s="1607"/>
      <c r="BD60" s="1617">
        <v>0.05</v>
      </c>
      <c r="BE60" s="1608">
        <f>SUM(G60:BD60)</f>
        <v>1</v>
      </c>
      <c r="BG60" s="1600" t="s">
        <v>2446</v>
      </c>
      <c r="BH60" s="1616">
        <v>8382528</v>
      </c>
      <c r="BN60" s="1603"/>
      <c r="BO60" s="1603"/>
      <c r="BP60" s="1603"/>
      <c r="BQ60" s="1603"/>
    </row>
    <row r="61" spans="2:78" s="1600" customFormat="1" ht="13.5">
      <c r="B61" s="2560"/>
      <c r="C61" s="2370"/>
      <c r="D61" s="2370"/>
      <c r="E61" s="419" t="s">
        <v>126</v>
      </c>
      <c r="F61" s="1580">
        <v>550000000</v>
      </c>
      <c r="G61" s="1617">
        <v>0.55000000000000004</v>
      </c>
      <c r="H61" s="1617"/>
      <c r="I61" s="1617"/>
      <c r="J61" s="1617"/>
      <c r="K61" s="1617"/>
      <c r="L61" s="1617"/>
      <c r="M61" s="1617"/>
      <c r="N61" s="1617">
        <v>0.15</v>
      </c>
      <c r="O61" s="1617"/>
      <c r="P61" s="1617"/>
      <c r="Q61" s="1617"/>
      <c r="R61" s="1617"/>
      <c r="S61" s="1617"/>
      <c r="T61" s="1617"/>
      <c r="U61" s="1617"/>
      <c r="V61" s="1606"/>
      <c r="W61" s="1606"/>
      <c r="X61" s="1606"/>
      <c r="Y61" s="1606"/>
      <c r="Z61" s="1606"/>
      <c r="AA61" s="1606"/>
      <c r="AB61" s="1606"/>
      <c r="AC61" s="1606"/>
      <c r="AD61" s="1606"/>
      <c r="AE61" s="1606"/>
      <c r="AF61" s="1606"/>
      <c r="AG61" s="1606"/>
      <c r="AH61" s="1606"/>
      <c r="AI61" s="1606"/>
      <c r="AJ61" s="1609"/>
      <c r="AK61" s="1609"/>
      <c r="AL61" s="1609"/>
      <c r="AM61" s="1609"/>
      <c r="AN61" s="1609"/>
      <c r="AO61" s="1609"/>
      <c r="AP61" s="1609"/>
      <c r="AQ61" s="1610"/>
      <c r="AR61" s="1610"/>
      <c r="AS61" s="1610"/>
      <c r="AT61" s="1610"/>
      <c r="AU61" s="1610"/>
      <c r="AV61" s="1610"/>
      <c r="AW61" s="1610"/>
      <c r="AX61" s="1610"/>
      <c r="AY61" s="1610"/>
      <c r="AZ61" s="1610"/>
      <c r="BA61" s="1610"/>
      <c r="BB61" s="1610"/>
      <c r="BC61" s="1610"/>
      <c r="BD61" s="1617">
        <v>0.3</v>
      </c>
      <c r="BE61" s="1608">
        <f t="shared" ref="BE61:BE64" si="7">SUM(G61:BD61)</f>
        <v>1</v>
      </c>
      <c r="BG61" s="1806" t="s">
        <v>2447</v>
      </c>
      <c r="BH61" s="1807">
        <f>+BH59+BH60</f>
        <v>1920017528.0000002</v>
      </c>
      <c r="BN61" s="1603"/>
      <c r="BO61" s="1603"/>
      <c r="BP61" s="1603"/>
      <c r="BQ61" s="1603"/>
    </row>
    <row r="62" spans="2:78" s="1600" customFormat="1" ht="13.5">
      <c r="B62" s="2560"/>
      <c r="C62" s="2370"/>
      <c r="D62" s="2370"/>
      <c r="E62" s="419" t="s">
        <v>280</v>
      </c>
      <c r="F62" s="1580"/>
      <c r="G62" s="1617"/>
      <c r="H62" s="1617"/>
      <c r="I62" s="1617"/>
      <c r="J62" s="1617"/>
      <c r="K62" s="1617"/>
      <c r="L62" s="1617"/>
      <c r="M62" s="1617"/>
      <c r="N62" s="1617"/>
      <c r="O62" s="1617"/>
      <c r="P62" s="1617"/>
      <c r="Q62" s="1617"/>
      <c r="R62" s="1617"/>
      <c r="S62" s="1617"/>
      <c r="T62" s="1617"/>
      <c r="U62" s="1617"/>
      <c r="V62" s="1609"/>
      <c r="W62" s="1609"/>
      <c r="X62" s="1609"/>
      <c r="Y62" s="1609"/>
      <c r="Z62" s="1609"/>
      <c r="AA62" s="1609"/>
      <c r="AB62" s="1609"/>
      <c r="AC62" s="1609"/>
      <c r="AD62" s="1609"/>
      <c r="AE62" s="1609"/>
      <c r="AF62" s="1609"/>
      <c r="AG62" s="1609"/>
      <c r="AH62" s="1609"/>
      <c r="AI62" s="1609"/>
      <c r="AJ62" s="1609"/>
      <c r="AK62" s="1609"/>
      <c r="AL62" s="1609"/>
      <c r="AM62" s="1609"/>
      <c r="AN62" s="1609"/>
      <c r="AO62" s="1609"/>
      <c r="AP62" s="1609"/>
      <c r="AQ62" s="1610"/>
      <c r="AR62" s="1610"/>
      <c r="AS62" s="1610"/>
      <c r="AT62" s="1610"/>
      <c r="AU62" s="1610"/>
      <c r="AV62" s="1610"/>
      <c r="AW62" s="1610"/>
      <c r="AX62" s="1610"/>
      <c r="AY62" s="1610"/>
      <c r="AZ62" s="1610"/>
      <c r="BA62" s="1610"/>
      <c r="BB62" s="1610"/>
      <c r="BC62" s="1610"/>
      <c r="BD62" s="1618"/>
      <c r="BE62" s="1608">
        <f t="shared" si="7"/>
        <v>0</v>
      </c>
      <c r="BN62" s="1603"/>
      <c r="BO62" s="1603"/>
      <c r="BP62" s="1603"/>
      <c r="BQ62" s="1603"/>
      <c r="BZ62" s="1611">
        <v>45473</v>
      </c>
    </row>
    <row r="63" spans="2:78" s="1600" customFormat="1">
      <c r="B63" s="2560"/>
      <c r="C63" s="2370"/>
      <c r="D63" s="2370"/>
      <c r="E63" s="419" t="s">
        <v>281</v>
      </c>
      <c r="F63" s="1580"/>
      <c r="G63" s="1617"/>
      <c r="H63" s="1617"/>
      <c r="I63" s="1617"/>
      <c r="J63" s="1617"/>
      <c r="K63" s="1617"/>
      <c r="L63" s="1617"/>
      <c r="M63" s="1617"/>
      <c r="N63" s="1617"/>
      <c r="O63" s="1617"/>
      <c r="P63" s="1617"/>
      <c r="Q63" s="1617"/>
      <c r="R63" s="1617"/>
      <c r="S63" s="1617"/>
      <c r="T63" s="1617"/>
      <c r="U63" s="1617"/>
      <c r="V63" s="1606"/>
      <c r="W63" s="1606"/>
      <c r="X63" s="1606"/>
      <c r="Y63" s="1606"/>
      <c r="Z63" s="1606"/>
      <c r="AA63" s="1606"/>
      <c r="AB63" s="1606"/>
      <c r="AC63" s="1606"/>
      <c r="AD63" s="1606"/>
      <c r="AE63" s="1606"/>
      <c r="AF63" s="1606"/>
      <c r="AG63" s="1606"/>
      <c r="AH63" s="1606"/>
      <c r="AI63" s="1606"/>
      <c r="AJ63" s="1609"/>
      <c r="AK63" s="1609"/>
      <c r="AL63" s="1609"/>
      <c r="AM63" s="1609"/>
      <c r="AN63" s="1609"/>
      <c r="AO63" s="1609"/>
      <c r="AP63" s="1609"/>
      <c r="AQ63" s="1610"/>
      <c r="AR63" s="1610"/>
      <c r="AS63" s="1610"/>
      <c r="AT63" s="1610"/>
      <c r="AU63" s="1610"/>
      <c r="AV63" s="1610"/>
      <c r="AW63" s="1610"/>
      <c r="AX63" s="1610"/>
      <c r="AY63" s="1610"/>
      <c r="AZ63" s="1610"/>
      <c r="BA63" s="1610"/>
      <c r="BB63" s="1610"/>
      <c r="BC63" s="1610"/>
      <c r="BD63" s="1617"/>
      <c r="BE63" s="1608">
        <f t="shared" si="7"/>
        <v>0</v>
      </c>
      <c r="BN63" s="1603"/>
      <c r="BO63" s="1603"/>
      <c r="BP63" s="1603"/>
      <c r="BQ63" s="1603"/>
    </row>
    <row r="64" spans="2:78" s="1600" customFormat="1" ht="14.25" thickBot="1">
      <c r="B64" s="2561"/>
      <c r="C64" s="2562"/>
      <c r="D64" s="2562"/>
      <c r="E64" s="426" t="s">
        <v>282</v>
      </c>
      <c r="F64" s="1593"/>
      <c r="G64" s="1612"/>
      <c r="H64" s="1612"/>
      <c r="I64" s="1612"/>
      <c r="J64" s="1612"/>
      <c r="K64" s="1612"/>
      <c r="L64" s="1612"/>
      <c r="M64" s="1612"/>
      <c r="N64" s="1612"/>
      <c r="O64" s="1612"/>
      <c r="P64" s="1612"/>
      <c r="Q64" s="1612"/>
      <c r="R64" s="1612"/>
      <c r="S64" s="1612"/>
      <c r="T64" s="1612"/>
      <c r="U64" s="1612"/>
      <c r="V64" s="1612"/>
      <c r="W64" s="1612"/>
      <c r="X64" s="1612"/>
      <c r="Y64" s="1612"/>
      <c r="Z64" s="1612"/>
      <c r="AA64" s="1612"/>
      <c r="AB64" s="1612"/>
      <c r="AC64" s="1612"/>
      <c r="AD64" s="1612"/>
      <c r="AE64" s="1612"/>
      <c r="AF64" s="1612"/>
      <c r="AG64" s="1612"/>
      <c r="AH64" s="1612"/>
      <c r="AI64" s="1612"/>
      <c r="AJ64" s="1612"/>
      <c r="AK64" s="1612"/>
      <c r="AL64" s="1612"/>
      <c r="AM64" s="1612"/>
      <c r="AN64" s="1612"/>
      <c r="AO64" s="1612"/>
      <c r="AP64" s="1613"/>
      <c r="AQ64" s="1614"/>
      <c r="AR64" s="1614"/>
      <c r="AS64" s="1614"/>
      <c r="AT64" s="1614"/>
      <c r="AU64" s="1614"/>
      <c r="AV64" s="1614"/>
      <c r="AW64" s="1614"/>
      <c r="AX64" s="1614"/>
      <c r="AY64" s="1614"/>
      <c r="AZ64" s="1614"/>
      <c r="BA64" s="1614"/>
      <c r="BB64" s="1614"/>
      <c r="BC64" s="1614"/>
      <c r="BD64" s="1612"/>
      <c r="BE64" s="1615">
        <f t="shared" si="7"/>
        <v>0</v>
      </c>
      <c r="BN64" s="1603"/>
      <c r="BO64" s="1603"/>
      <c r="BP64" s="1603"/>
      <c r="BQ64" s="1603"/>
    </row>
    <row r="65" spans="2:78" s="1600" customFormat="1">
      <c r="B65" s="2559" t="s">
        <v>279</v>
      </c>
      <c r="C65" s="2372" t="s">
        <v>200</v>
      </c>
      <c r="D65" s="2563" t="s">
        <v>304</v>
      </c>
      <c r="E65" s="419" t="s">
        <v>125</v>
      </c>
      <c r="F65" s="1580">
        <v>1050000000</v>
      </c>
      <c r="G65" s="1617"/>
      <c r="H65" s="1617"/>
      <c r="I65" s="1617"/>
      <c r="J65" s="1617"/>
      <c r="K65" s="1617"/>
      <c r="L65" s="1617"/>
      <c r="M65" s="1617"/>
      <c r="N65" s="1617"/>
      <c r="O65" s="1617"/>
      <c r="P65" s="1617"/>
      <c r="Q65" s="1617"/>
      <c r="R65" s="1617"/>
      <c r="S65" s="1617"/>
      <c r="T65" s="1617"/>
      <c r="U65" s="1617">
        <v>0.3</v>
      </c>
      <c r="V65" s="1617"/>
      <c r="W65" s="1617"/>
      <c r="X65" s="1617"/>
      <c r="Y65" s="1617"/>
      <c r="Z65" s="1617"/>
      <c r="AA65" s="1617"/>
      <c r="AB65" s="1617"/>
      <c r="AC65" s="1617"/>
      <c r="AD65" s="1617"/>
      <c r="AE65" s="1617"/>
      <c r="AF65" s="1617"/>
      <c r="AG65" s="1617"/>
      <c r="AH65" s="1617"/>
      <c r="AI65" s="1617">
        <v>0.4</v>
      </c>
      <c r="AJ65" s="1617"/>
      <c r="AK65" s="1617"/>
      <c r="AL65" s="1617"/>
      <c r="AM65" s="1617"/>
      <c r="AN65" s="1617"/>
      <c r="AO65" s="1617"/>
      <c r="AP65" s="1617"/>
      <c r="AQ65" s="1607"/>
      <c r="AR65" s="1607"/>
      <c r="AS65" s="1607"/>
      <c r="AT65" s="1607"/>
      <c r="AU65" s="1607"/>
      <c r="AV65" s="1607"/>
      <c r="AW65" s="1617">
        <v>0.25</v>
      </c>
      <c r="AX65" s="1607"/>
      <c r="AY65" s="1607"/>
      <c r="AZ65" s="1607"/>
      <c r="BA65" s="1607"/>
      <c r="BB65" s="1607"/>
      <c r="BC65" s="1607"/>
      <c r="BD65" s="1617">
        <v>0.05</v>
      </c>
      <c r="BE65" s="1608">
        <f>SUM(G65:BD65)</f>
        <v>1</v>
      </c>
      <c r="BN65" s="1603"/>
      <c r="BO65" s="1603"/>
      <c r="BP65" s="1603"/>
      <c r="BQ65" s="1603"/>
    </row>
    <row r="66" spans="2:78" s="1600" customFormat="1">
      <c r="B66" s="2560"/>
      <c r="C66" s="2370"/>
      <c r="D66" s="2370"/>
      <c r="E66" s="419" t="s">
        <v>126</v>
      </c>
      <c r="F66" s="1580">
        <v>550000000</v>
      </c>
      <c r="G66" s="1617">
        <v>0.55000000000000004</v>
      </c>
      <c r="H66" s="1617"/>
      <c r="I66" s="1617"/>
      <c r="J66" s="1617"/>
      <c r="K66" s="1617"/>
      <c r="L66" s="1617"/>
      <c r="M66" s="1617"/>
      <c r="N66" s="1617">
        <v>0.15</v>
      </c>
      <c r="O66" s="1617"/>
      <c r="P66" s="1617"/>
      <c r="Q66" s="1617"/>
      <c r="R66" s="1617"/>
      <c r="S66" s="1617"/>
      <c r="T66" s="1617"/>
      <c r="U66" s="1617"/>
      <c r="V66" s="1606"/>
      <c r="W66" s="1606"/>
      <c r="X66" s="1606"/>
      <c r="Y66" s="1606"/>
      <c r="Z66" s="1606"/>
      <c r="AA66" s="1606"/>
      <c r="AB66" s="1606"/>
      <c r="AC66" s="1606"/>
      <c r="AD66" s="1606"/>
      <c r="AE66" s="1606"/>
      <c r="AF66" s="1606"/>
      <c r="AG66" s="1606"/>
      <c r="AH66" s="1606"/>
      <c r="AI66" s="1606"/>
      <c r="AJ66" s="1609"/>
      <c r="AK66" s="1609"/>
      <c r="AL66" s="1609"/>
      <c r="AM66" s="1609"/>
      <c r="AN66" s="1609"/>
      <c r="AO66" s="1609"/>
      <c r="AP66" s="1609"/>
      <c r="AQ66" s="1610"/>
      <c r="AR66" s="1610"/>
      <c r="AS66" s="1610"/>
      <c r="AT66" s="1610"/>
      <c r="AU66" s="1610"/>
      <c r="AV66" s="1610"/>
      <c r="AW66" s="1610"/>
      <c r="AX66" s="1610"/>
      <c r="AY66" s="1610"/>
      <c r="AZ66" s="1610"/>
      <c r="BA66" s="1610"/>
      <c r="BB66" s="1610"/>
      <c r="BC66" s="1610"/>
      <c r="BD66" s="1617">
        <v>0.3</v>
      </c>
      <c r="BE66" s="1608">
        <f t="shared" ref="BE66:BE69" si="8">SUM(G66:BD66)</f>
        <v>1</v>
      </c>
      <c r="BN66" s="1603"/>
      <c r="BO66" s="1603"/>
      <c r="BP66" s="1603"/>
      <c r="BQ66" s="1603"/>
    </row>
    <row r="67" spans="2:78" s="1600" customFormat="1" ht="13.5">
      <c r="B67" s="2560"/>
      <c r="C67" s="2370"/>
      <c r="D67" s="2370"/>
      <c r="E67" s="419" t="s">
        <v>280</v>
      </c>
      <c r="F67" s="1580"/>
      <c r="G67" s="1617"/>
      <c r="H67" s="1617"/>
      <c r="I67" s="1617"/>
      <c r="J67" s="1617"/>
      <c r="K67" s="1617"/>
      <c r="L67" s="1617"/>
      <c r="M67" s="1617"/>
      <c r="N67" s="1617"/>
      <c r="O67" s="1617"/>
      <c r="P67" s="1617"/>
      <c r="Q67" s="1617"/>
      <c r="R67" s="1617"/>
      <c r="S67" s="1617"/>
      <c r="T67" s="1617"/>
      <c r="U67" s="1617"/>
      <c r="V67" s="1609"/>
      <c r="W67" s="1609"/>
      <c r="X67" s="1609"/>
      <c r="Y67" s="1609"/>
      <c r="Z67" s="1609"/>
      <c r="AA67" s="1609"/>
      <c r="AB67" s="1609"/>
      <c r="AC67" s="1609"/>
      <c r="AD67" s="1609"/>
      <c r="AE67" s="1609"/>
      <c r="AF67" s="1609"/>
      <c r="AG67" s="1609"/>
      <c r="AH67" s="1609"/>
      <c r="AI67" s="1609"/>
      <c r="AJ67" s="1609"/>
      <c r="AK67" s="1609"/>
      <c r="AL67" s="1609"/>
      <c r="AM67" s="1609"/>
      <c r="AN67" s="1609"/>
      <c r="AO67" s="1609"/>
      <c r="AP67" s="1609"/>
      <c r="AQ67" s="1610"/>
      <c r="AR67" s="1610"/>
      <c r="AS67" s="1610"/>
      <c r="AT67" s="1610"/>
      <c r="AU67" s="1610"/>
      <c r="AV67" s="1610"/>
      <c r="AW67" s="1610"/>
      <c r="AX67" s="1610"/>
      <c r="AY67" s="1610"/>
      <c r="AZ67" s="1610"/>
      <c r="BA67" s="1610"/>
      <c r="BB67" s="1610"/>
      <c r="BC67" s="1610"/>
      <c r="BD67" s="1618"/>
      <c r="BE67" s="1608">
        <f t="shared" si="8"/>
        <v>0</v>
      </c>
      <c r="BN67" s="1603"/>
      <c r="BO67" s="1603"/>
      <c r="BP67" s="1603"/>
      <c r="BQ67" s="1603"/>
      <c r="BZ67" s="1611">
        <v>45473</v>
      </c>
    </row>
    <row r="68" spans="2:78" s="1600" customFormat="1">
      <c r="B68" s="2560"/>
      <c r="C68" s="2370"/>
      <c r="D68" s="2370"/>
      <c r="E68" s="419" t="s">
        <v>281</v>
      </c>
      <c r="F68" s="1580"/>
      <c r="G68" s="1617"/>
      <c r="H68" s="1617"/>
      <c r="I68" s="1617"/>
      <c r="J68" s="1617"/>
      <c r="K68" s="1617"/>
      <c r="L68" s="1617"/>
      <c r="M68" s="1617"/>
      <c r="N68" s="1617"/>
      <c r="O68" s="1617"/>
      <c r="P68" s="1617"/>
      <c r="Q68" s="1617"/>
      <c r="R68" s="1617"/>
      <c r="S68" s="1617"/>
      <c r="T68" s="1617"/>
      <c r="U68" s="1617"/>
      <c r="V68" s="1606"/>
      <c r="W68" s="1606"/>
      <c r="X68" s="1606"/>
      <c r="Y68" s="1606"/>
      <c r="Z68" s="1606"/>
      <c r="AA68" s="1606"/>
      <c r="AB68" s="1606"/>
      <c r="AC68" s="1606"/>
      <c r="AD68" s="1606"/>
      <c r="AE68" s="1606"/>
      <c r="AF68" s="1606"/>
      <c r="AG68" s="1606"/>
      <c r="AH68" s="1606"/>
      <c r="AI68" s="1606"/>
      <c r="AJ68" s="1609"/>
      <c r="AK68" s="1609"/>
      <c r="AL68" s="1609"/>
      <c r="AM68" s="1609"/>
      <c r="AN68" s="1609"/>
      <c r="AO68" s="1609"/>
      <c r="AP68" s="1609"/>
      <c r="AQ68" s="1610"/>
      <c r="AR68" s="1610"/>
      <c r="AS68" s="1610"/>
      <c r="AT68" s="1610"/>
      <c r="AU68" s="1610"/>
      <c r="AV68" s="1610"/>
      <c r="AW68" s="1610"/>
      <c r="AX68" s="1610"/>
      <c r="AY68" s="1610"/>
      <c r="AZ68" s="1610"/>
      <c r="BA68" s="1610"/>
      <c r="BB68" s="1610"/>
      <c r="BC68" s="1610"/>
      <c r="BD68" s="1617"/>
      <c r="BE68" s="1608">
        <f t="shared" si="8"/>
        <v>0</v>
      </c>
      <c r="BN68" s="1603"/>
      <c r="BO68" s="1603"/>
      <c r="BP68" s="1603"/>
      <c r="BQ68" s="1603"/>
    </row>
    <row r="69" spans="2:78" s="1600" customFormat="1" ht="14.25" thickBot="1">
      <c r="B69" s="2561"/>
      <c r="C69" s="2562"/>
      <c r="D69" s="2562"/>
      <c r="E69" s="426" t="s">
        <v>282</v>
      </c>
      <c r="F69" s="1593"/>
      <c r="G69" s="1612"/>
      <c r="H69" s="1612"/>
      <c r="I69" s="1612"/>
      <c r="J69" s="1612"/>
      <c r="K69" s="1612"/>
      <c r="L69" s="1612"/>
      <c r="M69" s="1612"/>
      <c r="N69" s="1612"/>
      <c r="O69" s="1612"/>
      <c r="P69" s="1612"/>
      <c r="Q69" s="1612"/>
      <c r="R69" s="1612"/>
      <c r="S69" s="1612"/>
      <c r="T69" s="1612"/>
      <c r="U69" s="1612"/>
      <c r="V69" s="1612"/>
      <c r="W69" s="1612"/>
      <c r="X69" s="1612"/>
      <c r="Y69" s="1612"/>
      <c r="Z69" s="1612"/>
      <c r="AA69" s="1612"/>
      <c r="AB69" s="1612"/>
      <c r="AC69" s="1612"/>
      <c r="AD69" s="1612"/>
      <c r="AE69" s="1612"/>
      <c r="AF69" s="1612"/>
      <c r="AG69" s="1612"/>
      <c r="AH69" s="1612"/>
      <c r="AI69" s="1612"/>
      <c r="AJ69" s="1612"/>
      <c r="AK69" s="1612"/>
      <c r="AL69" s="1612"/>
      <c r="AM69" s="1612"/>
      <c r="AN69" s="1612"/>
      <c r="AO69" s="1612"/>
      <c r="AP69" s="1613"/>
      <c r="AQ69" s="1614"/>
      <c r="AR69" s="1614"/>
      <c r="AS69" s="1614"/>
      <c r="AT69" s="1614"/>
      <c r="AU69" s="1614"/>
      <c r="AV69" s="1614"/>
      <c r="AW69" s="1614"/>
      <c r="AX69" s="1614"/>
      <c r="AY69" s="1614"/>
      <c r="AZ69" s="1614"/>
      <c r="BA69" s="1614"/>
      <c r="BB69" s="1614"/>
      <c r="BC69" s="1614"/>
      <c r="BD69" s="1612"/>
      <c r="BE69" s="1615">
        <f t="shared" si="8"/>
        <v>0</v>
      </c>
      <c r="BN69" s="1603"/>
      <c r="BO69" s="1603"/>
      <c r="BP69" s="1603"/>
      <c r="BQ69" s="1603"/>
    </row>
    <row r="70" spans="2:78" s="1600" customFormat="1">
      <c r="B70" s="2559" t="s">
        <v>279</v>
      </c>
      <c r="C70" s="2372" t="s">
        <v>200</v>
      </c>
      <c r="D70" s="2563" t="s">
        <v>305</v>
      </c>
      <c r="E70" s="419" t="s">
        <v>125</v>
      </c>
      <c r="F70" s="1580">
        <v>1050000000</v>
      </c>
      <c r="G70" s="1617"/>
      <c r="H70" s="1617"/>
      <c r="I70" s="1617"/>
      <c r="J70" s="1617"/>
      <c r="K70" s="1617"/>
      <c r="L70" s="1617"/>
      <c r="M70" s="1617"/>
      <c r="N70" s="1617"/>
      <c r="O70" s="1617"/>
      <c r="P70" s="1617"/>
      <c r="Q70" s="1617"/>
      <c r="R70" s="1617"/>
      <c r="S70" s="1617"/>
      <c r="T70" s="1617"/>
      <c r="U70" s="1617">
        <v>0.3</v>
      </c>
      <c r="V70" s="1617"/>
      <c r="W70" s="1617"/>
      <c r="X70" s="1617"/>
      <c r="Y70" s="1617"/>
      <c r="Z70" s="1617"/>
      <c r="AA70" s="1617"/>
      <c r="AB70" s="1617"/>
      <c r="AC70" s="1617"/>
      <c r="AD70" s="1617"/>
      <c r="AE70" s="1617"/>
      <c r="AF70" s="1617"/>
      <c r="AG70" s="1617"/>
      <c r="AH70" s="1617"/>
      <c r="AI70" s="1617">
        <v>0.4</v>
      </c>
      <c r="AJ70" s="1617"/>
      <c r="AK70" s="1617"/>
      <c r="AL70" s="1617"/>
      <c r="AM70" s="1617"/>
      <c r="AN70" s="1617"/>
      <c r="AO70" s="1617"/>
      <c r="AP70" s="1617"/>
      <c r="AQ70" s="1607"/>
      <c r="AR70" s="1607"/>
      <c r="AS70" s="1607"/>
      <c r="AT70" s="1607"/>
      <c r="AU70" s="1607"/>
      <c r="AV70" s="1607"/>
      <c r="AW70" s="1617">
        <v>0.25</v>
      </c>
      <c r="AX70" s="1607"/>
      <c r="AY70" s="1607"/>
      <c r="AZ70" s="1607"/>
      <c r="BA70" s="1607"/>
      <c r="BB70" s="1607"/>
      <c r="BC70" s="1607"/>
      <c r="BD70" s="1617">
        <v>0.05</v>
      </c>
      <c r="BE70" s="1608">
        <f>SUM(G70:BD70)</f>
        <v>1</v>
      </c>
      <c r="BN70" s="1603"/>
      <c r="BO70" s="1603"/>
      <c r="BP70" s="1603"/>
      <c r="BQ70" s="1603"/>
    </row>
    <row r="71" spans="2:78" s="1600" customFormat="1">
      <c r="B71" s="2560"/>
      <c r="C71" s="2370"/>
      <c r="D71" s="2370"/>
      <c r="E71" s="419" t="s">
        <v>126</v>
      </c>
      <c r="F71" s="1580">
        <v>550000000</v>
      </c>
      <c r="G71" s="1617">
        <v>0.55000000000000004</v>
      </c>
      <c r="H71" s="1617"/>
      <c r="I71" s="1617"/>
      <c r="J71" s="1617"/>
      <c r="K71" s="1617"/>
      <c r="L71" s="1617"/>
      <c r="M71" s="1617"/>
      <c r="N71" s="1617">
        <v>0.15</v>
      </c>
      <c r="O71" s="1617"/>
      <c r="P71" s="1617"/>
      <c r="Q71" s="1617"/>
      <c r="R71" s="1617"/>
      <c r="S71" s="1617"/>
      <c r="T71" s="1617"/>
      <c r="U71" s="1617"/>
      <c r="V71" s="1606"/>
      <c r="W71" s="1606"/>
      <c r="X71" s="1606"/>
      <c r="Y71" s="1606"/>
      <c r="Z71" s="1606"/>
      <c r="AA71" s="1606"/>
      <c r="AB71" s="1606"/>
      <c r="AC71" s="1606"/>
      <c r="AD71" s="1606"/>
      <c r="AE71" s="1606"/>
      <c r="AF71" s="1606"/>
      <c r="AG71" s="1606"/>
      <c r="AH71" s="1606"/>
      <c r="AI71" s="1609"/>
      <c r="AJ71" s="1609"/>
      <c r="AK71" s="1609"/>
      <c r="AL71" s="1609"/>
      <c r="AM71" s="1609"/>
      <c r="AN71" s="1609"/>
      <c r="AO71" s="1609"/>
      <c r="AP71" s="1609"/>
      <c r="AQ71" s="1610"/>
      <c r="AR71" s="1610"/>
      <c r="AS71" s="1610"/>
      <c r="AT71" s="1610"/>
      <c r="AU71" s="1610"/>
      <c r="AV71" s="1610"/>
      <c r="AW71" s="1610"/>
      <c r="AX71" s="1610"/>
      <c r="AY71" s="1610"/>
      <c r="AZ71" s="1610"/>
      <c r="BA71" s="1610"/>
      <c r="BB71" s="1610"/>
      <c r="BC71" s="1610"/>
      <c r="BD71" s="1617">
        <v>0.3</v>
      </c>
      <c r="BE71" s="1608">
        <f t="shared" ref="BE71:BE74" si="9">SUM(G71:BD71)</f>
        <v>1</v>
      </c>
      <c r="BN71" s="1603"/>
      <c r="BO71" s="1603"/>
      <c r="BP71" s="1603"/>
      <c r="BQ71" s="1603"/>
    </row>
    <row r="72" spans="2:78" s="1600" customFormat="1" ht="13.5">
      <c r="B72" s="2560"/>
      <c r="C72" s="2370"/>
      <c r="D72" s="2370"/>
      <c r="E72" s="419" t="s">
        <v>280</v>
      </c>
      <c r="F72" s="1580"/>
      <c r="G72" s="1617"/>
      <c r="H72" s="1617"/>
      <c r="I72" s="1617"/>
      <c r="J72" s="1617"/>
      <c r="K72" s="1617"/>
      <c r="L72" s="1617"/>
      <c r="M72" s="1617"/>
      <c r="N72" s="1617"/>
      <c r="O72" s="1617"/>
      <c r="P72" s="1617"/>
      <c r="Q72" s="1617"/>
      <c r="R72" s="1617"/>
      <c r="S72" s="1617"/>
      <c r="T72" s="1617"/>
      <c r="U72" s="1617"/>
      <c r="V72" s="1609"/>
      <c r="W72" s="1609"/>
      <c r="X72" s="1609"/>
      <c r="Y72" s="1609"/>
      <c r="Z72" s="1609"/>
      <c r="AA72" s="1609"/>
      <c r="AB72" s="1609"/>
      <c r="AC72" s="1609"/>
      <c r="AD72" s="1609"/>
      <c r="AE72" s="1609"/>
      <c r="AF72" s="1609"/>
      <c r="AG72" s="1609"/>
      <c r="AH72" s="1609"/>
      <c r="AI72" s="1609"/>
      <c r="AJ72" s="1609"/>
      <c r="AK72" s="1609"/>
      <c r="AL72" s="1609"/>
      <c r="AM72" s="1609"/>
      <c r="AN72" s="1609"/>
      <c r="AO72" s="1609"/>
      <c r="AP72" s="1609"/>
      <c r="AQ72" s="1610"/>
      <c r="AR72" s="1610"/>
      <c r="AS72" s="1610"/>
      <c r="AT72" s="1610"/>
      <c r="AU72" s="1610"/>
      <c r="AV72" s="1610"/>
      <c r="AW72" s="1610"/>
      <c r="AX72" s="1610"/>
      <c r="AY72" s="1610"/>
      <c r="AZ72" s="1610"/>
      <c r="BA72" s="1610"/>
      <c r="BB72" s="1610"/>
      <c r="BC72" s="1610"/>
      <c r="BD72" s="1618"/>
      <c r="BE72" s="1608">
        <f t="shared" si="9"/>
        <v>0</v>
      </c>
      <c r="BN72" s="1603"/>
      <c r="BO72" s="1603"/>
      <c r="BP72" s="1603"/>
      <c r="BQ72" s="1603"/>
      <c r="BZ72" s="1611">
        <v>45473</v>
      </c>
    </row>
    <row r="73" spans="2:78" s="1600" customFormat="1">
      <c r="B73" s="2560"/>
      <c r="C73" s="2370"/>
      <c r="D73" s="2370"/>
      <c r="E73" s="419" t="s">
        <v>281</v>
      </c>
      <c r="F73" s="1580"/>
      <c r="G73" s="1617"/>
      <c r="H73" s="1617"/>
      <c r="I73" s="1617"/>
      <c r="J73" s="1617"/>
      <c r="K73" s="1617"/>
      <c r="L73" s="1617"/>
      <c r="M73" s="1617"/>
      <c r="N73" s="1617"/>
      <c r="O73" s="1617"/>
      <c r="P73" s="1617"/>
      <c r="Q73" s="1617"/>
      <c r="R73" s="1617"/>
      <c r="S73" s="1617"/>
      <c r="T73" s="1617"/>
      <c r="U73" s="1617"/>
      <c r="V73" s="1606"/>
      <c r="W73" s="1606"/>
      <c r="X73" s="1606"/>
      <c r="Y73" s="1606"/>
      <c r="Z73" s="1606"/>
      <c r="AA73" s="1606"/>
      <c r="AB73" s="1606"/>
      <c r="AC73" s="1606"/>
      <c r="AD73" s="1606"/>
      <c r="AE73" s="1606"/>
      <c r="AF73" s="1606"/>
      <c r="AG73" s="1606"/>
      <c r="AH73" s="1606"/>
      <c r="AI73" s="1609"/>
      <c r="AJ73" s="1609"/>
      <c r="AK73" s="1609"/>
      <c r="AL73" s="1609"/>
      <c r="AM73" s="1609"/>
      <c r="AN73" s="1609"/>
      <c r="AO73" s="1609"/>
      <c r="AP73" s="1609"/>
      <c r="AQ73" s="1610"/>
      <c r="AR73" s="1610"/>
      <c r="AS73" s="1610"/>
      <c r="AT73" s="1610"/>
      <c r="AU73" s="1610"/>
      <c r="AV73" s="1610"/>
      <c r="AW73" s="1610"/>
      <c r="AX73" s="1610"/>
      <c r="AY73" s="1610"/>
      <c r="AZ73" s="1610"/>
      <c r="BA73" s="1610"/>
      <c r="BB73" s="1610"/>
      <c r="BC73" s="1610"/>
      <c r="BD73" s="1617"/>
      <c r="BE73" s="1608">
        <f t="shared" si="9"/>
        <v>0</v>
      </c>
      <c r="BN73" s="1603"/>
      <c r="BO73" s="1603"/>
      <c r="BP73" s="1603"/>
      <c r="BQ73" s="1603"/>
    </row>
    <row r="74" spans="2:78" s="1600" customFormat="1" ht="14.25" thickBot="1">
      <c r="B74" s="2561"/>
      <c r="C74" s="2562"/>
      <c r="D74" s="2562"/>
      <c r="E74" s="426" t="s">
        <v>282</v>
      </c>
      <c r="F74" s="1593"/>
      <c r="G74" s="1612"/>
      <c r="H74" s="1612"/>
      <c r="I74" s="1612"/>
      <c r="J74" s="1612"/>
      <c r="K74" s="1612"/>
      <c r="L74" s="1612"/>
      <c r="M74" s="1612"/>
      <c r="N74" s="1612"/>
      <c r="O74" s="1612"/>
      <c r="P74" s="1612"/>
      <c r="Q74" s="1612"/>
      <c r="R74" s="1612"/>
      <c r="S74" s="1612"/>
      <c r="T74" s="1612"/>
      <c r="U74" s="1612"/>
      <c r="V74" s="1612"/>
      <c r="W74" s="1612"/>
      <c r="X74" s="1612"/>
      <c r="Y74" s="1612"/>
      <c r="Z74" s="1612"/>
      <c r="AA74" s="1612"/>
      <c r="AB74" s="1612"/>
      <c r="AC74" s="1612"/>
      <c r="AD74" s="1612"/>
      <c r="AE74" s="1612"/>
      <c r="AF74" s="1612"/>
      <c r="AG74" s="1612"/>
      <c r="AH74" s="1612"/>
      <c r="AI74" s="1612"/>
      <c r="AJ74" s="1612"/>
      <c r="AK74" s="1612"/>
      <c r="AL74" s="1612"/>
      <c r="AM74" s="1612"/>
      <c r="AN74" s="1612"/>
      <c r="AO74" s="1612"/>
      <c r="AP74" s="1613"/>
      <c r="AQ74" s="1614"/>
      <c r="AR74" s="1614"/>
      <c r="AS74" s="1614"/>
      <c r="AT74" s="1614"/>
      <c r="AU74" s="1614"/>
      <c r="AV74" s="1614"/>
      <c r="AW74" s="1614"/>
      <c r="AX74" s="1614"/>
      <c r="AY74" s="1614"/>
      <c r="AZ74" s="1614"/>
      <c r="BA74" s="1614"/>
      <c r="BB74" s="1614"/>
      <c r="BC74" s="1614"/>
      <c r="BD74" s="1612"/>
      <c r="BE74" s="1615">
        <f t="shared" si="9"/>
        <v>0</v>
      </c>
      <c r="BN74" s="1603"/>
      <c r="BO74" s="1603"/>
      <c r="BP74" s="1603"/>
      <c r="BQ74" s="1603"/>
    </row>
    <row r="1048576" spans="60:60">
      <c r="BH1048576" s="1603">
        <v>7</v>
      </c>
    </row>
  </sheetData>
  <mergeCells count="42">
    <mergeCell ref="BH51:BH52"/>
    <mergeCell ref="BG51:BG52"/>
    <mergeCell ref="BK51:BK52"/>
    <mergeCell ref="B20:B23"/>
    <mergeCell ref="D20:D23"/>
    <mergeCell ref="B42:B45"/>
    <mergeCell ref="D42:D45"/>
    <mergeCell ref="B38:B41"/>
    <mergeCell ref="D38:D41"/>
    <mergeCell ref="C34:C45"/>
    <mergeCell ref="B28:B31"/>
    <mergeCell ref="D28:D31"/>
    <mergeCell ref="C20:C31"/>
    <mergeCell ref="B24:B27"/>
    <mergeCell ref="D24:D27"/>
    <mergeCell ref="B33:E33"/>
    <mergeCell ref="B4:E4"/>
    <mergeCell ref="D5:D9"/>
    <mergeCell ref="B5:B9"/>
    <mergeCell ref="B10:B14"/>
    <mergeCell ref="B15:B19"/>
    <mergeCell ref="C5:C9"/>
    <mergeCell ref="C10:C19"/>
    <mergeCell ref="D10:D14"/>
    <mergeCell ref="D15:D19"/>
    <mergeCell ref="B34:B37"/>
    <mergeCell ref="D34:D37"/>
    <mergeCell ref="D53:D57"/>
    <mergeCell ref="C53:C57"/>
    <mergeCell ref="B46:B50"/>
    <mergeCell ref="B59:E59"/>
    <mergeCell ref="B52:E52"/>
    <mergeCell ref="B53:B57"/>
    <mergeCell ref="B70:B74"/>
    <mergeCell ref="C70:C74"/>
    <mergeCell ref="D70:D74"/>
    <mergeCell ref="B60:B64"/>
    <mergeCell ref="C60:C64"/>
    <mergeCell ref="D60:D64"/>
    <mergeCell ref="B65:B69"/>
    <mergeCell ref="C65:C69"/>
    <mergeCell ref="D65:D69"/>
  </mergeCells>
  <phoneticPr fontId="1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9635-3891-4981-86DD-46C2E319A020}">
  <sheetPr>
    <pageSetUpPr fitToPage="1"/>
  </sheetPr>
  <dimension ref="A1:P27"/>
  <sheetViews>
    <sheetView showGridLines="0" zoomScaleNormal="100" zoomScaleSheetLayoutView="55" workbookViewId="0">
      <selection activeCell="D21" sqref="D21"/>
    </sheetView>
  </sheetViews>
  <sheetFormatPr defaultColWidth="9" defaultRowHeight="12.75"/>
  <cols>
    <col min="1" max="1" width="1.625" style="1600" customWidth="1"/>
    <col min="2" max="2" width="4.875" style="1600" customWidth="1"/>
    <col min="3" max="3" width="17.625" style="1600" customWidth="1"/>
    <col min="4" max="4" width="12.625" style="1600" customWidth="1"/>
    <col min="5" max="5" width="12.375" style="1600" customWidth="1"/>
    <col min="6" max="8" width="11.625" style="1600" customWidth="1"/>
    <col min="9" max="18" width="11.25" style="1600" customWidth="1"/>
    <col min="19" max="16384" width="9" style="1600"/>
  </cols>
  <sheetData>
    <row r="1" spans="1:16" s="1599" customFormat="1"/>
    <row r="2" spans="1:16" s="1599" customFormat="1"/>
    <row r="3" spans="1:16" s="1599" customFormat="1">
      <c r="I3" s="1707">
        <v>200000000</v>
      </c>
      <c r="J3" s="1707"/>
    </row>
    <row r="4" spans="1:16" s="1599" customFormat="1"/>
    <row r="5" spans="1:16" s="1599" customFormat="1"/>
    <row r="6" spans="1:16" s="1599" customFormat="1" ht="13.5">
      <c r="B6" s="1599" t="s">
        <v>237</v>
      </c>
    </row>
    <row r="7" spans="1:16" s="1599" customFormat="1"/>
    <row r="8" spans="1:16">
      <c r="A8" s="401"/>
      <c r="B8" s="2522"/>
      <c r="C8" s="2522"/>
      <c r="D8" s="1601"/>
      <c r="E8" s="1601"/>
      <c r="F8" s="1648"/>
      <c r="G8" s="1648"/>
      <c r="H8" s="1648"/>
      <c r="I8" s="401"/>
      <c r="J8" s="401"/>
    </row>
    <row r="9" spans="1:16" ht="28.15" customHeight="1">
      <c r="A9" s="401"/>
      <c r="B9" s="2375" t="s">
        <v>98</v>
      </c>
      <c r="C9" s="2375" t="s">
        <v>99</v>
      </c>
      <c r="D9" s="2373" t="s">
        <v>100</v>
      </c>
      <c r="E9" s="2523" t="s">
        <v>101</v>
      </c>
      <c r="F9" s="2523" t="s">
        <v>103</v>
      </c>
      <c r="G9" s="2373" t="s">
        <v>218</v>
      </c>
      <c r="H9" s="2547" t="s">
        <v>107</v>
      </c>
      <c r="I9" s="2549"/>
      <c r="J9" s="2547" t="s">
        <v>238</v>
      </c>
      <c r="K9" s="2549"/>
      <c r="L9" s="2547" t="s">
        <v>109</v>
      </c>
      <c r="M9" s="2549"/>
      <c r="N9" s="2547" t="s">
        <v>110</v>
      </c>
      <c r="O9" s="2549"/>
      <c r="P9" s="1590" t="s">
        <v>130</v>
      </c>
    </row>
    <row r="10" spans="1:16" ht="42" customHeight="1">
      <c r="A10" s="401"/>
      <c r="B10" s="2376"/>
      <c r="C10" s="2376"/>
      <c r="D10" s="2374"/>
      <c r="E10" s="2524"/>
      <c r="F10" s="2524"/>
      <c r="G10" s="2374"/>
      <c r="H10" s="1763" t="s">
        <v>219</v>
      </c>
      <c r="I10" s="1708">
        <v>0.4</v>
      </c>
      <c r="J10" s="1590" t="s">
        <v>219</v>
      </c>
      <c r="K10" s="1708">
        <v>0.2</v>
      </c>
      <c r="L10" s="1590" t="s">
        <v>219</v>
      </c>
      <c r="M10" s="1708">
        <v>0.3</v>
      </c>
      <c r="N10" s="1590" t="s">
        <v>219</v>
      </c>
      <c r="O10" s="1708">
        <v>0.1</v>
      </c>
      <c r="P10" s="1709">
        <f>+SUM(I10:O10)</f>
        <v>1.0000000000000002</v>
      </c>
    </row>
    <row r="11" spans="1:16">
      <c r="A11" s="1649"/>
      <c r="B11" s="1694">
        <v>1</v>
      </c>
      <c r="C11" s="1695" t="s">
        <v>220</v>
      </c>
      <c r="D11" s="1696">
        <v>999.24</v>
      </c>
      <c r="E11" s="1696" t="s">
        <v>124</v>
      </c>
      <c r="F11" s="1697">
        <f t="shared" ref="F11:F16" si="0">+D11*$I$3/1000</f>
        <v>199848000</v>
      </c>
      <c r="G11" s="1697">
        <f t="shared" ref="G11:G16" si="1">SUM(F11:F11)</f>
        <v>199848000</v>
      </c>
      <c r="H11" s="2570" t="s">
        <v>239</v>
      </c>
      <c r="I11" s="1697">
        <f>+$G11*I$10</f>
        <v>79939200</v>
      </c>
      <c r="J11" s="1766" t="s">
        <v>240</v>
      </c>
      <c r="K11" s="1697">
        <f>+$G11*K$10</f>
        <v>39969600</v>
      </c>
      <c r="L11" s="1766" t="s">
        <v>241</v>
      </c>
      <c r="M11" s="1697">
        <f>+$G11*M$10</f>
        <v>59954400</v>
      </c>
      <c r="N11" s="1586" t="s">
        <v>242</v>
      </c>
      <c r="O11" s="1697">
        <f>+$G11*O$10</f>
        <v>19984800</v>
      </c>
      <c r="P11" s="1697">
        <f>+SUM(I11:O11)</f>
        <v>199848000</v>
      </c>
    </row>
    <row r="12" spans="1:16" ht="17.45" customHeight="1">
      <c r="A12" s="1649"/>
      <c r="B12" s="1698">
        <v>2</v>
      </c>
      <c r="C12" s="1699" t="s">
        <v>221</v>
      </c>
      <c r="D12" s="1700">
        <v>399.04</v>
      </c>
      <c r="E12" s="1700" t="s">
        <v>124</v>
      </c>
      <c r="F12" s="1701">
        <f t="shared" si="0"/>
        <v>79808000</v>
      </c>
      <c r="G12" s="1701">
        <f t="shared" si="1"/>
        <v>79808000</v>
      </c>
      <c r="H12" s="2568"/>
      <c r="I12" s="1701">
        <f t="shared" ref="I12:O16" si="2">+$G12*I$10</f>
        <v>31923200</v>
      </c>
      <c r="J12" s="1626" t="s">
        <v>243</v>
      </c>
      <c r="K12" s="1701">
        <f t="shared" si="2"/>
        <v>15961600</v>
      </c>
      <c r="L12" s="1626" t="s">
        <v>242</v>
      </c>
      <c r="M12" s="1701">
        <f t="shared" si="2"/>
        <v>23942400</v>
      </c>
      <c r="N12" s="1585" t="s">
        <v>244</v>
      </c>
      <c r="O12" s="1701">
        <f t="shared" si="2"/>
        <v>7980800</v>
      </c>
      <c r="P12" s="1701">
        <f t="shared" ref="P12:P16" si="3">+SUM(I12:O12)</f>
        <v>79808000</v>
      </c>
    </row>
    <row r="13" spans="1:16" ht="17.45" customHeight="1">
      <c r="A13" s="1650"/>
      <c r="B13" s="1698">
        <v>3</v>
      </c>
      <c r="C13" s="1699" t="s">
        <v>222</v>
      </c>
      <c r="D13" s="1702">
        <v>499.96</v>
      </c>
      <c r="E13" s="1700" t="s">
        <v>124</v>
      </c>
      <c r="F13" s="1701">
        <f t="shared" si="0"/>
        <v>99992000</v>
      </c>
      <c r="G13" s="1701">
        <f t="shared" si="1"/>
        <v>99992000</v>
      </c>
      <c r="H13" s="2568"/>
      <c r="I13" s="1701">
        <f t="shared" si="2"/>
        <v>39996800</v>
      </c>
      <c r="J13" s="1626">
        <v>45839</v>
      </c>
      <c r="K13" s="1701">
        <f t="shared" si="2"/>
        <v>19998400</v>
      </c>
      <c r="L13" s="1626" t="s">
        <v>245</v>
      </c>
      <c r="M13" s="1701">
        <f t="shared" si="2"/>
        <v>29997600</v>
      </c>
      <c r="N13" s="1585" t="s">
        <v>246</v>
      </c>
      <c r="O13" s="1701">
        <f t="shared" si="2"/>
        <v>9999200</v>
      </c>
      <c r="P13" s="1701">
        <f t="shared" si="3"/>
        <v>100037839</v>
      </c>
    </row>
    <row r="14" spans="1:16" ht="17.45" customHeight="1">
      <c r="A14" s="1649"/>
      <c r="B14" s="1698">
        <v>4</v>
      </c>
      <c r="C14" s="1703" t="s">
        <v>223</v>
      </c>
      <c r="D14" s="1702">
        <v>499.96</v>
      </c>
      <c r="E14" s="1700" t="s">
        <v>124</v>
      </c>
      <c r="F14" s="1701">
        <f t="shared" si="0"/>
        <v>99992000</v>
      </c>
      <c r="G14" s="1701">
        <f t="shared" si="1"/>
        <v>99992000</v>
      </c>
      <c r="H14" s="2568"/>
      <c r="I14" s="1701">
        <f t="shared" si="2"/>
        <v>39996800</v>
      </c>
      <c r="J14" s="1626" t="s">
        <v>247</v>
      </c>
      <c r="K14" s="1701">
        <f t="shared" si="2"/>
        <v>19998400</v>
      </c>
      <c r="L14" s="1626" t="s">
        <v>245</v>
      </c>
      <c r="M14" s="1701">
        <f t="shared" si="2"/>
        <v>29997600</v>
      </c>
      <c r="N14" s="1585" t="s">
        <v>246</v>
      </c>
      <c r="O14" s="1701">
        <f t="shared" si="2"/>
        <v>9999200</v>
      </c>
      <c r="P14" s="1701">
        <f t="shared" si="3"/>
        <v>99992000</v>
      </c>
    </row>
    <row r="15" spans="1:16" ht="17.45" customHeight="1">
      <c r="A15" s="1649"/>
      <c r="B15" s="1698">
        <v>5</v>
      </c>
      <c r="C15" s="1699" t="s">
        <v>224</v>
      </c>
      <c r="D15" s="1702">
        <v>149.63999999999999</v>
      </c>
      <c r="E15" s="1700" t="s">
        <v>124</v>
      </c>
      <c r="F15" s="1701">
        <f t="shared" si="0"/>
        <v>29927999.999999996</v>
      </c>
      <c r="G15" s="1701">
        <f t="shared" si="1"/>
        <v>29927999.999999996</v>
      </c>
      <c r="H15" s="2568"/>
      <c r="I15" s="1701">
        <f t="shared" si="2"/>
        <v>11971200</v>
      </c>
      <c r="J15" s="1626">
        <v>45839</v>
      </c>
      <c r="K15" s="1701">
        <f t="shared" si="2"/>
        <v>5985600</v>
      </c>
      <c r="L15" s="1626" t="s">
        <v>248</v>
      </c>
      <c r="M15" s="1701">
        <f t="shared" si="2"/>
        <v>8978399.9999999981</v>
      </c>
      <c r="N15" s="1585" t="s">
        <v>249</v>
      </c>
      <c r="O15" s="1701">
        <f t="shared" si="2"/>
        <v>2992800</v>
      </c>
      <c r="P15" s="1701">
        <f t="shared" si="3"/>
        <v>29973839</v>
      </c>
    </row>
    <row r="16" spans="1:16" ht="17.45" customHeight="1">
      <c r="A16" s="1649"/>
      <c r="B16" s="1698">
        <v>6</v>
      </c>
      <c r="C16" s="1699" t="s">
        <v>225</v>
      </c>
      <c r="D16" s="1702">
        <v>299.27999999999997</v>
      </c>
      <c r="E16" s="1700" t="s">
        <v>124</v>
      </c>
      <c r="F16" s="1701">
        <f t="shared" si="0"/>
        <v>59855999.999999993</v>
      </c>
      <c r="G16" s="1701">
        <f t="shared" si="1"/>
        <v>59855999.999999993</v>
      </c>
      <c r="H16" s="2569"/>
      <c r="I16" s="1701">
        <f t="shared" si="2"/>
        <v>23942400</v>
      </c>
      <c r="J16" s="1626">
        <v>45839</v>
      </c>
      <c r="K16" s="1701">
        <f t="shared" si="2"/>
        <v>11971200</v>
      </c>
      <c r="L16" s="1626" t="s">
        <v>245</v>
      </c>
      <c r="M16" s="1701">
        <f t="shared" si="2"/>
        <v>17956799.999999996</v>
      </c>
      <c r="N16" s="1585" t="s">
        <v>246</v>
      </c>
      <c r="O16" s="1701">
        <f t="shared" si="2"/>
        <v>5985600</v>
      </c>
      <c r="P16" s="1701">
        <f t="shared" si="3"/>
        <v>59901839</v>
      </c>
    </row>
    <row r="17" spans="1:16" ht="16.5" customHeight="1">
      <c r="A17" s="1649"/>
      <c r="B17" s="2571" t="s">
        <v>250</v>
      </c>
      <c r="C17" s="2572"/>
      <c r="D17" s="1704">
        <f>+SUM(D11:D16)</f>
        <v>2847.12</v>
      </c>
      <c r="E17" s="1705"/>
      <c r="F17" s="1706">
        <f>+SUM(F11:F16)</f>
        <v>569424000</v>
      </c>
      <c r="G17" s="1706">
        <f>+SUM(G11:G16)</f>
        <v>569424000</v>
      </c>
      <c r="H17" s="1706"/>
      <c r="I17" s="1706">
        <f t="shared" ref="I17:P17" si="4">+SUM(I11:I16)</f>
        <v>227769600</v>
      </c>
      <c r="J17" s="1706"/>
      <c r="K17" s="1706">
        <f t="shared" si="4"/>
        <v>113884800</v>
      </c>
      <c r="L17" s="1706"/>
      <c r="M17" s="1706">
        <f t="shared" si="4"/>
        <v>170827200</v>
      </c>
      <c r="N17" s="1706"/>
      <c r="O17" s="1706">
        <f t="shared" si="4"/>
        <v>56942400</v>
      </c>
      <c r="P17" s="1706">
        <f t="shared" si="4"/>
        <v>569561517</v>
      </c>
    </row>
    <row r="18" spans="1:16" ht="28.15" customHeight="1">
      <c r="A18" s="401"/>
      <c r="B18" s="2375" t="s">
        <v>98</v>
      </c>
      <c r="C18" s="2375" t="s">
        <v>99</v>
      </c>
      <c r="D18" s="2373" t="s">
        <v>100</v>
      </c>
      <c r="E18" s="2523" t="s">
        <v>101</v>
      </c>
      <c r="F18" s="2523" t="s">
        <v>103</v>
      </c>
      <c r="G18" s="2373" t="s">
        <v>218</v>
      </c>
      <c r="H18" s="2547" t="s">
        <v>107</v>
      </c>
      <c r="I18" s="2549"/>
      <c r="J18" s="1764"/>
      <c r="K18" s="1691" t="s">
        <v>238</v>
      </c>
      <c r="L18" s="1691"/>
      <c r="M18" s="1691" t="s">
        <v>109</v>
      </c>
      <c r="N18" s="1691"/>
      <c r="O18" s="1691" t="s">
        <v>110</v>
      </c>
      <c r="P18" s="1690" t="s">
        <v>130</v>
      </c>
    </row>
    <row r="19" spans="1:16" ht="42" customHeight="1">
      <c r="A19" s="401"/>
      <c r="B19" s="2376"/>
      <c r="C19" s="2376"/>
      <c r="D19" s="2374"/>
      <c r="E19" s="2524"/>
      <c r="F19" s="2524"/>
      <c r="G19" s="2374"/>
      <c r="H19" s="1590" t="s">
        <v>219</v>
      </c>
      <c r="I19" s="1758">
        <v>1</v>
      </c>
      <c r="J19" s="1758"/>
      <c r="K19" s="1758"/>
      <c r="L19" s="1758"/>
      <c r="M19" s="1758"/>
      <c r="N19" s="1758"/>
      <c r="O19" s="1758"/>
      <c r="P19" s="1759">
        <f>+SUM(I19:O19)</f>
        <v>1</v>
      </c>
    </row>
    <row r="20" spans="1:16">
      <c r="A20" s="1649"/>
      <c r="B20" s="1694">
        <v>1</v>
      </c>
      <c r="C20" s="1695" t="str">
        <f>+'[7]GM Payment(SPA)'!C11</f>
        <v>Galsan (SPA)</v>
      </c>
      <c r="D20" s="1696">
        <f>+'[7]GM Payment(SPA)'!D11</f>
        <v>993.6</v>
      </c>
      <c r="E20" s="1696" t="s">
        <v>124</v>
      </c>
      <c r="F20" s="1697">
        <f>+D20*$I$3/1000</f>
        <v>198720000</v>
      </c>
      <c r="G20" s="1697">
        <f>SUM(F20:F20)</f>
        <v>198720000</v>
      </c>
      <c r="H20" s="2568" t="s">
        <v>239</v>
      </c>
      <c r="I20" s="1760">
        <f>+$G20*I$19</f>
        <v>198720000</v>
      </c>
      <c r="J20" s="1760"/>
      <c r="K20" s="1760"/>
      <c r="L20" s="1760"/>
      <c r="M20" s="1760"/>
      <c r="N20" s="1760"/>
      <c r="O20" s="1760"/>
      <c r="P20" s="1760">
        <f t="shared" ref="P20:P23" si="5">+SUM(I20:O20)</f>
        <v>198720000</v>
      </c>
    </row>
    <row r="21" spans="1:16" ht="17.45" customHeight="1">
      <c r="A21" s="1649"/>
      <c r="B21" s="1698">
        <v>2</v>
      </c>
      <c r="C21" s="1699" t="str">
        <f>+'[7]GM Payment(SPA)'!C17</f>
        <v>Mineuri (SPA)</v>
      </c>
      <c r="D21" s="1700">
        <f>+'[7]GM Payment(SPA)'!D17</f>
        <v>993.6</v>
      </c>
      <c r="E21" s="1700" t="s">
        <v>124</v>
      </c>
      <c r="F21" s="1701">
        <f>+D21*$I$3/1000</f>
        <v>198720000</v>
      </c>
      <c r="G21" s="1701">
        <f>SUM(F21:F21)</f>
        <v>198720000</v>
      </c>
      <c r="H21" s="2568"/>
      <c r="I21" s="1760">
        <f t="shared" ref="I21:I23" si="6">+$G21*I$19</f>
        <v>198720000</v>
      </c>
      <c r="J21" s="1760"/>
      <c r="K21" s="1701"/>
      <c r="L21" s="1701"/>
      <c r="M21" s="1701"/>
      <c r="N21" s="1701"/>
      <c r="O21" s="1701"/>
      <c r="P21" s="1701">
        <f t="shared" si="5"/>
        <v>198720000</v>
      </c>
    </row>
    <row r="22" spans="1:16" ht="17.45" customHeight="1">
      <c r="A22" s="1650"/>
      <c r="B22" s="1698">
        <v>3</v>
      </c>
      <c r="C22" s="1699" t="str">
        <f>+'[7]GM Payment(SPA)'!C23</f>
        <v>GM Payment(SPA)</v>
      </c>
      <c r="D22" s="1702">
        <f>+'[7]GM Payment(SPA)'!D23</f>
        <v>993.6</v>
      </c>
      <c r="E22" s="1700" t="s">
        <v>124</v>
      </c>
      <c r="F22" s="1701">
        <f>+D22*$I$3/1000</f>
        <v>198720000</v>
      </c>
      <c r="G22" s="1701">
        <f>SUM(F22:F22)</f>
        <v>198720000</v>
      </c>
      <c r="H22" s="2568"/>
      <c r="I22" s="1760">
        <f t="shared" si="6"/>
        <v>198720000</v>
      </c>
      <c r="J22" s="1760"/>
      <c r="K22" s="1701"/>
      <c r="L22" s="1701"/>
      <c r="M22" s="1701"/>
      <c r="N22" s="1701"/>
      <c r="O22" s="1701"/>
      <c r="P22" s="1701">
        <f t="shared" si="5"/>
        <v>198720000</v>
      </c>
    </row>
    <row r="23" spans="1:16" ht="17.45" customHeight="1">
      <c r="A23" s="1649"/>
      <c r="B23" s="1698">
        <v>4</v>
      </c>
      <c r="C23" s="1703" t="str">
        <f>+'[7]GM Payment(SPA)'!C29</f>
        <v>Jaesan (SPA)</v>
      </c>
      <c r="D23" s="1702">
        <f>+'[7]GM Payment(SPA)'!D29</f>
        <v>993.6</v>
      </c>
      <c r="E23" s="1700" t="s">
        <v>124</v>
      </c>
      <c r="F23" s="1701">
        <f>+D23*$I$3/1000</f>
        <v>198720000</v>
      </c>
      <c r="G23" s="1701">
        <f>SUM(F23:F23)</f>
        <v>198720000</v>
      </c>
      <c r="H23" s="2569"/>
      <c r="I23" s="1760">
        <f t="shared" si="6"/>
        <v>198720000</v>
      </c>
      <c r="J23" s="1760"/>
      <c r="K23" s="1701"/>
      <c r="L23" s="1701"/>
      <c r="M23" s="1701"/>
      <c r="N23" s="1701"/>
      <c r="O23" s="1701"/>
      <c r="P23" s="1701">
        <f t="shared" si="5"/>
        <v>198720000</v>
      </c>
    </row>
    <row r="24" spans="1:16" ht="16.5" customHeight="1">
      <c r="A24" s="1649"/>
      <c r="B24" s="2571" t="s">
        <v>251</v>
      </c>
      <c r="C24" s="2572"/>
      <c r="D24" s="1761">
        <f>+SUM(D20:D23)</f>
        <v>3974.4</v>
      </c>
      <c r="E24" s="1761"/>
      <c r="F24" s="1762">
        <f t="shared" ref="F24:P24" si="7">+SUM(F20:F23)</f>
        <v>794880000</v>
      </c>
      <c r="G24" s="1762">
        <f t="shared" si="7"/>
        <v>794880000</v>
      </c>
      <c r="H24" s="1762"/>
      <c r="I24" s="1762">
        <f t="shared" si="7"/>
        <v>794880000</v>
      </c>
      <c r="J24" s="1762"/>
      <c r="K24" s="1762"/>
      <c r="L24" s="1762"/>
      <c r="M24" s="1762"/>
      <c r="N24" s="1762"/>
      <c r="O24" s="1762"/>
      <c r="P24" s="1762">
        <f t="shared" si="7"/>
        <v>794880000</v>
      </c>
    </row>
    <row r="25" spans="1:16" ht="16.5" customHeight="1">
      <c r="A25" s="1649"/>
      <c r="B25" s="2571" t="s">
        <v>252</v>
      </c>
      <c r="C25" s="2572"/>
      <c r="D25" s="1704">
        <f>+D17+D24</f>
        <v>6821.52</v>
      </c>
      <c r="E25" s="1705"/>
      <c r="F25" s="1706">
        <f>+F17+F24</f>
        <v>1364304000</v>
      </c>
      <c r="G25" s="1706">
        <f t="shared" ref="G25:P25" si="8">+G17+G24</f>
        <v>1364304000</v>
      </c>
      <c r="H25" s="1706"/>
      <c r="I25" s="1706">
        <f t="shared" si="8"/>
        <v>1022649600</v>
      </c>
      <c r="J25" s="1706"/>
      <c r="K25" s="1706">
        <f t="shared" si="8"/>
        <v>113884800</v>
      </c>
      <c r="L25" s="1706"/>
      <c r="M25" s="1706">
        <f t="shared" si="8"/>
        <v>170827200</v>
      </c>
      <c r="N25" s="1706"/>
      <c r="O25" s="1706">
        <f t="shared" si="8"/>
        <v>56942400</v>
      </c>
      <c r="P25" s="1706">
        <f t="shared" si="8"/>
        <v>1364441517</v>
      </c>
    </row>
    <row r="27" spans="1:16">
      <c r="B27" s="1765" t="s">
        <v>253</v>
      </c>
      <c r="C27" s="1600" t="s">
        <v>254</v>
      </c>
    </row>
  </sheetData>
  <mergeCells count="23">
    <mergeCell ref="G18:G19"/>
    <mergeCell ref="B24:C24"/>
    <mergeCell ref="B25:C25"/>
    <mergeCell ref="G9:G10"/>
    <mergeCell ref="B8:C8"/>
    <mergeCell ref="B9:B10"/>
    <mergeCell ref="C9:C10"/>
    <mergeCell ref="D9:D10"/>
    <mergeCell ref="E9:E10"/>
    <mergeCell ref="B17:C17"/>
    <mergeCell ref="F9:F10"/>
    <mergeCell ref="B18:B19"/>
    <mergeCell ref="C18:C19"/>
    <mergeCell ref="D18:D19"/>
    <mergeCell ref="E18:E19"/>
    <mergeCell ref="F18:F19"/>
    <mergeCell ref="H9:I9"/>
    <mergeCell ref="H18:I18"/>
    <mergeCell ref="H20:H23"/>
    <mergeCell ref="H11:H16"/>
    <mergeCell ref="N9:O9"/>
    <mergeCell ref="L9:M9"/>
    <mergeCell ref="J9:K9"/>
  </mergeCells>
  <phoneticPr fontId="19" type="noConversion"/>
  <printOptions horizontalCentered="1"/>
  <pageMargins left="0" right="0" top="0.39370078740157483" bottom="0" header="0" footer="0"/>
  <pageSetup paperSize="8"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E926-AFFB-424E-896D-249CF9502505}">
  <dimension ref="B3:L40"/>
  <sheetViews>
    <sheetView workbookViewId="0">
      <selection activeCell="M23" sqref="M23"/>
    </sheetView>
  </sheetViews>
  <sheetFormatPr defaultRowHeight="16.5"/>
  <sheetData>
    <row r="3" spans="10:12">
      <c r="J3" t="s">
        <v>200</v>
      </c>
    </row>
    <row r="4" spans="10:12">
      <c r="J4" t="s">
        <v>255</v>
      </c>
      <c r="L4" t="s">
        <v>256</v>
      </c>
    </row>
    <row r="5" spans="10:12">
      <c r="J5" t="s">
        <v>257</v>
      </c>
      <c r="K5" s="1865">
        <v>0.1</v>
      </c>
    </row>
    <row r="10" spans="10:12">
      <c r="J10" t="s">
        <v>257</v>
      </c>
      <c r="K10" s="1865">
        <v>0.1</v>
      </c>
    </row>
    <row r="14" spans="10:12">
      <c r="J14" t="s">
        <v>257</v>
      </c>
      <c r="K14" s="1865">
        <v>0.1</v>
      </c>
    </row>
    <row r="19" spans="10:11">
      <c r="J19" t="s">
        <v>258</v>
      </c>
      <c r="K19" s="1865">
        <v>0.1</v>
      </c>
    </row>
    <row r="24" spans="10:11">
      <c r="J24" t="s">
        <v>258</v>
      </c>
      <c r="K24" s="1865">
        <v>0.3</v>
      </c>
    </row>
    <row r="33" spans="2:11">
      <c r="J33" t="s">
        <v>259</v>
      </c>
      <c r="K33" s="1865">
        <v>0.25</v>
      </c>
    </row>
    <row r="40" spans="2:11">
      <c r="B40" t="s">
        <v>260</v>
      </c>
      <c r="F40" s="1865">
        <v>0.05</v>
      </c>
      <c r="J40" t="s">
        <v>259</v>
      </c>
      <c r="K40" s="1865">
        <v>0.05</v>
      </c>
    </row>
  </sheetData>
  <phoneticPr fontId="19"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2238-F161-4278-8C4E-2DC9705589A4}">
  <dimension ref="A1:S58"/>
  <sheetViews>
    <sheetView zoomScaleNormal="100" workbookViewId="0">
      <selection activeCell="F33" sqref="F33:I33"/>
    </sheetView>
  </sheetViews>
  <sheetFormatPr defaultRowHeight="16.5"/>
  <cols>
    <col min="1" max="1" width="4.75" customWidth="1"/>
    <col min="2" max="2" width="25.75" customWidth="1"/>
    <col min="3" max="3" width="15.875" customWidth="1"/>
    <col min="4" max="4" width="18.125" bestFit="1" customWidth="1"/>
    <col min="5" max="5" width="18.25" style="305" customWidth="1"/>
    <col min="6" max="6" width="17.5" customWidth="1"/>
    <col min="7" max="7" width="19.375" customWidth="1"/>
    <col min="8" max="8" width="19.875" customWidth="1"/>
    <col min="9" max="9" width="20.125" customWidth="1"/>
    <col min="10" max="10" width="19.875" customWidth="1"/>
    <col min="11" max="11" width="91" customWidth="1"/>
    <col min="12" max="12" width="114.25" customWidth="1"/>
  </cols>
  <sheetData>
    <row r="1" spans="1:12" ht="26.25">
      <c r="A1" s="2604" t="s">
        <v>306</v>
      </c>
      <c r="B1" s="2604"/>
      <c r="C1" s="2604"/>
      <c r="D1" s="2604"/>
      <c r="E1" s="2604"/>
      <c r="F1" s="2604"/>
      <c r="G1" s="2604"/>
      <c r="H1" s="2604"/>
      <c r="I1" s="2604"/>
      <c r="J1" s="2604"/>
      <c r="K1" s="168"/>
      <c r="L1" s="168"/>
    </row>
    <row r="2" spans="1:12" ht="26.25">
      <c r="A2" s="169" t="s">
        <v>307</v>
      </c>
      <c r="B2" s="169" t="s">
        <v>307</v>
      </c>
      <c r="C2" s="169"/>
      <c r="D2" s="169" t="s">
        <v>307</v>
      </c>
      <c r="E2" s="1710" t="s">
        <v>307</v>
      </c>
      <c r="F2" s="169" t="s">
        <v>307</v>
      </c>
      <c r="G2" s="169" t="s">
        <v>308</v>
      </c>
      <c r="H2" s="169" t="s">
        <v>309</v>
      </c>
      <c r="I2" s="169" t="s">
        <v>310</v>
      </c>
      <c r="J2" s="170" t="s">
        <v>311</v>
      </c>
      <c r="K2" s="168"/>
      <c r="L2" s="168"/>
    </row>
    <row r="3" spans="1:12" ht="20.25">
      <c r="A3" s="171" t="s">
        <v>307</v>
      </c>
      <c r="B3" s="171" t="s">
        <v>307</v>
      </c>
      <c r="C3" s="171"/>
      <c r="D3" s="171" t="s">
        <v>307</v>
      </c>
      <c r="E3" s="1711" t="s">
        <v>307</v>
      </c>
      <c r="F3" s="174" t="s">
        <v>307</v>
      </c>
      <c r="G3" s="174" t="s">
        <v>312</v>
      </c>
      <c r="H3" s="174" t="s">
        <v>313</v>
      </c>
      <c r="I3" s="1712">
        <f>1850628000+J3</f>
        <v>2420052000</v>
      </c>
      <c r="J3" s="1713">
        <f>200000000*E13/1000</f>
        <v>569424000</v>
      </c>
      <c r="K3" s="168"/>
      <c r="L3" s="168"/>
    </row>
    <row r="4" spans="1:12">
      <c r="A4" s="2586" t="s">
        <v>24</v>
      </c>
      <c r="B4" s="2586" t="s">
        <v>314</v>
      </c>
      <c r="C4" s="1693"/>
      <c r="D4" s="2586" t="s">
        <v>315</v>
      </c>
      <c r="E4" s="2605" t="s">
        <v>316</v>
      </c>
      <c r="F4" s="2583" t="s">
        <v>317</v>
      </c>
      <c r="G4" s="2584"/>
      <c r="H4" s="2584"/>
      <c r="I4" s="2584"/>
      <c r="J4" s="2585"/>
      <c r="K4" s="2586" t="s">
        <v>318</v>
      </c>
      <c r="L4" s="2586" t="s">
        <v>318</v>
      </c>
    </row>
    <row r="5" spans="1:12">
      <c r="A5" s="2573"/>
      <c r="B5" s="2573"/>
      <c r="C5" s="1714" t="s">
        <v>319</v>
      </c>
      <c r="D5" s="2573"/>
      <c r="E5" s="2581"/>
      <c r="F5" s="1715" t="s">
        <v>320</v>
      </c>
      <c r="G5" s="1715" t="s">
        <v>321</v>
      </c>
      <c r="H5" s="1715" t="s">
        <v>322</v>
      </c>
      <c r="I5" s="1715" t="s">
        <v>323</v>
      </c>
      <c r="J5" s="1715" t="s">
        <v>324</v>
      </c>
      <c r="K5" s="2573"/>
      <c r="L5" s="2573"/>
    </row>
    <row r="6" spans="1:12">
      <c r="A6" s="2574"/>
      <c r="B6" s="2574"/>
      <c r="C6" s="1717"/>
      <c r="D6" s="2574"/>
      <c r="E6" s="2582"/>
      <c r="F6" s="1718">
        <v>0.4</v>
      </c>
      <c r="G6" s="1718">
        <v>0.2</v>
      </c>
      <c r="H6" s="1718">
        <v>0.3</v>
      </c>
      <c r="I6" s="1718">
        <v>0.1</v>
      </c>
      <c r="J6" s="1718">
        <v>1</v>
      </c>
      <c r="K6" s="2574"/>
      <c r="L6" s="2574"/>
    </row>
    <row r="7" spans="1:12" ht="27" customHeight="1">
      <c r="A7" s="178">
        <v>1</v>
      </c>
      <c r="B7" s="179" t="s">
        <v>325</v>
      </c>
      <c r="C7" s="1719" t="s">
        <v>326</v>
      </c>
      <c r="D7" s="179" t="s">
        <v>327</v>
      </c>
      <c r="E7" s="1720">
        <v>999.24</v>
      </c>
      <c r="F7" s="1721" t="s">
        <v>328</v>
      </c>
      <c r="G7" s="1721" t="s">
        <v>329</v>
      </c>
      <c r="H7" s="1721" t="s">
        <v>330</v>
      </c>
      <c r="I7" s="1721" t="s">
        <v>331</v>
      </c>
      <c r="J7" s="1721" t="s">
        <v>332</v>
      </c>
      <c r="K7" s="2575" t="s">
        <v>333</v>
      </c>
      <c r="L7" s="2575" t="s">
        <v>334</v>
      </c>
    </row>
    <row r="8" spans="1:12" ht="27" customHeight="1">
      <c r="A8" s="178">
        <v>2</v>
      </c>
      <c r="B8" s="179" t="s">
        <v>335</v>
      </c>
      <c r="C8" s="1719" t="s">
        <v>336</v>
      </c>
      <c r="D8" s="179" t="s">
        <v>337</v>
      </c>
      <c r="E8" s="1720">
        <v>399.04</v>
      </c>
      <c r="F8" s="1721" t="s">
        <v>338</v>
      </c>
      <c r="G8" s="1721" t="s">
        <v>339</v>
      </c>
      <c r="H8" s="1721" t="s">
        <v>340</v>
      </c>
      <c r="I8" s="1721" t="s">
        <v>341</v>
      </c>
      <c r="J8" s="1721" t="s">
        <v>342</v>
      </c>
      <c r="K8" s="2575"/>
      <c r="L8" s="2575"/>
    </row>
    <row r="9" spans="1:12" ht="27" customHeight="1">
      <c r="A9" s="178">
        <v>3</v>
      </c>
      <c r="B9" s="179" t="s">
        <v>343</v>
      </c>
      <c r="C9" s="1719" t="s">
        <v>326</v>
      </c>
      <c r="D9" s="179" t="s">
        <v>344</v>
      </c>
      <c r="E9" s="1720">
        <v>499.96</v>
      </c>
      <c r="F9" s="1721" t="s">
        <v>345</v>
      </c>
      <c r="G9" s="1721" t="s">
        <v>346</v>
      </c>
      <c r="H9" s="1721" t="s">
        <v>346</v>
      </c>
      <c r="I9" s="1721" t="s">
        <v>346</v>
      </c>
      <c r="J9" s="1721" t="s">
        <v>347</v>
      </c>
      <c r="K9" s="2575"/>
      <c r="L9" s="2575"/>
    </row>
    <row r="10" spans="1:12" ht="27" customHeight="1">
      <c r="A10" s="178">
        <v>4</v>
      </c>
      <c r="B10" s="179" t="s">
        <v>348</v>
      </c>
      <c r="C10" s="1719" t="s">
        <v>326</v>
      </c>
      <c r="D10" s="179" t="s">
        <v>349</v>
      </c>
      <c r="E10" s="1720">
        <v>499.96</v>
      </c>
      <c r="F10" s="1721" t="s">
        <v>345</v>
      </c>
      <c r="G10" s="1721" t="s">
        <v>346</v>
      </c>
      <c r="H10" s="1721" t="s">
        <v>346</v>
      </c>
      <c r="I10" s="1721" t="s">
        <v>346</v>
      </c>
      <c r="J10" s="1721" t="s">
        <v>347</v>
      </c>
      <c r="K10" s="2575"/>
      <c r="L10" s="2575"/>
    </row>
    <row r="11" spans="1:12" ht="27" customHeight="1">
      <c r="A11" s="178">
        <v>5</v>
      </c>
      <c r="B11" s="179" t="s">
        <v>350</v>
      </c>
      <c r="C11" s="1719" t="s">
        <v>326</v>
      </c>
      <c r="D11" s="179" t="s">
        <v>351</v>
      </c>
      <c r="E11" s="1720">
        <v>149.63999999999999</v>
      </c>
      <c r="F11" s="1721" t="s">
        <v>352</v>
      </c>
      <c r="G11" s="1721" t="s">
        <v>353</v>
      </c>
      <c r="H11" s="1721" t="s">
        <v>353</v>
      </c>
      <c r="I11" s="1721" t="s">
        <v>353</v>
      </c>
      <c r="J11" s="1721" t="s">
        <v>354</v>
      </c>
      <c r="K11" s="2575"/>
      <c r="L11" s="2575"/>
    </row>
    <row r="12" spans="1:12" ht="27" customHeight="1">
      <c r="A12" s="178">
        <v>6</v>
      </c>
      <c r="B12" s="179" t="s">
        <v>355</v>
      </c>
      <c r="C12" s="1719" t="s">
        <v>336</v>
      </c>
      <c r="D12" s="179" t="s">
        <v>356</v>
      </c>
      <c r="E12" s="1720">
        <v>299.27999999999997</v>
      </c>
      <c r="F12" s="1721" t="s">
        <v>340</v>
      </c>
      <c r="G12" s="1721" t="s">
        <v>352</v>
      </c>
      <c r="H12" s="1721" t="s">
        <v>352</v>
      </c>
      <c r="I12" s="1721" t="s">
        <v>352</v>
      </c>
      <c r="J12" s="1721" t="s">
        <v>357</v>
      </c>
      <c r="K12" s="2575"/>
      <c r="L12" s="2575"/>
    </row>
    <row r="13" spans="1:12" ht="45.75" customHeight="1">
      <c r="A13" s="2601" t="s">
        <v>358</v>
      </c>
      <c r="B13" s="2602"/>
      <c r="C13" s="2602"/>
      <c r="D13" s="2603"/>
      <c r="E13" s="1722">
        <v>2847.12</v>
      </c>
      <c r="F13" s="1723" t="s">
        <v>359</v>
      </c>
      <c r="G13" s="1723" t="s">
        <v>360</v>
      </c>
      <c r="H13" s="1723" t="s">
        <v>361</v>
      </c>
      <c r="I13" s="1723" t="s">
        <v>362</v>
      </c>
      <c r="J13" s="1723" t="s">
        <v>363</v>
      </c>
      <c r="K13" s="2600"/>
      <c r="L13" s="2600"/>
    </row>
    <row r="14" spans="1:12" s="1729" customFormat="1" ht="27.75" customHeight="1">
      <c r="A14" s="1724"/>
      <c r="B14" s="1725"/>
      <c r="C14" s="1725"/>
      <c r="D14" s="1725"/>
      <c r="E14" s="1726"/>
      <c r="F14" s="1725"/>
      <c r="G14" s="1725"/>
      <c r="H14" s="1725"/>
      <c r="I14" s="1725"/>
      <c r="J14" s="1725"/>
      <c r="K14" s="1727"/>
      <c r="L14" s="1728"/>
    </row>
    <row r="15" spans="1:12" hidden="1">
      <c r="A15" s="2573" t="s">
        <v>24</v>
      </c>
      <c r="B15" s="2573" t="s">
        <v>314</v>
      </c>
      <c r="C15" s="1692"/>
      <c r="D15" s="2573" t="s">
        <v>315</v>
      </c>
      <c r="E15" s="2581" t="s">
        <v>316</v>
      </c>
      <c r="F15" s="2597" t="s">
        <v>364</v>
      </c>
      <c r="G15" s="2598"/>
      <c r="H15" s="2598"/>
      <c r="I15" s="2598"/>
      <c r="J15" s="2599"/>
      <c r="K15" s="2573" t="s">
        <v>318</v>
      </c>
      <c r="L15" s="1730"/>
    </row>
    <row r="16" spans="1:12" hidden="1">
      <c r="A16" s="2573"/>
      <c r="B16" s="2573"/>
      <c r="C16" s="1692"/>
      <c r="D16" s="2573"/>
      <c r="E16" s="2581"/>
      <c r="F16" s="1731" t="s">
        <v>320</v>
      </c>
      <c r="G16" s="1731" t="s">
        <v>321</v>
      </c>
      <c r="H16" s="1731" t="s">
        <v>322</v>
      </c>
      <c r="I16" s="1731" t="s">
        <v>323</v>
      </c>
      <c r="J16" s="1731" t="s">
        <v>324</v>
      </c>
      <c r="K16" s="2573"/>
      <c r="L16" s="1730"/>
    </row>
    <row r="17" spans="1:13" hidden="1">
      <c r="A17" s="2574"/>
      <c r="B17" s="2574"/>
      <c r="C17" s="1716"/>
      <c r="D17" s="2574"/>
      <c r="E17" s="2582"/>
      <c r="F17" s="1732">
        <v>0.4</v>
      </c>
      <c r="G17" s="1732">
        <v>0.2</v>
      </c>
      <c r="H17" s="1732">
        <v>0.3</v>
      </c>
      <c r="I17" s="1732">
        <v>0.1</v>
      </c>
      <c r="J17" s="1732">
        <v>1</v>
      </c>
      <c r="K17" s="2574"/>
      <c r="L17" s="1730"/>
    </row>
    <row r="18" spans="1:13" ht="21" hidden="1" customHeight="1">
      <c r="A18" s="1733">
        <v>7</v>
      </c>
      <c r="B18" s="1734" t="s">
        <v>365</v>
      </c>
      <c r="C18" s="1734"/>
      <c r="D18" s="1734" t="s">
        <v>366</v>
      </c>
      <c r="E18" s="1735">
        <v>999.18</v>
      </c>
      <c r="F18" s="1734" t="s">
        <v>367</v>
      </c>
      <c r="G18" s="1734" t="s">
        <v>368</v>
      </c>
      <c r="H18" s="1734" t="s">
        <v>369</v>
      </c>
      <c r="I18" s="1734" t="s">
        <v>370</v>
      </c>
      <c r="J18" s="1734" t="s">
        <v>371</v>
      </c>
      <c r="K18" s="2594" t="s">
        <v>372</v>
      </c>
    </row>
    <row r="19" spans="1:13" ht="21" hidden="1" customHeight="1">
      <c r="A19" s="1733">
        <v>8</v>
      </c>
      <c r="B19" s="1734" t="s">
        <v>373</v>
      </c>
      <c r="C19" s="1734"/>
      <c r="D19" s="1734" t="s">
        <v>374</v>
      </c>
      <c r="E19" s="1735">
        <v>499.59</v>
      </c>
      <c r="F19" s="1734" t="s">
        <v>368</v>
      </c>
      <c r="G19" s="1734" t="s">
        <v>370</v>
      </c>
      <c r="H19" s="1734" t="s">
        <v>375</v>
      </c>
      <c r="I19" s="1734" t="s">
        <v>376</v>
      </c>
      <c r="J19" s="1734" t="s">
        <v>377</v>
      </c>
      <c r="K19" s="2595"/>
      <c r="L19" s="1736"/>
    </row>
    <row r="20" spans="1:13" ht="21" hidden="1" customHeight="1">
      <c r="A20" s="1733">
        <v>9</v>
      </c>
      <c r="B20" s="1734" t="s">
        <v>378</v>
      </c>
      <c r="C20" s="1734"/>
      <c r="D20" s="1734" t="s">
        <v>379</v>
      </c>
      <c r="E20" s="1735">
        <v>499.96</v>
      </c>
      <c r="F20" s="1734" t="s">
        <v>380</v>
      </c>
      <c r="G20" s="1734" t="s">
        <v>381</v>
      </c>
      <c r="H20" s="1734" t="s">
        <v>381</v>
      </c>
      <c r="I20" s="1734" t="s">
        <v>381</v>
      </c>
      <c r="J20" s="1734" t="s">
        <v>382</v>
      </c>
      <c r="K20" s="2595"/>
      <c r="L20" s="1736"/>
    </row>
    <row r="21" spans="1:13" ht="21" hidden="1" customHeight="1">
      <c r="A21" s="1733">
        <v>10</v>
      </c>
      <c r="B21" s="1734" t="s">
        <v>383</v>
      </c>
      <c r="C21" s="1734"/>
      <c r="D21" s="1734" t="s">
        <v>384</v>
      </c>
      <c r="E21" s="1735">
        <v>699.48</v>
      </c>
      <c r="F21" s="1734" t="s">
        <v>385</v>
      </c>
      <c r="G21" s="1734" t="s">
        <v>386</v>
      </c>
      <c r="H21" s="1734" t="s">
        <v>386</v>
      </c>
      <c r="I21" s="1734" t="s">
        <v>386</v>
      </c>
      <c r="J21" s="1734" t="s">
        <v>387</v>
      </c>
      <c r="K21" s="2595"/>
      <c r="L21" s="1736"/>
    </row>
    <row r="22" spans="1:13" ht="21" hidden="1" customHeight="1">
      <c r="A22" s="1733">
        <v>11</v>
      </c>
      <c r="B22" s="1734" t="s">
        <v>388</v>
      </c>
      <c r="C22" s="1734"/>
      <c r="D22" s="1734" t="s">
        <v>389</v>
      </c>
      <c r="E22" s="1735">
        <v>900.14</v>
      </c>
      <c r="F22" s="1734" t="s">
        <v>390</v>
      </c>
      <c r="G22" s="1734" t="s">
        <v>391</v>
      </c>
      <c r="H22" s="1734" t="s">
        <v>391</v>
      </c>
      <c r="I22" s="1734" t="s">
        <v>391</v>
      </c>
      <c r="J22" s="1734" t="s">
        <v>392</v>
      </c>
      <c r="K22" s="2595"/>
      <c r="L22" s="1736"/>
    </row>
    <row r="23" spans="1:13" ht="21" hidden="1" customHeight="1">
      <c r="A23" s="1733">
        <v>12</v>
      </c>
      <c r="B23" s="1734" t="s">
        <v>393</v>
      </c>
      <c r="C23" s="1734"/>
      <c r="D23" s="1734" t="s">
        <v>394</v>
      </c>
      <c r="E23" s="1735">
        <v>799.24</v>
      </c>
      <c r="F23" s="1734" t="s">
        <v>395</v>
      </c>
      <c r="G23" s="1734" t="s">
        <v>396</v>
      </c>
      <c r="H23" s="1734" t="s">
        <v>396</v>
      </c>
      <c r="I23" s="1734" t="s">
        <v>396</v>
      </c>
      <c r="J23" s="1734" t="s">
        <v>397</v>
      </c>
      <c r="K23" s="2595"/>
      <c r="L23" s="1736"/>
    </row>
    <row r="24" spans="1:13" ht="21" hidden="1" customHeight="1">
      <c r="A24" s="1733">
        <v>13</v>
      </c>
      <c r="B24" s="1734" t="s">
        <v>398</v>
      </c>
      <c r="C24" s="1734"/>
      <c r="D24" s="1734" t="s">
        <v>399</v>
      </c>
      <c r="E24" s="1735">
        <v>499.96</v>
      </c>
      <c r="F24" s="1734" t="s">
        <v>380</v>
      </c>
      <c r="G24" s="1734" t="s">
        <v>381</v>
      </c>
      <c r="H24" s="1734" t="s">
        <v>381</v>
      </c>
      <c r="I24" s="1734" t="s">
        <v>381</v>
      </c>
      <c r="J24" s="1734" t="s">
        <v>382</v>
      </c>
      <c r="K24" s="2595"/>
      <c r="L24" s="1736"/>
    </row>
    <row r="25" spans="1:13" ht="27" hidden="1" customHeight="1">
      <c r="A25" s="2577" t="s">
        <v>358</v>
      </c>
      <c r="B25" s="2578"/>
      <c r="C25" s="2578"/>
      <c r="D25" s="2579"/>
      <c r="E25" s="1737">
        <v>4897.55</v>
      </c>
      <c r="F25" s="2577" t="s">
        <v>400</v>
      </c>
      <c r="G25" s="2578" t="s">
        <v>401</v>
      </c>
      <c r="H25" s="2578" t="s">
        <v>402</v>
      </c>
      <c r="I25" s="2580" t="s">
        <v>403</v>
      </c>
      <c r="J25" s="1738" t="s">
        <v>404</v>
      </c>
      <c r="K25" s="2596"/>
      <c r="L25" s="1736"/>
    </row>
    <row r="26" spans="1:13" ht="27" hidden="1" customHeight="1">
      <c r="A26" s="1724"/>
      <c r="B26" s="1725"/>
      <c r="C26" s="1725"/>
      <c r="D26" s="1725"/>
      <c r="E26" s="1726"/>
      <c r="F26" s="1725" t="s">
        <v>312</v>
      </c>
      <c r="G26" s="1725" t="s">
        <v>405</v>
      </c>
      <c r="H26" s="1725" t="s">
        <v>406</v>
      </c>
      <c r="I26" s="1725" t="s">
        <v>407</v>
      </c>
      <c r="J26" s="1725" t="s">
        <v>311</v>
      </c>
      <c r="K26" s="1727" t="s">
        <v>408</v>
      </c>
      <c r="L26" s="1728"/>
    </row>
    <row r="27" spans="1:13">
      <c r="A27" s="2573" t="s">
        <v>24</v>
      </c>
      <c r="B27" s="2573" t="s">
        <v>314</v>
      </c>
      <c r="C27" s="1692"/>
      <c r="D27" s="2573" t="s">
        <v>315</v>
      </c>
      <c r="E27" s="2581" t="s">
        <v>316</v>
      </c>
      <c r="F27" s="2583" t="s">
        <v>409</v>
      </c>
      <c r="G27" s="2584"/>
      <c r="H27" s="2584"/>
      <c r="I27" s="2584"/>
      <c r="J27" s="2585"/>
      <c r="K27" s="2573" t="s">
        <v>318</v>
      </c>
      <c r="L27" s="2586"/>
    </row>
    <row r="28" spans="1:13">
      <c r="A28" s="2573"/>
      <c r="B28" s="2573"/>
      <c r="C28" s="1692" t="s">
        <v>319</v>
      </c>
      <c r="D28" s="2573"/>
      <c r="E28" s="2581"/>
      <c r="F28" s="1715" t="s">
        <v>320</v>
      </c>
      <c r="G28" s="1715" t="s">
        <v>321</v>
      </c>
      <c r="H28" s="1715" t="s">
        <v>322</v>
      </c>
      <c r="I28" s="1715" t="s">
        <v>323</v>
      </c>
      <c r="J28" s="1739" t="s">
        <v>324</v>
      </c>
      <c r="K28" s="2573"/>
      <c r="L28" s="2573"/>
    </row>
    <row r="29" spans="1:13">
      <c r="A29" s="2574"/>
      <c r="B29" s="2574"/>
      <c r="C29" s="1716"/>
      <c r="D29" s="2574"/>
      <c r="E29" s="2582"/>
      <c r="F29" s="1740">
        <v>0.8</v>
      </c>
      <c r="G29" s="1741"/>
      <c r="H29" s="1742"/>
      <c r="I29" s="1743">
        <v>0.2</v>
      </c>
      <c r="J29" s="1744">
        <v>1</v>
      </c>
      <c r="K29" s="2574"/>
      <c r="L29" s="2574"/>
    </row>
    <row r="30" spans="1:13" ht="21.75" customHeight="1">
      <c r="A30" s="201">
        <v>14</v>
      </c>
      <c r="B30" s="202" t="s">
        <v>410</v>
      </c>
      <c r="C30" s="202"/>
      <c r="D30" s="202" t="s">
        <v>411</v>
      </c>
      <c r="E30" s="1745">
        <v>993.6</v>
      </c>
      <c r="F30" s="2587" t="s">
        <v>412</v>
      </c>
      <c r="G30" s="2588"/>
      <c r="H30" s="2588"/>
      <c r="I30" s="2589"/>
      <c r="J30" s="201" t="s">
        <v>412</v>
      </c>
      <c r="K30" s="2590" t="s">
        <v>413</v>
      </c>
      <c r="L30" s="2592" t="s">
        <v>414</v>
      </c>
    </row>
    <row r="31" spans="1:13" ht="21.75" customHeight="1">
      <c r="A31" s="201">
        <v>15</v>
      </c>
      <c r="B31" s="202" t="s">
        <v>415</v>
      </c>
      <c r="C31" s="202"/>
      <c r="D31" s="202" t="s">
        <v>416</v>
      </c>
      <c r="E31" s="1745">
        <v>993.6</v>
      </c>
      <c r="F31" s="2587" t="s">
        <v>412</v>
      </c>
      <c r="G31" s="2588"/>
      <c r="H31" s="2588"/>
      <c r="I31" s="2589"/>
      <c r="J31" s="201" t="s">
        <v>412</v>
      </c>
      <c r="K31" s="2590"/>
      <c r="L31" s="2592"/>
      <c r="M31" t="s">
        <v>417</v>
      </c>
    </row>
    <row r="32" spans="1:13" ht="21.75" customHeight="1">
      <c r="A32" s="201">
        <v>16</v>
      </c>
      <c r="B32" s="202" t="s">
        <v>418</v>
      </c>
      <c r="C32" s="202"/>
      <c r="D32" s="202" t="s">
        <v>419</v>
      </c>
      <c r="E32" s="1745">
        <v>993.6</v>
      </c>
      <c r="F32" s="2587" t="s">
        <v>412</v>
      </c>
      <c r="G32" s="2588"/>
      <c r="H32" s="2588"/>
      <c r="I32" s="2589"/>
      <c r="J32" s="201" t="s">
        <v>412</v>
      </c>
      <c r="K32" s="2590"/>
      <c r="L32" s="2592"/>
      <c r="M32" t="s">
        <v>420</v>
      </c>
    </row>
    <row r="33" spans="1:19" ht="21.75" customHeight="1">
      <c r="A33" s="201">
        <v>17</v>
      </c>
      <c r="B33" s="202" t="s">
        <v>421</v>
      </c>
      <c r="C33" s="202"/>
      <c r="D33" s="202" t="s">
        <v>422</v>
      </c>
      <c r="E33" s="1745">
        <v>993.6</v>
      </c>
      <c r="F33" s="2587" t="s">
        <v>412</v>
      </c>
      <c r="G33" s="2588"/>
      <c r="H33" s="2588"/>
      <c r="I33" s="2589"/>
      <c r="J33" s="201" t="s">
        <v>412</v>
      </c>
      <c r="K33" s="2590"/>
      <c r="L33" s="2592"/>
      <c r="M33" t="s">
        <v>423</v>
      </c>
      <c r="S33" t="s">
        <v>424</v>
      </c>
    </row>
    <row r="34" spans="1:19" ht="53.25" customHeight="1">
      <c r="A34" s="2577" t="s">
        <v>358</v>
      </c>
      <c r="B34" s="2578"/>
      <c r="C34" s="2578"/>
      <c r="D34" s="2579"/>
      <c r="E34" s="1737">
        <v>3974.4</v>
      </c>
      <c r="F34" s="2577" t="s">
        <v>425</v>
      </c>
      <c r="G34" s="2578"/>
      <c r="H34" s="2578"/>
      <c r="I34" s="2580"/>
      <c r="J34" s="1738" t="s">
        <v>425</v>
      </c>
      <c r="K34" s="2591"/>
      <c r="L34" s="2593"/>
      <c r="M34">
        <f>6.5*4</f>
        <v>26</v>
      </c>
      <c r="N34">
        <f>4.5*4</f>
        <v>18</v>
      </c>
    </row>
    <row r="35" spans="1:19" s="1729" customFormat="1" ht="27.75" hidden="1" customHeight="1">
      <c r="A35" s="1724"/>
      <c r="B35" s="1725"/>
      <c r="C35" s="1725"/>
      <c r="D35" s="1725"/>
      <c r="E35" s="1726"/>
      <c r="F35" s="1725"/>
      <c r="G35" s="1725"/>
      <c r="H35" s="1725"/>
      <c r="I35" s="1725"/>
      <c r="J35" s="1725"/>
      <c r="K35" s="1727"/>
      <c r="L35" s="1728"/>
    </row>
    <row r="36" spans="1:19" hidden="1">
      <c r="A36" s="2573" t="s">
        <v>24</v>
      </c>
      <c r="B36" s="2573" t="s">
        <v>314</v>
      </c>
      <c r="C36" s="1692"/>
      <c r="D36" s="2573" t="s">
        <v>315</v>
      </c>
      <c r="E36" s="2581" t="s">
        <v>316</v>
      </c>
      <c r="F36" s="2583" t="s">
        <v>317</v>
      </c>
      <c r="G36" s="2584"/>
      <c r="H36" s="2584"/>
      <c r="I36" s="2584"/>
      <c r="J36" s="2585"/>
      <c r="K36" s="2573" t="s">
        <v>318</v>
      </c>
      <c r="L36" s="1730"/>
    </row>
    <row r="37" spans="1:19" hidden="1">
      <c r="A37" s="2573"/>
      <c r="B37" s="2573"/>
      <c r="C37" s="1692"/>
      <c r="D37" s="2573"/>
      <c r="E37" s="2581"/>
      <c r="F37" s="1731" t="s">
        <v>320</v>
      </c>
      <c r="G37" s="1731" t="s">
        <v>321</v>
      </c>
      <c r="H37" s="1731" t="s">
        <v>322</v>
      </c>
      <c r="I37" s="1731" t="s">
        <v>323</v>
      </c>
      <c r="J37" s="1731" t="s">
        <v>324</v>
      </c>
      <c r="K37" s="2573"/>
      <c r="L37" s="1730"/>
    </row>
    <row r="38" spans="1:19" hidden="1">
      <c r="A38" s="2574"/>
      <c r="B38" s="2574"/>
      <c r="C38" s="1716"/>
      <c r="D38" s="2574"/>
      <c r="E38" s="2582"/>
      <c r="F38" s="1732">
        <v>0.3</v>
      </c>
      <c r="G38" s="1732">
        <v>0.3</v>
      </c>
      <c r="H38" s="1732">
        <v>0.3</v>
      </c>
      <c r="I38" s="1732">
        <v>0.1</v>
      </c>
      <c r="J38" s="1732">
        <v>1</v>
      </c>
      <c r="K38" s="2574"/>
      <c r="L38" s="1730"/>
    </row>
    <row r="39" spans="1:19" ht="29.25" hidden="1" customHeight="1">
      <c r="A39" s="1746">
        <v>18</v>
      </c>
      <c r="B39" s="1747" t="s">
        <v>426</v>
      </c>
      <c r="C39" s="1747"/>
      <c r="D39" s="1747" t="s">
        <v>427</v>
      </c>
      <c r="E39" s="1748">
        <v>899.25</v>
      </c>
      <c r="F39" s="1747" t="s">
        <v>428</v>
      </c>
      <c r="G39" s="1747" t="s">
        <v>428</v>
      </c>
      <c r="H39" s="1747" t="s">
        <v>428</v>
      </c>
      <c r="I39" s="1747" t="s">
        <v>429</v>
      </c>
      <c r="J39" s="1747" t="s">
        <v>430</v>
      </c>
      <c r="K39" s="2575" t="s">
        <v>431</v>
      </c>
      <c r="L39" s="1749"/>
    </row>
    <row r="40" spans="1:19" ht="29.25" hidden="1" customHeight="1">
      <c r="A40" s="1746">
        <v>19</v>
      </c>
      <c r="B40" s="1747" t="s">
        <v>432</v>
      </c>
      <c r="C40" s="1747"/>
      <c r="D40" s="1747" t="s">
        <v>433</v>
      </c>
      <c r="E40" s="1748">
        <v>778.26</v>
      </c>
      <c r="F40" s="1747" t="s">
        <v>434</v>
      </c>
      <c r="G40" s="1747" t="s">
        <v>434</v>
      </c>
      <c r="H40" s="1747" t="s">
        <v>434</v>
      </c>
      <c r="I40" s="1747" t="s">
        <v>435</v>
      </c>
      <c r="J40" s="1747" t="s">
        <v>436</v>
      </c>
      <c r="K40" s="2575"/>
      <c r="L40" s="1749"/>
    </row>
    <row r="41" spans="1:19" ht="29.25" hidden="1" customHeight="1">
      <c r="A41" s="1746">
        <v>20</v>
      </c>
      <c r="B41" s="1747" t="s">
        <v>437</v>
      </c>
      <c r="C41" s="1747"/>
      <c r="D41" s="1747" t="s">
        <v>438</v>
      </c>
      <c r="E41" s="1748">
        <v>499.2</v>
      </c>
      <c r="F41" s="1747" t="s">
        <v>439</v>
      </c>
      <c r="G41" s="1747" t="s">
        <v>439</v>
      </c>
      <c r="H41" s="1747" t="s">
        <v>439</v>
      </c>
      <c r="I41" s="1747" t="s">
        <v>439</v>
      </c>
      <c r="J41" s="1747" t="s">
        <v>440</v>
      </c>
      <c r="K41" s="2575"/>
      <c r="L41" s="1749"/>
    </row>
    <row r="42" spans="1:19" ht="24.75" hidden="1" customHeight="1">
      <c r="A42" s="2577" t="s">
        <v>358</v>
      </c>
      <c r="B42" s="2578"/>
      <c r="C42" s="2578"/>
      <c r="D42" s="2579"/>
      <c r="E42" s="1737">
        <v>2176.71</v>
      </c>
      <c r="F42" s="1750" t="s">
        <v>441</v>
      </c>
      <c r="G42" s="1750" t="s">
        <v>441</v>
      </c>
      <c r="H42" s="1750" t="s">
        <v>441</v>
      </c>
      <c r="I42" s="1750" t="s">
        <v>442</v>
      </c>
      <c r="J42" s="1750" t="s">
        <v>443</v>
      </c>
      <c r="K42" s="2576"/>
      <c r="L42" s="1749"/>
    </row>
    <row r="44" spans="1:19">
      <c r="J44">
        <v>1000</v>
      </c>
    </row>
    <row r="46" spans="1:19">
      <c r="B46" s="1751"/>
      <c r="C46" s="1752"/>
      <c r="D46" s="1752" t="s">
        <v>444</v>
      </c>
      <c r="E46" s="1752" t="s">
        <v>445</v>
      </c>
      <c r="F46" s="1752" t="s">
        <v>446</v>
      </c>
      <c r="G46" s="1752" t="s">
        <v>126</v>
      </c>
      <c r="H46" s="1752" t="s">
        <v>127</v>
      </c>
      <c r="I46" s="1752" t="s">
        <v>447</v>
      </c>
      <c r="J46" s="1752" t="s">
        <v>448</v>
      </c>
    </row>
    <row r="47" spans="1:19">
      <c r="B47" s="1753" t="s">
        <v>159</v>
      </c>
      <c r="C47" s="1754">
        <v>999.24</v>
      </c>
      <c r="D47" s="1755">
        <v>350000000</v>
      </c>
      <c r="E47" s="1755">
        <v>300000000</v>
      </c>
      <c r="F47" s="1755">
        <v>200000000</v>
      </c>
      <c r="G47" s="1755">
        <f t="shared" ref="G47:G57" si="0">+D47*C47/$J$44</f>
        <v>349734000</v>
      </c>
      <c r="H47" s="1755">
        <f t="shared" ref="H47:H57" si="1">+E47*C47/$J$44</f>
        <v>299772000</v>
      </c>
      <c r="I47" s="1755">
        <f t="shared" ref="I47:I57" si="2">+F47*C47/$J$44</f>
        <v>199848000</v>
      </c>
      <c r="J47" s="1755">
        <f>+SUM(G47:I47)</f>
        <v>849354000</v>
      </c>
    </row>
    <row r="48" spans="1:19">
      <c r="B48" s="1753" t="s">
        <v>160</v>
      </c>
      <c r="C48" s="1754">
        <v>399.04</v>
      </c>
      <c r="D48" s="1755">
        <v>350000000</v>
      </c>
      <c r="E48" s="1755">
        <v>300000000</v>
      </c>
      <c r="F48" s="1755">
        <v>200000000</v>
      </c>
      <c r="G48" s="1755">
        <f t="shared" si="0"/>
        <v>139664000</v>
      </c>
      <c r="H48" s="1755">
        <f t="shared" si="1"/>
        <v>119712000</v>
      </c>
      <c r="I48" s="1755">
        <f t="shared" si="2"/>
        <v>79808000</v>
      </c>
      <c r="J48" s="1755">
        <f t="shared" ref="J48:J57" si="3">+SUM(G48:I48)</f>
        <v>339184000</v>
      </c>
    </row>
    <row r="49" spans="2:10">
      <c r="B49" s="1753" t="s">
        <v>161</v>
      </c>
      <c r="C49" s="1754">
        <v>499.96</v>
      </c>
      <c r="D49" s="1755">
        <v>350000000</v>
      </c>
      <c r="E49" s="1755">
        <v>300000000</v>
      </c>
      <c r="F49" s="1755">
        <v>200000000</v>
      </c>
      <c r="G49" s="1755">
        <f t="shared" si="0"/>
        <v>174986000</v>
      </c>
      <c r="H49" s="1755">
        <f t="shared" si="1"/>
        <v>149988000</v>
      </c>
      <c r="I49" s="1755">
        <f t="shared" si="2"/>
        <v>99992000</v>
      </c>
      <c r="J49" s="1755">
        <f t="shared" si="3"/>
        <v>424966000</v>
      </c>
    </row>
    <row r="50" spans="2:10">
      <c r="B50" s="1753" t="s">
        <v>162</v>
      </c>
      <c r="C50" s="1754">
        <v>499.96</v>
      </c>
      <c r="D50" s="1755">
        <v>350000000</v>
      </c>
      <c r="E50" s="1755">
        <v>300000000</v>
      </c>
      <c r="F50" s="1755">
        <v>200000000</v>
      </c>
      <c r="G50" s="1755">
        <f t="shared" si="0"/>
        <v>174986000</v>
      </c>
      <c r="H50" s="1755">
        <f t="shared" si="1"/>
        <v>149988000</v>
      </c>
      <c r="I50" s="1755">
        <f t="shared" si="2"/>
        <v>99992000</v>
      </c>
      <c r="J50" s="1755">
        <f t="shared" si="3"/>
        <v>424966000</v>
      </c>
    </row>
    <row r="51" spans="2:10">
      <c r="B51" s="1753" t="s">
        <v>163</v>
      </c>
      <c r="C51" s="1754">
        <v>149.63999999999999</v>
      </c>
      <c r="D51" s="1755">
        <v>350000000</v>
      </c>
      <c r="E51" s="1755">
        <v>300000000</v>
      </c>
      <c r="F51" s="1755">
        <v>200000000</v>
      </c>
      <c r="G51" s="1755">
        <f t="shared" si="0"/>
        <v>52373999.999999993</v>
      </c>
      <c r="H51" s="1755">
        <f t="shared" si="1"/>
        <v>44891999.999999993</v>
      </c>
      <c r="I51" s="1755">
        <f t="shared" si="2"/>
        <v>29927999.999999996</v>
      </c>
      <c r="J51" s="1755">
        <f t="shared" si="3"/>
        <v>127193999.99999999</v>
      </c>
    </row>
    <row r="52" spans="2:10">
      <c r="B52" s="1753" t="s">
        <v>164</v>
      </c>
      <c r="C52" s="1754">
        <v>299.27999999999997</v>
      </c>
      <c r="D52" s="1755">
        <v>350000000</v>
      </c>
      <c r="E52" s="1755">
        <v>300000000</v>
      </c>
      <c r="F52" s="1755">
        <v>200000000</v>
      </c>
      <c r="G52" s="1755">
        <f t="shared" si="0"/>
        <v>104747999.99999999</v>
      </c>
      <c r="H52" s="1755">
        <f t="shared" si="1"/>
        <v>89783999.999999985</v>
      </c>
      <c r="I52" s="1755">
        <f t="shared" si="2"/>
        <v>59855999.999999993</v>
      </c>
      <c r="J52" s="1755">
        <f t="shared" si="3"/>
        <v>254387999.99999997</v>
      </c>
    </row>
    <row r="53" spans="2:10">
      <c r="B53" s="1751"/>
      <c r="C53" s="1752"/>
      <c r="D53" s="1755"/>
      <c r="E53" s="1755"/>
      <c r="F53" s="1755"/>
      <c r="G53" s="1755">
        <f t="shared" si="0"/>
        <v>0</v>
      </c>
      <c r="H53" s="1755">
        <f t="shared" si="1"/>
        <v>0</v>
      </c>
      <c r="I53" s="1755">
        <f t="shared" si="2"/>
        <v>0</v>
      </c>
      <c r="J53" s="1755">
        <f t="shared" si="3"/>
        <v>0</v>
      </c>
    </row>
    <row r="54" spans="2:10">
      <c r="B54" s="202" t="s">
        <v>449</v>
      </c>
      <c r="C54" s="1756">
        <v>993.6</v>
      </c>
      <c r="D54" s="1755">
        <v>150000000</v>
      </c>
      <c r="E54" s="1755">
        <v>300000000</v>
      </c>
      <c r="F54" s="1755">
        <v>200000000</v>
      </c>
      <c r="G54" s="1755">
        <f t="shared" si="0"/>
        <v>149040000</v>
      </c>
      <c r="H54" s="1755">
        <f t="shared" si="1"/>
        <v>298080000</v>
      </c>
      <c r="I54" s="1755">
        <f t="shared" si="2"/>
        <v>198720000</v>
      </c>
      <c r="J54" s="1755">
        <f t="shared" si="3"/>
        <v>645840000</v>
      </c>
    </row>
    <row r="55" spans="2:10">
      <c r="B55" s="202" t="s">
        <v>450</v>
      </c>
      <c r="C55" s="1756">
        <v>993.6</v>
      </c>
      <c r="D55" s="1755">
        <v>150000000</v>
      </c>
      <c r="E55" s="1755">
        <v>300000000</v>
      </c>
      <c r="F55" s="1755">
        <v>200000000</v>
      </c>
      <c r="G55" s="1755">
        <f t="shared" si="0"/>
        <v>149040000</v>
      </c>
      <c r="H55" s="1755">
        <f t="shared" si="1"/>
        <v>298080000</v>
      </c>
      <c r="I55" s="1755">
        <f t="shared" si="2"/>
        <v>198720000</v>
      </c>
      <c r="J55" s="1755">
        <f t="shared" si="3"/>
        <v>645840000</v>
      </c>
    </row>
    <row r="56" spans="2:10">
      <c r="B56" s="202" t="s">
        <v>451</v>
      </c>
      <c r="C56" s="1756">
        <v>993.6</v>
      </c>
      <c r="D56" s="1755">
        <v>150000000</v>
      </c>
      <c r="E56" s="1755">
        <v>300000000</v>
      </c>
      <c r="F56" s="1755">
        <v>200000000</v>
      </c>
      <c r="G56" s="1755">
        <f t="shared" si="0"/>
        <v>149040000</v>
      </c>
      <c r="H56" s="1755">
        <f t="shared" si="1"/>
        <v>298080000</v>
      </c>
      <c r="I56" s="1755">
        <f t="shared" si="2"/>
        <v>198720000</v>
      </c>
      <c r="J56" s="1755">
        <f t="shared" si="3"/>
        <v>645840000</v>
      </c>
    </row>
    <row r="57" spans="2:10">
      <c r="B57" s="202" t="s">
        <v>452</v>
      </c>
      <c r="C57" s="1756">
        <v>993.6</v>
      </c>
      <c r="D57" s="1755">
        <v>150000000</v>
      </c>
      <c r="E57" s="1755">
        <v>300000000</v>
      </c>
      <c r="F57" s="1755">
        <v>200000000</v>
      </c>
      <c r="G57" s="1755">
        <f t="shared" si="0"/>
        <v>149040000</v>
      </c>
      <c r="H57" s="1755">
        <f t="shared" si="1"/>
        <v>298080000</v>
      </c>
      <c r="I57" s="1755">
        <f t="shared" si="2"/>
        <v>198720000</v>
      </c>
      <c r="J57" s="1755">
        <f t="shared" si="3"/>
        <v>645840000</v>
      </c>
    </row>
    <row r="58" spans="2:10">
      <c r="B58" s="1751"/>
      <c r="C58" s="1751"/>
      <c r="D58" s="1751"/>
      <c r="E58" s="1752"/>
      <c r="F58" s="1751"/>
      <c r="G58" s="1757">
        <f t="shared" ref="G58:I58" si="4">SUM(G47:G57)</f>
        <v>1592652000</v>
      </c>
      <c r="H58" s="1757">
        <f t="shared" si="4"/>
        <v>2046456000</v>
      </c>
      <c r="I58" s="1757">
        <f t="shared" si="4"/>
        <v>1364304000</v>
      </c>
      <c r="J58" s="1757">
        <f>SUM(J47:J57)</f>
        <v>5003412000</v>
      </c>
    </row>
  </sheetData>
  <mergeCells count="43">
    <mergeCell ref="A1:J1"/>
    <mergeCell ref="A4:A6"/>
    <mergeCell ref="B4:B6"/>
    <mergeCell ref="D4:D6"/>
    <mergeCell ref="E4:E6"/>
    <mergeCell ref="F4:J4"/>
    <mergeCell ref="K4:K6"/>
    <mergeCell ref="L4:L6"/>
    <mergeCell ref="K7:K13"/>
    <mergeCell ref="L7:L13"/>
    <mergeCell ref="A13:D13"/>
    <mergeCell ref="K15:K17"/>
    <mergeCell ref="K18:K25"/>
    <mergeCell ref="A25:D25"/>
    <mergeCell ref="F25:I25"/>
    <mergeCell ref="A27:A29"/>
    <mergeCell ref="B27:B29"/>
    <mergeCell ref="D27:D29"/>
    <mergeCell ref="E27:E29"/>
    <mergeCell ref="F27:J27"/>
    <mergeCell ref="K27:K29"/>
    <mergeCell ref="A15:A17"/>
    <mergeCell ref="B15:B17"/>
    <mergeCell ref="D15:D17"/>
    <mergeCell ref="E15:E17"/>
    <mergeCell ref="F15:J15"/>
    <mergeCell ref="L27:L29"/>
    <mergeCell ref="F30:I30"/>
    <mergeCell ref="K30:K34"/>
    <mergeCell ref="L30:L34"/>
    <mergeCell ref="F31:I31"/>
    <mergeCell ref="F32:I32"/>
    <mergeCell ref="F33:I33"/>
    <mergeCell ref="K36:K38"/>
    <mergeCell ref="K39:K42"/>
    <mergeCell ref="A42:D42"/>
    <mergeCell ref="A34:D34"/>
    <mergeCell ref="F34:I34"/>
    <mergeCell ref="A36:A38"/>
    <mergeCell ref="B36:B38"/>
    <mergeCell ref="D36:D38"/>
    <mergeCell ref="E36:E38"/>
    <mergeCell ref="F36:J36"/>
  </mergeCells>
  <phoneticPr fontId="1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088D-8632-47E5-BF28-379DF0DE3F96}">
  <sheetPr codeName="Sheet11">
    <tabColor theme="5" tint="-0.249977111117893"/>
  </sheetPr>
  <dimension ref="A1:AW235"/>
  <sheetViews>
    <sheetView showGridLines="0" zoomScale="115" zoomScaleNormal="115" workbookViewId="0">
      <pane xSplit="5" ySplit="2" topLeftCell="G81" activePane="bottomRight" state="frozen"/>
      <selection pane="topRight" activeCell="L96" sqref="L96"/>
      <selection pane="bottomLeft" activeCell="L96" sqref="L96"/>
      <selection pane="bottomRight" activeCell="L96" sqref="L96"/>
    </sheetView>
  </sheetViews>
  <sheetFormatPr defaultColWidth="14.25" defaultRowHeight="16.5" outlineLevelRow="1" outlineLevelCol="2"/>
  <cols>
    <col min="1" max="1" width="17.25" style="337" customWidth="1"/>
    <col min="2" max="2" width="32" style="336" customWidth="1"/>
    <col min="3" max="3" width="28.125" style="338" customWidth="1" outlineLevel="1"/>
    <col min="4" max="4" width="26.625" style="339" customWidth="1" outlineLevel="1"/>
    <col min="5" max="5" width="16.625" style="338" customWidth="1" outlineLevel="1"/>
    <col min="6" max="6" width="21.625" style="337" customWidth="1"/>
    <col min="7" max="7" width="9.375" style="337" customWidth="1"/>
    <col min="8" max="10" width="8" style="337" customWidth="1"/>
    <col min="11" max="11" width="10.625" style="975" customWidth="1" collapsed="1"/>
    <col min="12" max="12" width="5.875" style="36" customWidth="1"/>
    <col min="13" max="13" width="5.125" style="713" customWidth="1"/>
    <col min="14" max="14" width="12.125" style="337" customWidth="1" outlineLevel="1"/>
    <col min="15" max="15" width="9.875" style="1160" customWidth="1"/>
    <col min="16" max="16" width="8.625" style="340" hidden="1" customWidth="1"/>
    <col min="17" max="17" width="10.125" style="340" bestFit="1" customWidth="1"/>
    <col min="18" max="18" width="9.625" style="337" hidden="1" customWidth="1" outlineLevel="2"/>
    <col min="19" max="19" width="8.875" style="337" hidden="1" customWidth="1" outlineLevel="2"/>
    <col min="20" max="20" width="10.75" style="337" hidden="1" customWidth="1" outlineLevel="1" collapsed="1"/>
    <col min="21" max="21" width="4" style="340" customWidth="1" collapsed="1"/>
    <col min="22" max="22" width="12.75" style="1474" customWidth="1"/>
    <col min="23" max="23" width="6.125" style="337" customWidth="1"/>
    <col min="24" max="24" width="17.875" style="579" customWidth="1" outlineLevel="1"/>
    <col min="25" max="25" width="18.625" style="343" customWidth="1"/>
    <col min="26" max="28" width="9.625" style="337" customWidth="1"/>
    <col min="29" max="29" width="29.25" style="1081" customWidth="1"/>
    <col min="30" max="30" width="10.125" style="342" bestFit="1" customWidth="1"/>
    <col min="31" max="31" width="11.625" style="337" hidden="1" customWidth="1" outlineLevel="1"/>
    <col min="32" max="32" width="11" style="342" bestFit="1" customWidth="1" collapsed="1"/>
    <col min="33" max="33" width="10.25" style="342" bestFit="1" customWidth="1"/>
    <col min="34" max="34" width="10.625" style="1061" bestFit="1" customWidth="1"/>
    <col min="35" max="35" width="13.5" style="1051" bestFit="1" customWidth="1"/>
    <col min="36" max="37" width="13.5" style="342" bestFit="1" customWidth="1"/>
    <col min="38" max="38" width="14.875" style="342" bestFit="1" customWidth="1"/>
    <col min="39" max="39" width="93" style="767" customWidth="1"/>
    <col min="40" max="40" width="55.375" style="338" customWidth="1"/>
    <col min="41" max="41" width="15.375" style="715" bestFit="1" customWidth="1"/>
    <col min="42" max="16384" width="14.25" style="338"/>
  </cols>
  <sheetData>
    <row r="1" spans="1:49" ht="41.25" customHeight="1">
      <c r="A1" s="1441" t="s">
        <v>453</v>
      </c>
      <c r="B1" s="1"/>
      <c r="C1" s="3"/>
      <c r="D1" s="344"/>
      <c r="E1" s="3"/>
      <c r="F1" s="2"/>
      <c r="G1" s="2"/>
      <c r="H1" s="2"/>
      <c r="I1" s="2"/>
      <c r="J1" s="2"/>
      <c r="K1" s="14"/>
      <c r="L1" s="357"/>
      <c r="M1" s="707"/>
      <c r="N1" s="2" t="s">
        <v>454</v>
      </c>
      <c r="O1" s="1155"/>
      <c r="P1" s="32"/>
      <c r="Q1" s="4"/>
      <c r="R1" s="4"/>
      <c r="S1" s="4"/>
      <c r="T1" s="53"/>
      <c r="U1" s="2"/>
      <c r="V1" s="1465" t="s">
        <v>455</v>
      </c>
      <c r="W1" s="48"/>
      <c r="X1" s="1034"/>
      <c r="Y1" s="1132" t="s">
        <v>456</v>
      </c>
      <c r="Z1" s="497" t="s">
        <v>457</v>
      </c>
      <c r="AA1" s="45" t="s">
        <v>458</v>
      </c>
      <c r="AB1" s="46"/>
      <c r="AC1" s="1217"/>
      <c r="AD1" s="1316"/>
      <c r="AE1" s="493"/>
      <c r="AF1" s="2606" t="s">
        <v>459</v>
      </c>
      <c r="AG1" s="2607"/>
      <c r="AH1" s="2607"/>
      <c r="AI1" s="2607"/>
      <c r="AJ1" s="2607"/>
      <c r="AK1" s="2607"/>
      <c r="AL1" s="2607"/>
      <c r="AM1" s="759"/>
      <c r="AN1" s="272"/>
      <c r="AO1" s="753"/>
      <c r="AP1" s="272"/>
      <c r="AQ1" s="272"/>
      <c r="AR1" s="272"/>
      <c r="AS1" s="272"/>
      <c r="AT1" s="272"/>
      <c r="AU1" s="272"/>
      <c r="AV1" s="272"/>
      <c r="AW1" s="272"/>
    </row>
    <row r="2" spans="1:49" s="650" customFormat="1" ht="48.75" customHeight="1" thickBot="1">
      <c r="A2" s="1301" t="s">
        <v>460</v>
      </c>
      <c r="B2" s="597" t="s">
        <v>461</v>
      </c>
      <c r="C2" s="597" t="s">
        <v>462</v>
      </c>
      <c r="D2" s="597" t="s">
        <v>463</v>
      </c>
      <c r="E2" s="597" t="s">
        <v>464</v>
      </c>
      <c r="F2" s="597" t="s">
        <v>465</v>
      </c>
      <c r="G2" s="597" t="s">
        <v>466</v>
      </c>
      <c r="H2" s="597" t="s">
        <v>467</v>
      </c>
      <c r="I2" s="597" t="s">
        <v>468</v>
      </c>
      <c r="J2" s="597" t="s">
        <v>469</v>
      </c>
      <c r="K2" s="597" t="s">
        <v>470</v>
      </c>
      <c r="L2" s="2608" t="s">
        <v>471</v>
      </c>
      <c r="M2" s="2609"/>
      <c r="N2" s="642" t="s">
        <v>472</v>
      </c>
      <c r="O2" s="1156" t="s">
        <v>473</v>
      </c>
      <c r="P2" s="597" t="s">
        <v>474</v>
      </c>
      <c r="Q2" s="597" t="s">
        <v>475</v>
      </c>
      <c r="R2" s="651" t="s">
        <v>476</v>
      </c>
      <c r="S2" s="651" t="s">
        <v>477</v>
      </c>
      <c r="T2" s="597" t="s">
        <v>478</v>
      </c>
      <c r="U2" s="597" t="s">
        <v>479</v>
      </c>
      <c r="V2" s="1466" t="s">
        <v>480</v>
      </c>
      <c r="W2" s="1218" t="s">
        <v>481</v>
      </c>
      <c r="X2" s="597" t="s">
        <v>482</v>
      </c>
      <c r="Y2" s="597" t="s">
        <v>483</v>
      </c>
      <c r="Z2" s="597" t="s">
        <v>484</v>
      </c>
      <c r="AA2" s="597" t="s">
        <v>485</v>
      </c>
      <c r="AB2" s="597" t="s">
        <v>486</v>
      </c>
      <c r="AC2" s="597" t="s">
        <v>487</v>
      </c>
      <c r="AD2" s="597" t="s">
        <v>488</v>
      </c>
      <c r="AE2" s="597" t="s">
        <v>489</v>
      </c>
      <c r="AF2" s="597" t="s">
        <v>490</v>
      </c>
      <c r="AG2" s="597" t="s">
        <v>491</v>
      </c>
      <c r="AH2" s="597" t="s">
        <v>492</v>
      </c>
      <c r="AI2" s="597" t="s">
        <v>129</v>
      </c>
      <c r="AJ2" s="597" t="s">
        <v>493</v>
      </c>
      <c r="AK2" s="597" t="s">
        <v>494</v>
      </c>
      <c r="AL2" s="597" t="s">
        <v>495</v>
      </c>
      <c r="AM2" s="758" t="s">
        <v>496</v>
      </c>
      <c r="AN2" s="272"/>
      <c r="AO2" s="753"/>
      <c r="AP2" s="272"/>
      <c r="AQ2" s="272"/>
      <c r="AR2" s="272"/>
      <c r="AS2" s="272"/>
      <c r="AT2" s="272"/>
      <c r="AU2" s="272"/>
      <c r="AV2" s="272"/>
      <c r="AW2" s="272"/>
    </row>
    <row r="3" spans="1:49" ht="16.5" customHeight="1">
      <c r="A3" s="1445"/>
      <c r="B3" s="1302" t="s">
        <v>497</v>
      </c>
      <c r="C3" s="67" t="s">
        <v>498</v>
      </c>
      <c r="D3" s="355" t="s">
        <v>499</v>
      </c>
      <c r="E3" s="349" t="s">
        <v>500</v>
      </c>
      <c r="F3" s="1035" t="s">
        <v>501</v>
      </c>
      <c r="G3" s="382" t="s">
        <v>502</v>
      </c>
      <c r="H3" s="656">
        <v>8.9700000000000002E-2</v>
      </c>
      <c r="I3" s="656">
        <v>9.1999999999999998E-2</v>
      </c>
      <c r="J3" s="656">
        <v>9.2999999999999999E-2</v>
      </c>
      <c r="K3" s="968">
        <v>425.22</v>
      </c>
      <c r="L3" s="701">
        <v>1405</v>
      </c>
      <c r="M3" s="702">
        <f t="shared" ref="M3:M17" si="0">L3/365</f>
        <v>3.8493150684931505</v>
      </c>
      <c r="N3" s="325">
        <v>45623</v>
      </c>
      <c r="O3" s="1133">
        <v>319.2</v>
      </c>
      <c r="P3" s="662"/>
      <c r="Q3" s="661">
        <v>45816</v>
      </c>
      <c r="R3" s="662"/>
      <c r="S3" s="663"/>
      <c r="T3" s="661">
        <f t="shared" ref="T3" si="1">+EDATE(Q3,6)</f>
        <v>45999</v>
      </c>
      <c r="U3" s="664">
        <v>1</v>
      </c>
      <c r="V3" s="1467">
        <f t="shared" ref="V3:V65" si="2">+O3*40000000/1000</f>
        <v>12768000</v>
      </c>
      <c r="W3" s="670">
        <v>6</v>
      </c>
      <c r="X3" s="1035" t="s">
        <v>503</v>
      </c>
      <c r="Y3" s="666" t="s">
        <v>504</v>
      </c>
      <c r="Z3" s="757">
        <v>46258</v>
      </c>
      <c r="AA3" s="664" t="s">
        <v>504</v>
      </c>
      <c r="AB3" s="757">
        <v>46310</v>
      </c>
      <c r="AC3" s="1210" t="s">
        <v>505</v>
      </c>
      <c r="AD3" s="667" t="s">
        <v>506</v>
      </c>
      <c r="AE3" s="669">
        <v>1700</v>
      </c>
      <c r="AF3" s="594">
        <v>40000</v>
      </c>
      <c r="AG3" s="668">
        <f t="shared" ref="AG3:AG16" si="3">40000000*O3/1000</f>
        <v>12768000</v>
      </c>
      <c r="AH3" s="1054">
        <v>7</v>
      </c>
      <c r="AI3" s="1048">
        <f t="shared" ref="AI3:AI16" si="4">AG3*AH3</f>
        <v>89376000</v>
      </c>
      <c r="AJ3" s="668">
        <f t="shared" ref="AJ3:AJ65" si="5">200000000*O3/1000</f>
        <v>63840000</v>
      </c>
      <c r="AK3" s="668">
        <f t="shared" ref="AK3:AK64" si="6">300000000*O3/1000</f>
        <v>95760000</v>
      </c>
      <c r="AL3" s="668">
        <f t="shared" ref="AL3:AL64" si="7">1050000000*O3/1000</f>
        <v>335160000</v>
      </c>
      <c r="AM3" s="760" t="s">
        <v>507</v>
      </c>
      <c r="AN3" s="272"/>
      <c r="AO3" s="753">
        <f t="shared" ref="AO3:AO63" si="8">(AJ3/O3)*1000</f>
        <v>200000000</v>
      </c>
      <c r="AP3" s="272"/>
      <c r="AQ3" s="272"/>
      <c r="AR3" s="272"/>
      <c r="AS3" s="272"/>
      <c r="AT3" s="272"/>
      <c r="AU3" s="272"/>
      <c r="AV3" s="272"/>
      <c r="AW3" s="272"/>
    </row>
    <row r="4" spans="1:49" ht="17.25" customHeight="1">
      <c r="A4" s="1358"/>
      <c r="B4" s="1303" t="s">
        <v>508</v>
      </c>
      <c r="C4" s="67" t="s">
        <v>509</v>
      </c>
      <c r="D4" s="355" t="s">
        <v>510</v>
      </c>
      <c r="E4" s="349" t="s">
        <v>511</v>
      </c>
      <c r="F4" s="1035" t="s">
        <v>512</v>
      </c>
      <c r="G4" s="350" t="s">
        <v>513</v>
      </c>
      <c r="H4" s="656">
        <v>8.9099999999999999E-2</v>
      </c>
      <c r="I4" s="656">
        <v>9.1999999999999998E-2</v>
      </c>
      <c r="J4" s="656">
        <v>9.2999999999999999E-2</v>
      </c>
      <c r="K4" s="969">
        <v>768.88</v>
      </c>
      <c r="L4" s="701">
        <v>1408</v>
      </c>
      <c r="M4" s="702">
        <f t="shared" si="0"/>
        <v>3.8575342465753426</v>
      </c>
      <c r="N4" s="325">
        <v>45670</v>
      </c>
      <c r="O4" s="1567">
        <v>515.62</v>
      </c>
      <c r="P4" s="662"/>
      <c r="Q4" s="661">
        <v>45816</v>
      </c>
      <c r="R4" s="662"/>
      <c r="S4" s="663"/>
      <c r="T4" s="661">
        <f t="shared" ref="T4:T12" si="9">+EDATE(Q4,6)</f>
        <v>45999</v>
      </c>
      <c r="U4" s="664">
        <v>1</v>
      </c>
      <c r="V4" s="1467">
        <f t="shared" si="2"/>
        <v>20624800</v>
      </c>
      <c r="W4" s="670">
        <v>6</v>
      </c>
      <c r="X4" s="1035" t="s">
        <v>514</v>
      </c>
      <c r="Y4" s="666" t="s">
        <v>504</v>
      </c>
      <c r="Z4" s="757">
        <v>46316</v>
      </c>
      <c r="AA4" s="664" t="s">
        <v>515</v>
      </c>
      <c r="AB4" s="664" t="s">
        <v>515</v>
      </c>
      <c r="AC4" s="1210" t="s">
        <v>516</v>
      </c>
      <c r="AD4" s="667" t="s">
        <v>517</v>
      </c>
      <c r="AE4" s="669">
        <v>4086</v>
      </c>
      <c r="AF4" s="594">
        <v>40000</v>
      </c>
      <c r="AG4" s="668">
        <f t="shared" si="3"/>
        <v>20624800</v>
      </c>
      <c r="AH4" s="1055">
        <v>5</v>
      </c>
      <c r="AI4" s="1048">
        <f t="shared" si="4"/>
        <v>103124000</v>
      </c>
      <c r="AJ4" s="668">
        <f t="shared" si="5"/>
        <v>103124000</v>
      </c>
      <c r="AK4" s="668">
        <f t="shared" si="6"/>
        <v>154686000</v>
      </c>
      <c r="AL4" s="668">
        <f t="shared" si="7"/>
        <v>541401000</v>
      </c>
      <c r="AM4" s="760" t="s">
        <v>518</v>
      </c>
      <c r="AN4" s="272"/>
      <c r="AO4" s="753">
        <f t="shared" si="8"/>
        <v>200000000</v>
      </c>
      <c r="AP4" s="272"/>
      <c r="AQ4" s="272"/>
      <c r="AR4" s="272"/>
      <c r="AS4" s="272"/>
      <c r="AT4" s="272"/>
      <c r="AU4" s="272"/>
      <c r="AV4" s="272"/>
      <c r="AW4" s="272"/>
    </row>
    <row r="5" spans="1:49" ht="17.25" customHeight="1">
      <c r="A5" s="1358"/>
      <c r="B5" s="1303" t="s">
        <v>519</v>
      </c>
      <c r="C5" s="67" t="s">
        <v>520</v>
      </c>
      <c r="D5" s="355" t="s">
        <v>521</v>
      </c>
      <c r="E5" s="349" t="s">
        <v>522</v>
      </c>
      <c r="F5" s="1035" t="s">
        <v>512</v>
      </c>
      <c r="G5" s="350" t="s">
        <v>523</v>
      </c>
      <c r="H5" s="656">
        <v>9.6299999999999997E-2</v>
      </c>
      <c r="I5" s="656">
        <v>9.1999999999999998E-2</v>
      </c>
      <c r="J5" s="656">
        <v>9.2999999999999999E-2</v>
      </c>
      <c r="K5" s="969">
        <v>220.62</v>
      </c>
      <c r="L5" s="701">
        <v>1448</v>
      </c>
      <c r="M5" s="702">
        <f t="shared" si="0"/>
        <v>3.967123287671233</v>
      </c>
      <c r="N5" s="325">
        <v>45674</v>
      </c>
      <c r="O5" s="1567">
        <v>148.59</v>
      </c>
      <c r="P5" s="662"/>
      <c r="Q5" s="661">
        <v>45816</v>
      </c>
      <c r="R5" s="662"/>
      <c r="S5" s="663"/>
      <c r="T5" s="661">
        <f>+EDATE(Q5,6)</f>
        <v>45999</v>
      </c>
      <c r="U5" s="664">
        <v>1</v>
      </c>
      <c r="V5" s="1467">
        <f>+O5*40000000/1000</f>
        <v>5943600</v>
      </c>
      <c r="W5" s="670">
        <v>6</v>
      </c>
      <c r="X5" s="1035" t="s">
        <v>524</v>
      </c>
      <c r="Y5" s="672" t="s">
        <v>504</v>
      </c>
      <c r="Z5" s="757">
        <v>46296</v>
      </c>
      <c r="AA5" s="664" t="s">
        <v>515</v>
      </c>
      <c r="AB5" s="664" t="s">
        <v>515</v>
      </c>
      <c r="AC5" s="1210" t="s">
        <v>525</v>
      </c>
      <c r="AD5" s="667" t="s">
        <v>517</v>
      </c>
      <c r="AE5" s="669">
        <v>654</v>
      </c>
      <c r="AF5" s="594">
        <v>40000</v>
      </c>
      <c r="AG5" s="668">
        <f>40000000*O5/1000</f>
        <v>5943600</v>
      </c>
      <c r="AH5" s="1055">
        <v>5</v>
      </c>
      <c r="AI5" s="1048">
        <f>AG5*AH5</f>
        <v>29718000</v>
      </c>
      <c r="AJ5" s="668">
        <f>200000000*O5/1000</f>
        <v>29718000</v>
      </c>
      <c r="AK5" s="668">
        <f>300000000*O5/1000</f>
        <v>44577000</v>
      </c>
      <c r="AL5" s="668">
        <f>1050000000*O5/1000</f>
        <v>156019500</v>
      </c>
      <c r="AM5" s="760" t="s">
        <v>526</v>
      </c>
      <c r="AN5" s="272"/>
      <c r="AO5" s="753">
        <f>(AJ5/O5)*1000</f>
        <v>200000000</v>
      </c>
      <c r="AP5" s="272"/>
      <c r="AQ5" s="272"/>
      <c r="AR5" s="272"/>
      <c r="AS5" s="272"/>
      <c r="AT5" s="272"/>
      <c r="AU5" s="272"/>
      <c r="AV5" s="272"/>
      <c r="AW5" s="272"/>
    </row>
    <row r="6" spans="1:49" ht="17.25" customHeight="1">
      <c r="A6" s="1358"/>
      <c r="B6" s="1303" t="s">
        <v>527</v>
      </c>
      <c r="C6" s="67" t="s">
        <v>528</v>
      </c>
      <c r="D6" s="355" t="s">
        <v>529</v>
      </c>
      <c r="E6" s="349" t="s">
        <v>530</v>
      </c>
      <c r="F6" s="1035" t="s">
        <v>512</v>
      </c>
      <c r="G6" s="350" t="s">
        <v>523</v>
      </c>
      <c r="H6" s="656">
        <v>8.6499999999999994E-2</v>
      </c>
      <c r="I6" s="656">
        <v>9.1999999999999998E-2</v>
      </c>
      <c r="J6" s="656">
        <v>9.2999999999999999E-2</v>
      </c>
      <c r="K6" s="969">
        <v>156.56</v>
      </c>
      <c r="L6" s="701">
        <v>1431</v>
      </c>
      <c r="M6" s="702">
        <f t="shared" si="0"/>
        <v>3.9205479452054797</v>
      </c>
      <c r="N6" s="325">
        <v>45674</v>
      </c>
      <c r="O6" s="1133">
        <v>110.08</v>
      </c>
      <c r="P6" s="662"/>
      <c r="Q6" s="661">
        <v>45848</v>
      </c>
      <c r="R6" s="662"/>
      <c r="S6" s="663"/>
      <c r="T6" s="661">
        <f t="shared" si="9"/>
        <v>46032</v>
      </c>
      <c r="U6" s="664">
        <v>1</v>
      </c>
      <c r="V6" s="1467">
        <f>+O6*40000000/1000</f>
        <v>4403200</v>
      </c>
      <c r="W6" s="670">
        <v>6</v>
      </c>
      <c r="X6" s="1035" t="s">
        <v>531</v>
      </c>
      <c r="Y6" s="666" t="s">
        <v>504</v>
      </c>
      <c r="Z6" s="662" t="s">
        <v>532</v>
      </c>
      <c r="AA6" s="664" t="s">
        <v>515</v>
      </c>
      <c r="AB6" s="664" t="s">
        <v>515</v>
      </c>
      <c r="AC6" s="1210" t="s">
        <v>533</v>
      </c>
      <c r="AD6" s="667" t="s">
        <v>517</v>
      </c>
      <c r="AE6" s="669">
        <f>334.44+495</f>
        <v>829.44</v>
      </c>
      <c r="AF6" s="594">
        <v>40000</v>
      </c>
      <c r="AG6" s="668">
        <f>40000000*O6/1000</f>
        <v>4403200</v>
      </c>
      <c r="AH6" s="1055">
        <v>5</v>
      </c>
      <c r="AI6" s="1048">
        <f>AG6*AH6</f>
        <v>22016000</v>
      </c>
      <c r="AJ6" s="668">
        <f>200000000*O6/1000</f>
        <v>22016000</v>
      </c>
      <c r="AK6" s="668">
        <f>300000000*O6/1000</f>
        <v>33024000</v>
      </c>
      <c r="AL6" s="668">
        <f>1050000000*O6/1000</f>
        <v>115584000</v>
      </c>
      <c r="AM6" s="761" t="s">
        <v>534</v>
      </c>
      <c r="AN6" s="272"/>
      <c r="AO6" s="753">
        <f>(AJ6/O6)*1000</f>
        <v>200000000</v>
      </c>
      <c r="AP6" s="272"/>
      <c r="AQ6" s="272"/>
      <c r="AR6" s="272"/>
      <c r="AS6" s="272"/>
      <c r="AT6" s="272"/>
      <c r="AU6" s="272"/>
      <c r="AV6" s="272"/>
      <c r="AW6" s="272"/>
    </row>
    <row r="7" spans="1:49" ht="17.25" customHeight="1">
      <c r="A7" s="1358"/>
      <c r="B7" s="1303" t="s">
        <v>535</v>
      </c>
      <c r="C7" s="67" t="s">
        <v>536</v>
      </c>
      <c r="D7" s="355" t="s">
        <v>537</v>
      </c>
      <c r="E7" s="349" t="s">
        <v>538</v>
      </c>
      <c r="F7" s="1035" t="s">
        <v>539</v>
      </c>
      <c r="G7" s="350" t="s">
        <v>540</v>
      </c>
      <c r="H7" s="656">
        <v>9.1399999999999995E-2</v>
      </c>
      <c r="I7" s="656">
        <v>9.1999999999999998E-2</v>
      </c>
      <c r="J7" s="656">
        <v>9.2999999999999999E-2</v>
      </c>
      <c r="K7" s="969">
        <v>200.25200000000001</v>
      </c>
      <c r="L7" s="701">
        <v>1394</v>
      </c>
      <c r="M7" s="702">
        <f t="shared" si="0"/>
        <v>3.8191780821917809</v>
      </c>
      <c r="N7" s="325">
        <v>45615</v>
      </c>
      <c r="O7" s="1133">
        <v>144.15</v>
      </c>
      <c r="P7" s="662"/>
      <c r="Q7" s="661">
        <v>45848</v>
      </c>
      <c r="R7" s="662"/>
      <c r="S7" s="663"/>
      <c r="T7" s="661">
        <f t="shared" si="9"/>
        <v>46032</v>
      </c>
      <c r="U7" s="664">
        <v>1</v>
      </c>
      <c r="V7" s="1467">
        <f t="shared" si="2"/>
        <v>5766000</v>
      </c>
      <c r="W7" s="670">
        <v>6</v>
      </c>
      <c r="X7" s="1035" t="s">
        <v>541</v>
      </c>
      <c r="Y7" s="666" t="s">
        <v>504</v>
      </c>
      <c r="Z7" s="664" t="s">
        <v>515</v>
      </c>
      <c r="AA7" s="664" t="s">
        <v>515</v>
      </c>
      <c r="AB7" s="664" t="s">
        <v>515</v>
      </c>
      <c r="AC7" s="1210" t="s">
        <v>542</v>
      </c>
      <c r="AD7" s="667" t="s">
        <v>517</v>
      </c>
      <c r="AE7" s="669">
        <v>1266.45</v>
      </c>
      <c r="AF7" s="594">
        <v>40000</v>
      </c>
      <c r="AG7" s="668">
        <f t="shared" si="3"/>
        <v>5766000</v>
      </c>
      <c r="AH7" s="1055">
        <v>5</v>
      </c>
      <c r="AI7" s="1048">
        <f t="shared" si="4"/>
        <v>28830000</v>
      </c>
      <c r="AJ7" s="668">
        <f t="shared" si="5"/>
        <v>28830000</v>
      </c>
      <c r="AK7" s="668">
        <f t="shared" si="6"/>
        <v>43245000</v>
      </c>
      <c r="AL7" s="668">
        <f t="shared" si="7"/>
        <v>151357500</v>
      </c>
      <c r="AM7" s="760" t="s">
        <v>543</v>
      </c>
      <c r="AN7" s="272"/>
      <c r="AO7" s="753">
        <f t="shared" si="8"/>
        <v>200000000</v>
      </c>
      <c r="AP7" s="272"/>
      <c r="AQ7" s="272"/>
      <c r="AR7" s="272"/>
      <c r="AS7" s="272"/>
      <c r="AT7" s="272"/>
      <c r="AU7" s="272"/>
      <c r="AV7" s="272"/>
      <c r="AW7" s="272"/>
    </row>
    <row r="8" spans="1:49" ht="17.25" customHeight="1" thickBot="1">
      <c r="A8" s="1358"/>
      <c r="B8" s="1303" t="s">
        <v>544</v>
      </c>
      <c r="C8" s="67" t="s">
        <v>545</v>
      </c>
      <c r="D8" s="355" t="s">
        <v>546</v>
      </c>
      <c r="E8" s="349" t="s">
        <v>547</v>
      </c>
      <c r="F8" s="1035" t="s">
        <v>539</v>
      </c>
      <c r="G8" s="350" t="s">
        <v>548</v>
      </c>
      <c r="H8" s="656">
        <v>9.1700000000000004E-2</v>
      </c>
      <c r="I8" s="656">
        <v>9.1999999999999998E-2</v>
      </c>
      <c r="J8" s="656">
        <v>9.2999999999999999E-2</v>
      </c>
      <c r="K8" s="969">
        <v>154.46</v>
      </c>
      <c r="L8" s="701">
        <v>1434</v>
      </c>
      <c r="M8" s="702">
        <f t="shared" si="0"/>
        <v>3.9287671232876713</v>
      </c>
      <c r="N8" s="325">
        <v>45615</v>
      </c>
      <c r="O8" s="1133">
        <v>138.43</v>
      </c>
      <c r="P8" s="662"/>
      <c r="Q8" s="661">
        <v>45848</v>
      </c>
      <c r="R8" s="662"/>
      <c r="S8" s="663"/>
      <c r="T8" s="661">
        <f t="shared" si="9"/>
        <v>46032</v>
      </c>
      <c r="U8" s="664">
        <v>1</v>
      </c>
      <c r="V8" s="1467">
        <f t="shared" si="2"/>
        <v>5537200</v>
      </c>
      <c r="W8" s="670">
        <v>6</v>
      </c>
      <c r="X8" s="1035" t="s">
        <v>541</v>
      </c>
      <c r="Y8" s="666" t="s">
        <v>504</v>
      </c>
      <c r="Z8" s="664" t="s">
        <v>515</v>
      </c>
      <c r="AA8" s="664" t="s">
        <v>515</v>
      </c>
      <c r="AB8" s="664" t="s">
        <v>515</v>
      </c>
      <c r="AC8" s="1210" t="s">
        <v>549</v>
      </c>
      <c r="AD8" s="667" t="s">
        <v>517</v>
      </c>
      <c r="AE8" s="669">
        <v>828.12</v>
      </c>
      <c r="AF8" s="594">
        <v>40000</v>
      </c>
      <c r="AG8" s="668">
        <f t="shared" si="3"/>
        <v>5537200</v>
      </c>
      <c r="AH8" s="1055">
        <v>5</v>
      </c>
      <c r="AI8" s="1048">
        <f t="shared" si="4"/>
        <v>27686000</v>
      </c>
      <c r="AJ8" s="668">
        <f t="shared" si="5"/>
        <v>27686000</v>
      </c>
      <c r="AK8" s="668">
        <f t="shared" si="6"/>
        <v>41529000</v>
      </c>
      <c r="AL8" s="668">
        <f t="shared" si="7"/>
        <v>145351500</v>
      </c>
      <c r="AM8" s="760" t="s">
        <v>543</v>
      </c>
      <c r="AN8" s="272"/>
      <c r="AO8" s="753">
        <f t="shared" si="8"/>
        <v>200000000</v>
      </c>
      <c r="AP8" s="272"/>
      <c r="AQ8" s="272"/>
      <c r="AR8" s="272"/>
      <c r="AS8" s="272"/>
      <c r="AT8" s="272"/>
      <c r="AU8" s="272"/>
      <c r="AV8" s="272"/>
      <c r="AW8" s="272"/>
    </row>
    <row r="9" spans="1:49" ht="17.25" customHeight="1">
      <c r="A9" s="1440" t="str">
        <f>"DG Batch1 - 11PJT "</f>
        <v xml:space="preserve">DG Batch1 - 11PJT </v>
      </c>
      <c r="B9" s="2610" t="s">
        <v>550</v>
      </c>
      <c r="C9" s="67" t="s">
        <v>551</v>
      </c>
      <c r="D9" s="355" t="s">
        <v>552</v>
      </c>
      <c r="E9" s="67" t="s">
        <v>553</v>
      </c>
      <c r="F9" s="1035" t="s">
        <v>554</v>
      </c>
      <c r="G9" s="2612" t="s">
        <v>555</v>
      </c>
      <c r="H9" s="656">
        <v>0.1033</v>
      </c>
      <c r="I9" s="656">
        <v>0.10299999999999999</v>
      </c>
      <c r="J9" s="656">
        <v>0.105</v>
      </c>
      <c r="K9" s="969">
        <f>1083386/1000</f>
        <v>1083.386</v>
      </c>
      <c r="L9" s="701">
        <v>1427</v>
      </c>
      <c r="M9" s="700">
        <f t="shared" si="0"/>
        <v>3.9095890410958902</v>
      </c>
      <c r="N9" s="325">
        <v>45702</v>
      </c>
      <c r="O9" s="2621">
        <v>1041</v>
      </c>
      <c r="P9" s="660"/>
      <c r="Q9" s="661">
        <v>45848</v>
      </c>
      <c r="R9" s="662"/>
      <c r="S9" s="663"/>
      <c r="T9" s="661">
        <f t="shared" si="9"/>
        <v>46032</v>
      </c>
      <c r="U9" s="664">
        <v>1</v>
      </c>
      <c r="V9" s="2611">
        <f>+O9*40000000/1000</f>
        <v>41640000</v>
      </c>
      <c r="W9" s="670">
        <v>6</v>
      </c>
      <c r="X9" s="1036" t="s">
        <v>556</v>
      </c>
      <c r="Y9" s="666" t="s">
        <v>504</v>
      </c>
      <c r="Z9" s="664" t="s">
        <v>515</v>
      </c>
      <c r="AA9" s="664" t="s">
        <v>515</v>
      </c>
      <c r="AB9" s="664" t="s">
        <v>515</v>
      </c>
      <c r="AC9" s="1210" t="s">
        <v>557</v>
      </c>
      <c r="AD9" s="667" t="s">
        <v>558</v>
      </c>
      <c r="AE9" s="2620">
        <v>8709.7800000000007</v>
      </c>
      <c r="AF9" s="2614">
        <v>40000</v>
      </c>
      <c r="AG9" s="2613">
        <f>40000000*O9/1000</f>
        <v>41640000</v>
      </c>
      <c r="AH9" s="2616">
        <v>5</v>
      </c>
      <c r="AI9" s="2615">
        <f>35000*O9*AH9</f>
        <v>182175000</v>
      </c>
      <c r="AJ9" s="2613">
        <f>50000000*O9/1000</f>
        <v>52050000</v>
      </c>
      <c r="AK9" s="2613">
        <f>300000000*O9/1000</f>
        <v>312300000</v>
      </c>
      <c r="AL9" s="2613">
        <f>1050000000*O9/1000</f>
        <v>1093050000</v>
      </c>
      <c r="AM9" s="2617" t="s">
        <v>559</v>
      </c>
      <c r="AN9" s="272"/>
      <c r="AO9" s="753">
        <f>(AJ9/O9)*1000</f>
        <v>50000000</v>
      </c>
      <c r="AP9" s="272"/>
      <c r="AQ9" s="272"/>
      <c r="AR9" s="272"/>
      <c r="AS9" s="272"/>
      <c r="AT9" s="272"/>
      <c r="AU9" s="272"/>
      <c r="AV9" s="272"/>
      <c r="AW9" s="272"/>
    </row>
    <row r="10" spans="1:49" ht="17.25" customHeight="1">
      <c r="A10" s="1358"/>
      <c r="B10" s="2610"/>
      <c r="C10" s="67" t="s">
        <v>560</v>
      </c>
      <c r="D10" s="355" t="s">
        <v>561</v>
      </c>
      <c r="E10" s="67" t="s">
        <v>562</v>
      </c>
      <c r="F10" s="1035" t="s">
        <v>554</v>
      </c>
      <c r="G10" s="2612"/>
      <c r="H10" s="656">
        <v>9.7799999999999998E-2</v>
      </c>
      <c r="I10" s="656">
        <v>0.10299999999999999</v>
      </c>
      <c r="J10" s="656">
        <v>0.105</v>
      </c>
      <c r="K10" s="969">
        <f>366696/1000</f>
        <v>366.69600000000003</v>
      </c>
      <c r="L10" s="701">
        <v>1403</v>
      </c>
      <c r="M10" s="702">
        <f t="shared" ref="M10" si="10">L10/365</f>
        <v>3.8438356164383563</v>
      </c>
      <c r="N10" s="325">
        <v>45702</v>
      </c>
      <c r="O10" s="2622"/>
      <c r="P10" s="662"/>
      <c r="Q10" s="661">
        <v>45848</v>
      </c>
      <c r="R10" s="662"/>
      <c r="S10" s="663"/>
      <c r="T10" s="661">
        <f t="shared" si="9"/>
        <v>46032</v>
      </c>
      <c r="U10" s="664">
        <v>1</v>
      </c>
      <c r="V10" s="2611"/>
      <c r="W10" s="670">
        <v>6</v>
      </c>
      <c r="X10" s="1036" t="s">
        <v>556</v>
      </c>
      <c r="Y10" s="666" t="s">
        <v>504</v>
      </c>
      <c r="Z10" s="664" t="s">
        <v>515</v>
      </c>
      <c r="AA10" s="664" t="s">
        <v>515</v>
      </c>
      <c r="AB10" s="664" t="s">
        <v>515</v>
      </c>
      <c r="AC10" s="1210" t="s">
        <v>563</v>
      </c>
      <c r="AD10" s="667" t="s">
        <v>558</v>
      </c>
      <c r="AE10" s="2620"/>
      <c r="AF10" s="2614"/>
      <c r="AG10" s="2613"/>
      <c r="AH10" s="2616"/>
      <c r="AI10" s="2615"/>
      <c r="AJ10" s="2613"/>
      <c r="AK10" s="2613"/>
      <c r="AL10" s="2613"/>
      <c r="AM10" s="2617"/>
      <c r="AN10" s="272"/>
      <c r="AO10" s="753"/>
      <c r="AP10" s="272"/>
      <c r="AQ10" s="272"/>
      <c r="AR10" s="272"/>
      <c r="AS10" s="272"/>
      <c r="AT10" s="272"/>
      <c r="AU10" s="272"/>
      <c r="AV10" s="272"/>
      <c r="AW10" s="272"/>
    </row>
    <row r="11" spans="1:49" s="341" customFormat="1">
      <c r="A11" s="1437">
        <f>SUM(O3:O13,O17)</f>
        <v>6197.1200000000008</v>
      </c>
      <c r="B11" s="1303" t="s">
        <v>564</v>
      </c>
      <c r="C11" s="67" t="s">
        <v>565</v>
      </c>
      <c r="D11" s="355" t="s">
        <v>566</v>
      </c>
      <c r="E11" s="67"/>
      <c r="F11" s="1035" t="s">
        <v>554</v>
      </c>
      <c r="G11" s="350" t="s">
        <v>523</v>
      </c>
      <c r="H11" s="656">
        <v>9.2499999999999999E-2</v>
      </c>
      <c r="I11" s="656">
        <v>0.10299999999999999</v>
      </c>
      <c r="J11" s="656">
        <v>0.105</v>
      </c>
      <c r="K11" s="969">
        <f>538065/1000</f>
        <v>538.06500000000005</v>
      </c>
      <c r="L11" s="701">
        <f>M11*365</f>
        <v>1350.5</v>
      </c>
      <c r="M11" s="702">
        <v>3.7</v>
      </c>
      <c r="N11" s="325">
        <v>45714</v>
      </c>
      <c r="O11" s="1133">
        <v>406</v>
      </c>
      <c r="P11" s="662"/>
      <c r="Q11" s="661">
        <v>45848</v>
      </c>
      <c r="R11" s="662"/>
      <c r="S11" s="663"/>
      <c r="T11" s="661">
        <f t="shared" si="9"/>
        <v>46032</v>
      </c>
      <c r="U11" s="664">
        <v>1</v>
      </c>
      <c r="V11" s="1467">
        <f>+O11*40000000/1000</f>
        <v>16240000</v>
      </c>
      <c r="W11" s="670">
        <v>6</v>
      </c>
      <c r="X11" s="1037" t="s">
        <v>567</v>
      </c>
      <c r="Y11" s="666" t="s">
        <v>504</v>
      </c>
      <c r="Z11" s="664" t="s">
        <v>515</v>
      </c>
      <c r="AA11" s="664" t="s">
        <v>515</v>
      </c>
      <c r="AB11" s="664" t="s">
        <v>515</v>
      </c>
      <c r="AC11" s="1210" t="s">
        <v>568</v>
      </c>
      <c r="AD11" s="667" t="s">
        <v>558</v>
      </c>
      <c r="AE11" s="671">
        <v>3346.88</v>
      </c>
      <c r="AF11" s="594">
        <v>40000</v>
      </c>
      <c r="AG11" s="668">
        <f>40000000*O11/1000</f>
        <v>16240000</v>
      </c>
      <c r="AH11" s="1055">
        <v>5</v>
      </c>
      <c r="AI11" s="1048">
        <f>35000*O11*AH11</f>
        <v>71050000</v>
      </c>
      <c r="AJ11" s="668">
        <f>50000000*O11/1000</f>
        <v>20300000</v>
      </c>
      <c r="AK11" s="668">
        <f>300000000*O11/1000</f>
        <v>121800000</v>
      </c>
      <c r="AL11" s="668">
        <f>1050000000*O11/1000</f>
        <v>426300000</v>
      </c>
      <c r="AM11" s="1568" t="s">
        <v>559</v>
      </c>
      <c r="AN11" s="272"/>
      <c r="AO11" s="753">
        <f>(AJ11/O11)*1000</f>
        <v>50000000</v>
      </c>
      <c r="AP11" s="272"/>
      <c r="AQ11" s="272"/>
      <c r="AR11" s="272"/>
      <c r="AS11" s="272"/>
      <c r="AT11" s="272"/>
      <c r="AU11" s="272"/>
      <c r="AV11" s="272"/>
      <c r="AW11" s="272"/>
    </row>
    <row r="12" spans="1:49">
      <c r="A12" s="1440"/>
      <c r="B12" s="1303" t="s">
        <v>569</v>
      </c>
      <c r="C12" s="67" t="s">
        <v>570</v>
      </c>
      <c r="D12" s="355" t="s">
        <v>571</v>
      </c>
      <c r="E12" s="349" t="s">
        <v>572</v>
      </c>
      <c r="F12" s="1035" t="s">
        <v>512</v>
      </c>
      <c r="G12" s="382" t="s">
        <v>573</v>
      </c>
      <c r="H12" s="656">
        <v>9.9900000000000003E-2</v>
      </c>
      <c r="I12" s="656">
        <v>9.1999999999999998E-2</v>
      </c>
      <c r="J12" s="656">
        <v>9.2999999999999999E-2</v>
      </c>
      <c r="K12" s="969">
        <v>227.2</v>
      </c>
      <c r="L12" s="701">
        <v>1449</v>
      </c>
      <c r="M12" s="702">
        <f t="shared" si="0"/>
        <v>3.9698630136986299</v>
      </c>
      <c r="N12" s="325">
        <v>45674</v>
      </c>
      <c r="O12" s="1133">
        <v>158.75</v>
      </c>
      <c r="P12" s="662"/>
      <c r="Q12" s="661">
        <v>45877</v>
      </c>
      <c r="R12" s="662"/>
      <c r="S12" s="663"/>
      <c r="T12" s="661">
        <f t="shared" si="9"/>
        <v>46061</v>
      </c>
      <c r="U12" s="664">
        <v>1</v>
      </c>
      <c r="V12" s="1467">
        <f>+O12*40000000/1000</f>
        <v>6350000</v>
      </c>
      <c r="W12" s="670">
        <v>6</v>
      </c>
      <c r="X12" s="1035" t="s">
        <v>574</v>
      </c>
      <c r="Y12" s="666" t="s">
        <v>504</v>
      </c>
      <c r="Z12" s="662" t="s">
        <v>575</v>
      </c>
      <c r="AA12" s="664" t="s">
        <v>515</v>
      </c>
      <c r="AB12" s="664" t="s">
        <v>515</v>
      </c>
      <c r="AC12" s="1210" t="s">
        <v>576</v>
      </c>
      <c r="AD12" s="667" t="s">
        <v>517</v>
      </c>
      <c r="AE12" s="669">
        <v>984.95</v>
      </c>
      <c r="AF12" s="594">
        <v>40000</v>
      </c>
      <c r="AG12" s="668">
        <f>40000000*O12/1000</f>
        <v>6350000</v>
      </c>
      <c r="AH12" s="1055">
        <v>5</v>
      </c>
      <c r="AI12" s="1048">
        <f>AG12*AH12</f>
        <v>31750000</v>
      </c>
      <c r="AJ12" s="668">
        <f>200000000*O12/1000</f>
        <v>31750000</v>
      </c>
      <c r="AK12" s="668">
        <f>300000000*O12/1000</f>
        <v>47625000</v>
      </c>
      <c r="AL12" s="668">
        <f>1050000000*O12/1000</f>
        <v>166687500</v>
      </c>
      <c r="AM12" s="760" t="s">
        <v>577</v>
      </c>
      <c r="AN12" s="272"/>
      <c r="AO12" s="753">
        <f>(AJ12/O12)*1000</f>
        <v>200000000</v>
      </c>
      <c r="AP12" s="272"/>
      <c r="AQ12" s="272"/>
      <c r="AR12" s="272"/>
      <c r="AS12" s="272"/>
      <c r="AT12" s="272"/>
      <c r="AU12" s="272"/>
      <c r="AV12" s="272"/>
      <c r="AW12" s="272"/>
    </row>
    <row r="13" spans="1:49" s="341" customFormat="1">
      <c r="A13" s="1440"/>
      <c r="B13" s="1303" t="s">
        <v>578</v>
      </c>
      <c r="C13" s="67" t="s">
        <v>579</v>
      </c>
      <c r="D13" s="355" t="s">
        <v>580</v>
      </c>
      <c r="E13" s="349" t="s">
        <v>581</v>
      </c>
      <c r="F13" s="1035" t="s">
        <v>582</v>
      </c>
      <c r="G13" s="350" t="s">
        <v>583</v>
      </c>
      <c r="H13" s="656">
        <v>9.0700000000000003E-2</v>
      </c>
      <c r="I13" s="656">
        <v>9.1999999999999998E-2</v>
      </c>
      <c r="J13" s="656">
        <v>9.2999999999999999E-2</v>
      </c>
      <c r="K13" s="969">
        <v>4637</v>
      </c>
      <c r="L13" s="701">
        <v>1442</v>
      </c>
      <c r="M13" s="702">
        <f t="shared" si="0"/>
        <v>3.9506849315068493</v>
      </c>
      <c r="N13" s="325">
        <v>45455</v>
      </c>
      <c r="O13" s="1133">
        <v>3065.3</v>
      </c>
      <c r="P13" s="662"/>
      <c r="Q13" s="661">
        <v>45938</v>
      </c>
      <c r="R13" s="662"/>
      <c r="S13" s="663"/>
      <c r="T13" s="661">
        <f>+EDATE(Q13,6)</f>
        <v>46120</v>
      </c>
      <c r="U13" s="664">
        <v>1</v>
      </c>
      <c r="V13" s="1467">
        <f>+O13*40000000/1000</f>
        <v>122612000</v>
      </c>
      <c r="W13" s="670">
        <v>6</v>
      </c>
      <c r="X13" s="1035" t="s">
        <v>584</v>
      </c>
      <c r="Y13" s="666" t="s">
        <v>504</v>
      </c>
      <c r="Z13" s="664" t="s">
        <v>575</v>
      </c>
      <c r="AA13" s="664" t="s">
        <v>515</v>
      </c>
      <c r="AB13" s="664" t="s">
        <v>515</v>
      </c>
      <c r="AC13" s="1210" t="s">
        <v>585</v>
      </c>
      <c r="AD13" s="667" t="s">
        <v>517</v>
      </c>
      <c r="AE13" s="669">
        <f>550+1150+1850+1900+3050+720+2300+1050+650+750+3500+2200+1150</f>
        <v>20820</v>
      </c>
      <c r="AF13" s="594">
        <v>40000</v>
      </c>
      <c r="AG13" s="668">
        <f>40000000*O13/1000</f>
        <v>122612000</v>
      </c>
      <c r="AH13" s="1055">
        <v>5</v>
      </c>
      <c r="AI13" s="1048">
        <f>AG13*AH13</f>
        <v>613060000</v>
      </c>
      <c r="AJ13" s="668">
        <f>200000000*O13/1000</f>
        <v>613060000</v>
      </c>
      <c r="AK13" s="668">
        <f>300000000*O13/1000</f>
        <v>919590000</v>
      </c>
      <c r="AL13" s="668">
        <f>1050000000*O13/1000</f>
        <v>3218565000</v>
      </c>
      <c r="AM13" s="760"/>
      <c r="AN13" s="272"/>
      <c r="AO13" s="753">
        <f>(AJ13/O13)*1000</f>
        <v>200000000</v>
      </c>
      <c r="AP13" s="272"/>
      <c r="AQ13" s="272"/>
      <c r="AR13" s="272"/>
      <c r="AS13" s="272"/>
      <c r="AT13" s="272"/>
      <c r="AU13" s="272"/>
      <c r="AV13" s="272"/>
      <c r="AW13" s="272"/>
    </row>
    <row r="14" spans="1:49" s="1331" customFormat="1" ht="16.5" customHeight="1" outlineLevel="1">
      <c r="A14" s="1440"/>
      <c r="B14" s="1397" t="s">
        <v>586</v>
      </c>
      <c r="C14" s="1398" t="s">
        <v>587</v>
      </c>
      <c r="D14" s="1398" t="s">
        <v>588</v>
      </c>
      <c r="E14" s="1399" t="s">
        <v>589</v>
      </c>
      <c r="F14" s="1400" t="s">
        <v>512</v>
      </c>
      <c r="G14" s="1401" t="s">
        <v>590</v>
      </c>
      <c r="H14" s="1402">
        <v>9.1399999999999995E-2</v>
      </c>
      <c r="I14" s="1402">
        <v>9.1999999999999998E-2</v>
      </c>
      <c r="J14" s="1402">
        <v>9.2999999999999999E-2</v>
      </c>
      <c r="K14" s="1403">
        <v>430.54</v>
      </c>
      <c r="L14" s="1404">
        <v>1437</v>
      </c>
      <c r="M14" s="1405">
        <f t="shared" si="0"/>
        <v>3.9369863013698629</v>
      </c>
      <c r="N14" s="1406">
        <v>45714</v>
      </c>
      <c r="O14" s="1407">
        <v>300.8</v>
      </c>
      <c r="P14" s="1408"/>
      <c r="Q14" s="1409">
        <v>45910</v>
      </c>
      <c r="R14" s="1408"/>
      <c r="S14" s="1410"/>
      <c r="T14" s="1409">
        <f t="shared" ref="T14:T16" si="11">+EDATE(Q14,6)</f>
        <v>46091</v>
      </c>
      <c r="U14" s="1411">
        <v>1</v>
      </c>
      <c r="V14" s="1468">
        <f t="shared" si="2"/>
        <v>12032000</v>
      </c>
      <c r="W14" s="1413">
        <v>6</v>
      </c>
      <c r="X14" s="1400" t="s">
        <v>531</v>
      </c>
      <c r="Y14" s="1411"/>
      <c r="Z14" s="1411" t="s">
        <v>515</v>
      </c>
      <c r="AA14" s="1411" t="s">
        <v>515</v>
      </c>
      <c r="AB14" s="1411" t="s">
        <v>515</v>
      </c>
      <c r="AC14" s="1414" t="s">
        <v>533</v>
      </c>
      <c r="AD14" s="1411" t="s">
        <v>517</v>
      </c>
      <c r="AE14" s="1415">
        <v>1950</v>
      </c>
      <c r="AF14" s="1416">
        <v>40000</v>
      </c>
      <c r="AG14" s="1417">
        <f t="shared" si="3"/>
        <v>12032000</v>
      </c>
      <c r="AH14" s="1418">
        <v>5</v>
      </c>
      <c r="AI14" s="1419">
        <f t="shared" si="4"/>
        <v>60160000</v>
      </c>
      <c r="AJ14" s="1417">
        <f t="shared" si="5"/>
        <v>60160000</v>
      </c>
      <c r="AK14" s="1417">
        <f t="shared" si="6"/>
        <v>90240000</v>
      </c>
      <c r="AL14" s="1417">
        <f t="shared" si="7"/>
        <v>315840000</v>
      </c>
      <c r="AM14" s="1420" t="s">
        <v>591</v>
      </c>
      <c r="AO14" s="1332">
        <f t="shared" si="8"/>
        <v>200000000</v>
      </c>
    </row>
    <row r="15" spans="1:49" s="1331" customFormat="1" outlineLevel="1">
      <c r="A15" s="1440"/>
      <c r="B15" s="1397" t="s">
        <v>592</v>
      </c>
      <c r="C15" s="1398" t="s">
        <v>593</v>
      </c>
      <c r="D15" s="1398" t="s">
        <v>594</v>
      </c>
      <c r="E15" s="1399" t="s">
        <v>595</v>
      </c>
      <c r="F15" s="1400" t="s">
        <v>512</v>
      </c>
      <c r="G15" s="1401" t="s">
        <v>596</v>
      </c>
      <c r="H15" s="1402">
        <v>9.0700000000000003E-2</v>
      </c>
      <c r="I15" s="1402">
        <v>9.1999999999999998E-2</v>
      </c>
      <c r="J15" s="1402">
        <v>9.2999999999999999E-2</v>
      </c>
      <c r="K15" s="1403">
        <v>229.36</v>
      </c>
      <c r="L15" s="1404">
        <v>1422</v>
      </c>
      <c r="M15" s="1405">
        <f t="shared" si="0"/>
        <v>3.8958904109589043</v>
      </c>
      <c r="N15" s="1406">
        <v>45714</v>
      </c>
      <c r="O15" s="1407">
        <v>160</v>
      </c>
      <c r="P15" s="1408"/>
      <c r="Q15" s="1409">
        <v>45910</v>
      </c>
      <c r="R15" s="1408"/>
      <c r="S15" s="1410"/>
      <c r="T15" s="1409">
        <f t="shared" si="11"/>
        <v>46091</v>
      </c>
      <c r="U15" s="1411">
        <v>1</v>
      </c>
      <c r="V15" s="1468">
        <f t="shared" si="2"/>
        <v>6400000</v>
      </c>
      <c r="W15" s="1413">
        <v>6</v>
      </c>
      <c r="X15" s="1400" t="s">
        <v>531</v>
      </c>
      <c r="Y15" s="1411"/>
      <c r="Z15" s="1411" t="s">
        <v>515</v>
      </c>
      <c r="AA15" s="1411" t="s">
        <v>515</v>
      </c>
      <c r="AB15" s="1411" t="s">
        <v>515</v>
      </c>
      <c r="AC15" s="1414" t="s">
        <v>597</v>
      </c>
      <c r="AD15" s="1411" t="s">
        <v>517</v>
      </c>
      <c r="AE15" s="1415">
        <v>920</v>
      </c>
      <c r="AF15" s="1416">
        <v>40000</v>
      </c>
      <c r="AG15" s="1417">
        <f t="shared" si="3"/>
        <v>6400000</v>
      </c>
      <c r="AH15" s="1418">
        <v>5</v>
      </c>
      <c r="AI15" s="1419">
        <f t="shared" si="4"/>
        <v>32000000</v>
      </c>
      <c r="AJ15" s="1417">
        <f t="shared" si="5"/>
        <v>32000000</v>
      </c>
      <c r="AK15" s="1417">
        <f t="shared" si="6"/>
        <v>48000000</v>
      </c>
      <c r="AL15" s="1417">
        <f t="shared" si="7"/>
        <v>168000000</v>
      </c>
      <c r="AM15" s="1420" t="s">
        <v>591</v>
      </c>
      <c r="AO15" s="1332">
        <f t="shared" si="8"/>
        <v>200000000</v>
      </c>
    </row>
    <row r="16" spans="1:49" s="1331" customFormat="1" outlineLevel="1">
      <c r="A16" s="1440"/>
      <c r="B16" s="1397" t="s">
        <v>598</v>
      </c>
      <c r="C16" s="1398" t="s">
        <v>599</v>
      </c>
      <c r="D16" s="1398" t="s">
        <v>600</v>
      </c>
      <c r="E16" s="1399" t="s">
        <v>601</v>
      </c>
      <c r="F16" s="1400" t="s">
        <v>512</v>
      </c>
      <c r="G16" s="1401" t="s">
        <v>523</v>
      </c>
      <c r="H16" s="1402">
        <v>9.4299999999999995E-2</v>
      </c>
      <c r="I16" s="1402">
        <v>9.1999999999999998E-2</v>
      </c>
      <c r="J16" s="1402">
        <v>9.2999999999999999E-2</v>
      </c>
      <c r="K16" s="1403">
        <v>358.32</v>
      </c>
      <c r="L16" s="1404">
        <v>1458</v>
      </c>
      <c r="M16" s="1405">
        <f t="shared" si="0"/>
        <v>3.9945205479452053</v>
      </c>
      <c r="N16" s="1406">
        <v>45714</v>
      </c>
      <c r="O16" s="1407">
        <v>247.04</v>
      </c>
      <c r="P16" s="1408"/>
      <c r="Q16" s="1409">
        <v>45910</v>
      </c>
      <c r="R16" s="1408"/>
      <c r="S16" s="1410"/>
      <c r="T16" s="1409">
        <f t="shared" si="11"/>
        <v>46091</v>
      </c>
      <c r="U16" s="1411">
        <v>1</v>
      </c>
      <c r="V16" s="1468">
        <f t="shared" si="2"/>
        <v>9881600</v>
      </c>
      <c r="W16" s="1413">
        <v>6</v>
      </c>
      <c r="X16" s="1400" t="s">
        <v>514</v>
      </c>
      <c r="Y16" s="1411"/>
      <c r="Z16" s="1411" t="s">
        <v>515</v>
      </c>
      <c r="AA16" s="1411" t="s">
        <v>515</v>
      </c>
      <c r="AB16" s="1411" t="s">
        <v>515</v>
      </c>
      <c r="AC16" s="1414" t="s">
        <v>602</v>
      </c>
      <c r="AD16" s="1411" t="s">
        <v>517</v>
      </c>
      <c r="AE16" s="1415">
        <v>1770</v>
      </c>
      <c r="AF16" s="1416">
        <v>40000</v>
      </c>
      <c r="AG16" s="1417">
        <f t="shared" si="3"/>
        <v>9881600</v>
      </c>
      <c r="AH16" s="1418">
        <v>5</v>
      </c>
      <c r="AI16" s="1419">
        <f t="shared" si="4"/>
        <v>49408000</v>
      </c>
      <c r="AJ16" s="1417">
        <f t="shared" si="5"/>
        <v>49408000</v>
      </c>
      <c r="AK16" s="1417">
        <f t="shared" si="6"/>
        <v>74112000</v>
      </c>
      <c r="AL16" s="1417">
        <f t="shared" si="7"/>
        <v>259392000</v>
      </c>
      <c r="AM16" s="1420" t="s">
        <v>591</v>
      </c>
      <c r="AO16" s="1332">
        <f t="shared" si="8"/>
        <v>200000000</v>
      </c>
    </row>
    <row r="17" spans="1:49">
      <c r="A17" s="1442"/>
      <c r="B17" s="1305" t="s">
        <v>603</v>
      </c>
      <c r="C17" s="591" t="s">
        <v>604</v>
      </c>
      <c r="D17" s="1312" t="s">
        <v>605</v>
      </c>
      <c r="E17" s="643" t="s">
        <v>606</v>
      </c>
      <c r="F17" s="1119" t="s">
        <v>539</v>
      </c>
      <c r="G17" s="720" t="s">
        <v>523</v>
      </c>
      <c r="H17" s="990">
        <v>8.9200000000000002E-2</v>
      </c>
      <c r="I17" s="658">
        <v>9.1999999999999998E-2</v>
      </c>
      <c r="J17" s="658">
        <v>9.2999999999999999E-2</v>
      </c>
      <c r="K17" s="1131">
        <v>300.48599999999999</v>
      </c>
      <c r="L17" s="1031">
        <v>1420</v>
      </c>
      <c r="M17" s="747">
        <f t="shared" si="0"/>
        <v>3.8904109589041096</v>
      </c>
      <c r="N17" s="722">
        <v>45609</v>
      </c>
      <c r="O17" s="1157">
        <v>150</v>
      </c>
      <c r="P17" s="690"/>
      <c r="Q17" s="748">
        <v>45999</v>
      </c>
      <c r="R17" s="690"/>
      <c r="S17" s="691"/>
      <c r="T17" s="748">
        <f>+EDATE(Q17,6)</f>
        <v>46181</v>
      </c>
      <c r="U17" s="693">
        <v>1</v>
      </c>
      <c r="V17" s="1469">
        <f t="shared" ref="V17:V22" si="12">+O17*40000000/1000</f>
        <v>6000000</v>
      </c>
      <c r="W17" s="675">
        <v>6</v>
      </c>
      <c r="X17" s="1038" t="s">
        <v>514</v>
      </c>
      <c r="Y17" s="676" t="s">
        <v>504</v>
      </c>
      <c r="Z17" s="674" t="s">
        <v>515</v>
      </c>
      <c r="AA17" s="674" t="s">
        <v>515</v>
      </c>
      <c r="AB17" s="674" t="s">
        <v>515</v>
      </c>
      <c r="AC17" s="1211" t="s">
        <v>607</v>
      </c>
      <c r="AD17" s="1317" t="s">
        <v>517</v>
      </c>
      <c r="AE17" s="677">
        <v>1040</v>
      </c>
      <c r="AF17" s="1044">
        <v>40000</v>
      </c>
      <c r="AG17" s="1045">
        <f t="shared" ref="AG17:AG35" si="13">40000000*O17/1000</f>
        <v>6000000</v>
      </c>
      <c r="AH17" s="1057">
        <v>5</v>
      </c>
      <c r="AI17" s="1050">
        <f t="shared" ref="AI17:AI29" si="14">AG17*AH17</f>
        <v>30000000</v>
      </c>
      <c r="AJ17" s="1045">
        <f t="shared" ref="AJ17:AJ28" si="15">200000000*O17/1000</f>
        <v>30000000</v>
      </c>
      <c r="AK17" s="1045">
        <f t="shared" ref="AK17:AK29" si="16">300000000*O17/1000</f>
        <v>45000000</v>
      </c>
      <c r="AL17" s="1045">
        <f t="shared" ref="AL17:AL29" si="17">1050000000*O17/1000</f>
        <v>157500000</v>
      </c>
      <c r="AM17" s="762" t="s">
        <v>543</v>
      </c>
      <c r="AN17" s="272"/>
      <c r="AO17" s="753">
        <f t="shared" ref="AO17:AO22" si="18">(AJ17/O17)*1000</f>
        <v>200000000</v>
      </c>
      <c r="AP17" s="272"/>
      <c r="AQ17" s="272"/>
      <c r="AR17" s="272"/>
      <c r="AS17" s="272"/>
      <c r="AT17" s="272"/>
      <c r="AU17" s="272"/>
      <c r="AV17" s="272"/>
      <c r="AW17" s="272"/>
    </row>
    <row r="18" spans="1:49" ht="16.5" customHeight="1">
      <c r="A18" s="1446"/>
      <c r="B18" s="1304" t="s">
        <v>608</v>
      </c>
      <c r="C18" s="67" t="s">
        <v>609</v>
      </c>
      <c r="D18" s="355" t="s">
        <v>610</v>
      </c>
      <c r="E18" s="349" t="s">
        <v>611</v>
      </c>
      <c r="F18" s="1035"/>
      <c r="G18" s="350" t="s">
        <v>523</v>
      </c>
      <c r="H18" s="656">
        <v>8.7900000000000006E-2</v>
      </c>
      <c r="I18" s="656">
        <v>9.1999999999999998E-2</v>
      </c>
      <c r="J18" s="656">
        <v>9.2999999999999999E-2</v>
      </c>
      <c r="K18" s="969">
        <v>458.226</v>
      </c>
      <c r="L18" s="701">
        <v>1399</v>
      </c>
      <c r="M18" s="702">
        <f t="shared" ref="M18:M21" si="19">L18/365</f>
        <v>3.8328767123287673</v>
      </c>
      <c r="N18" s="325">
        <v>45734</v>
      </c>
      <c r="O18" s="1133">
        <v>351.15499999999997</v>
      </c>
      <c r="P18" s="662"/>
      <c r="Q18" s="661">
        <v>45962</v>
      </c>
      <c r="R18" s="662"/>
      <c r="S18" s="663"/>
      <c r="T18" s="661">
        <f t="shared" ref="T18:T35" si="20">+EDATE(Q18,6)</f>
        <v>46143</v>
      </c>
      <c r="U18" s="664">
        <v>1</v>
      </c>
      <c r="V18" s="1467">
        <f t="shared" si="12"/>
        <v>14046199.999999998</v>
      </c>
      <c r="W18" s="670">
        <v>6</v>
      </c>
      <c r="X18" s="1035" t="s">
        <v>531</v>
      </c>
      <c r="Y18" s="672" t="s">
        <v>612</v>
      </c>
      <c r="Z18" s="664" t="s">
        <v>515</v>
      </c>
      <c r="AA18" s="664" t="s">
        <v>515</v>
      </c>
      <c r="AB18" s="664" t="s">
        <v>515</v>
      </c>
      <c r="AC18" s="1212" t="s">
        <v>613</v>
      </c>
      <c r="AD18" s="1318" t="s">
        <v>517</v>
      </c>
      <c r="AE18" s="669">
        <v>4578.6000000000004</v>
      </c>
      <c r="AF18" s="1042">
        <v>40000</v>
      </c>
      <c r="AG18" s="1043">
        <f t="shared" si="13"/>
        <v>14046199.999999998</v>
      </c>
      <c r="AH18" s="1056">
        <v>5</v>
      </c>
      <c r="AI18" s="1049">
        <f t="shared" si="14"/>
        <v>70230999.999999985</v>
      </c>
      <c r="AJ18" s="1043">
        <f t="shared" si="15"/>
        <v>70231000</v>
      </c>
      <c r="AK18" s="1043">
        <f t="shared" si="16"/>
        <v>105346499.99999999</v>
      </c>
      <c r="AL18" s="1043">
        <f t="shared" si="17"/>
        <v>368712750</v>
      </c>
      <c r="AM18" s="760"/>
      <c r="AN18" s="272"/>
      <c r="AO18" s="753">
        <f t="shared" si="18"/>
        <v>200000000.00000003</v>
      </c>
      <c r="AP18" s="272"/>
      <c r="AQ18" s="272"/>
      <c r="AR18" s="272"/>
      <c r="AS18" s="272"/>
      <c r="AT18" s="272"/>
      <c r="AU18" s="272"/>
      <c r="AV18" s="272"/>
      <c r="AW18" s="272"/>
    </row>
    <row r="19" spans="1:49" ht="16.5" customHeight="1">
      <c r="A19" s="1358"/>
      <c r="B19" s="1304" t="s">
        <v>614</v>
      </c>
      <c r="C19" s="67" t="s">
        <v>615</v>
      </c>
      <c r="D19" s="355" t="s">
        <v>616</v>
      </c>
      <c r="E19" s="349" t="s">
        <v>617</v>
      </c>
      <c r="F19" s="1035" t="s">
        <v>618</v>
      </c>
      <c r="G19" s="350" t="s">
        <v>590</v>
      </c>
      <c r="H19" s="656">
        <v>8.6999999999999994E-2</v>
      </c>
      <c r="I19" s="656">
        <v>9.1999999999999998E-2</v>
      </c>
      <c r="J19" s="656">
        <v>9.2999999999999999E-2</v>
      </c>
      <c r="K19" s="969">
        <v>707.71400000000006</v>
      </c>
      <c r="L19" s="701">
        <v>1389</v>
      </c>
      <c r="M19" s="702">
        <f t="shared" si="19"/>
        <v>3.8054794520547945</v>
      </c>
      <c r="N19" s="325">
        <v>45734</v>
      </c>
      <c r="O19" s="1133">
        <v>709.29499999999996</v>
      </c>
      <c r="P19" s="662"/>
      <c r="Q19" s="661">
        <v>45962</v>
      </c>
      <c r="R19" s="662"/>
      <c r="S19" s="663"/>
      <c r="T19" s="661">
        <f t="shared" si="20"/>
        <v>46143</v>
      </c>
      <c r="U19" s="664">
        <v>1</v>
      </c>
      <c r="V19" s="1467">
        <f t="shared" si="12"/>
        <v>28371800</v>
      </c>
      <c r="W19" s="670">
        <v>6</v>
      </c>
      <c r="X19" s="1035" t="s">
        <v>531</v>
      </c>
      <c r="Y19" s="666" t="s">
        <v>504</v>
      </c>
      <c r="Z19" s="664" t="s">
        <v>515</v>
      </c>
      <c r="AA19" s="664" t="s">
        <v>515</v>
      </c>
      <c r="AB19" s="664" t="s">
        <v>515</v>
      </c>
      <c r="AC19" s="1212" t="s">
        <v>619</v>
      </c>
      <c r="AD19" s="1318" t="s">
        <v>506</v>
      </c>
      <c r="AE19" s="669">
        <v>2391</v>
      </c>
      <c r="AF19" s="1042">
        <v>40000</v>
      </c>
      <c r="AG19" s="1043">
        <f t="shared" si="13"/>
        <v>28371800</v>
      </c>
      <c r="AH19" s="1056">
        <v>5</v>
      </c>
      <c r="AI19" s="1049">
        <f t="shared" si="14"/>
        <v>141859000</v>
      </c>
      <c r="AJ19" s="1043">
        <f t="shared" si="15"/>
        <v>141859000</v>
      </c>
      <c r="AK19" s="1043">
        <f t="shared" si="16"/>
        <v>212788500</v>
      </c>
      <c r="AL19" s="1043">
        <f t="shared" si="17"/>
        <v>744759750</v>
      </c>
      <c r="AM19" s="760"/>
      <c r="AN19" s="272"/>
      <c r="AO19" s="753">
        <f t="shared" si="18"/>
        <v>200000000</v>
      </c>
      <c r="AP19" s="272"/>
      <c r="AQ19" s="272"/>
      <c r="AR19" s="272"/>
      <c r="AS19" s="272"/>
      <c r="AT19" s="272"/>
      <c r="AU19" s="272"/>
      <c r="AV19" s="272"/>
      <c r="AW19" s="272"/>
    </row>
    <row r="20" spans="1:49">
      <c r="A20" s="1358"/>
      <c r="B20" s="1304" t="s">
        <v>620</v>
      </c>
      <c r="C20" s="67" t="s">
        <v>621</v>
      </c>
      <c r="D20" s="355" t="s">
        <v>622</v>
      </c>
      <c r="E20" s="349" t="s">
        <v>623</v>
      </c>
      <c r="F20" s="1035"/>
      <c r="G20" s="350" t="s">
        <v>624</v>
      </c>
      <c r="H20" s="656">
        <v>9.1600000000000001E-2</v>
      </c>
      <c r="I20" s="656">
        <v>9.1999999999999998E-2</v>
      </c>
      <c r="J20" s="656">
        <v>9.2999999999999999E-2</v>
      </c>
      <c r="K20" s="969">
        <v>905.12646000000007</v>
      </c>
      <c r="L20" s="701">
        <v>1434</v>
      </c>
      <c r="M20" s="708">
        <f t="shared" si="19"/>
        <v>3.9287671232876713</v>
      </c>
      <c r="N20" s="325">
        <v>45736</v>
      </c>
      <c r="O20" s="1133">
        <v>650.24</v>
      </c>
      <c r="P20" s="662"/>
      <c r="Q20" s="661">
        <v>45962</v>
      </c>
      <c r="R20" s="662"/>
      <c r="S20" s="663"/>
      <c r="T20" s="661">
        <f t="shared" si="20"/>
        <v>46143</v>
      </c>
      <c r="U20" s="664">
        <v>1</v>
      </c>
      <c r="V20" s="1467">
        <f t="shared" si="12"/>
        <v>26009600</v>
      </c>
      <c r="W20" s="670">
        <v>6</v>
      </c>
      <c r="X20" s="1037" t="s">
        <v>625</v>
      </c>
      <c r="Y20" s="672" t="s">
        <v>612</v>
      </c>
      <c r="Z20" s="664" t="s">
        <v>515</v>
      </c>
      <c r="AA20" s="664" t="s">
        <v>515</v>
      </c>
      <c r="AB20" s="664" t="s">
        <v>515</v>
      </c>
      <c r="AC20" s="1210" t="s">
        <v>626</v>
      </c>
      <c r="AD20" s="667" t="s">
        <v>517</v>
      </c>
      <c r="AE20" s="669"/>
      <c r="AF20" s="594">
        <v>40000</v>
      </c>
      <c r="AG20" s="668">
        <f t="shared" si="13"/>
        <v>26009600</v>
      </c>
      <c r="AH20" s="1055">
        <v>5</v>
      </c>
      <c r="AI20" s="665">
        <f t="shared" si="14"/>
        <v>130048000</v>
      </c>
      <c r="AJ20" s="668">
        <f t="shared" si="15"/>
        <v>130048000</v>
      </c>
      <c r="AK20" s="1043">
        <f t="shared" si="16"/>
        <v>195072000</v>
      </c>
      <c r="AL20" s="1043">
        <f t="shared" si="17"/>
        <v>682752000</v>
      </c>
      <c r="AM20" s="760" t="s">
        <v>627</v>
      </c>
      <c r="AN20" s="272"/>
      <c r="AO20" s="753">
        <f t="shared" si="18"/>
        <v>200000000</v>
      </c>
      <c r="AP20" s="272"/>
      <c r="AQ20" s="272"/>
      <c r="AR20" s="272"/>
      <c r="AS20" s="272"/>
      <c r="AT20" s="272"/>
      <c r="AU20" s="272"/>
      <c r="AV20" s="272"/>
      <c r="AW20" s="272"/>
    </row>
    <row r="21" spans="1:49" ht="16.5" customHeight="1">
      <c r="A21" s="1358"/>
      <c r="B21" s="1304" t="s">
        <v>628</v>
      </c>
      <c r="C21" s="67" t="s">
        <v>629</v>
      </c>
      <c r="D21" s="355" t="s">
        <v>630</v>
      </c>
      <c r="E21" s="349" t="s">
        <v>631</v>
      </c>
      <c r="F21" s="1035" t="s">
        <v>501</v>
      </c>
      <c r="G21" s="350" t="s">
        <v>523</v>
      </c>
      <c r="H21" s="656">
        <v>9.3399999999999997E-2</v>
      </c>
      <c r="I21" s="656">
        <v>9.1999999999999998E-2</v>
      </c>
      <c r="J21" s="656">
        <v>9.2999999999999999E-2</v>
      </c>
      <c r="K21" s="969">
        <v>306.32146</v>
      </c>
      <c r="L21" s="701">
        <v>1453</v>
      </c>
      <c r="M21" s="702">
        <f t="shared" si="19"/>
        <v>3.9808219178082194</v>
      </c>
      <c r="N21" s="325">
        <v>45644</v>
      </c>
      <c r="O21" s="1133">
        <v>210.82</v>
      </c>
      <c r="P21" s="662"/>
      <c r="Q21" s="661">
        <v>45962</v>
      </c>
      <c r="R21" s="662"/>
      <c r="S21" s="663"/>
      <c r="T21" s="661">
        <f t="shared" si="20"/>
        <v>46143</v>
      </c>
      <c r="U21" s="664">
        <v>1</v>
      </c>
      <c r="V21" s="1467">
        <f t="shared" si="12"/>
        <v>8432800</v>
      </c>
      <c r="W21" s="670">
        <v>6</v>
      </c>
      <c r="X21" s="1035" t="s">
        <v>541</v>
      </c>
      <c r="Y21" s="666" t="s">
        <v>504</v>
      </c>
      <c r="Z21" s="664" t="s">
        <v>515</v>
      </c>
      <c r="AA21" s="664" t="s">
        <v>515</v>
      </c>
      <c r="AB21" s="664" t="s">
        <v>515</v>
      </c>
      <c r="AC21" s="1212" t="s">
        <v>632</v>
      </c>
      <c r="AD21" s="1318" t="s">
        <v>517</v>
      </c>
      <c r="AE21" s="669"/>
      <c r="AF21" s="594">
        <v>40000</v>
      </c>
      <c r="AG21" s="668">
        <f t="shared" si="13"/>
        <v>8432800</v>
      </c>
      <c r="AH21" s="1055">
        <v>5</v>
      </c>
      <c r="AI21" s="1048">
        <f t="shared" si="14"/>
        <v>42164000</v>
      </c>
      <c r="AJ21" s="668">
        <f t="shared" si="15"/>
        <v>42164000</v>
      </c>
      <c r="AK21" s="668">
        <f t="shared" si="16"/>
        <v>63246000</v>
      </c>
      <c r="AL21" s="668">
        <f t="shared" si="17"/>
        <v>221361000</v>
      </c>
      <c r="AM21" s="760"/>
      <c r="AN21" s="272"/>
      <c r="AO21" s="753">
        <f t="shared" si="18"/>
        <v>200000000</v>
      </c>
      <c r="AP21" s="272"/>
      <c r="AQ21" s="272"/>
      <c r="AR21" s="272"/>
      <c r="AS21" s="272"/>
      <c r="AT21" s="272"/>
      <c r="AU21" s="272"/>
      <c r="AV21" s="272"/>
      <c r="AW21" s="272"/>
    </row>
    <row r="22" spans="1:49" ht="16.5" customHeight="1">
      <c r="A22" s="1358"/>
      <c r="B22" s="1304" t="s">
        <v>633</v>
      </c>
      <c r="C22" s="67" t="s">
        <v>634</v>
      </c>
      <c r="D22" s="355" t="s">
        <v>635</v>
      </c>
      <c r="E22" s="349" t="s">
        <v>636</v>
      </c>
      <c r="F22" s="1035" t="s">
        <v>637</v>
      </c>
      <c r="G22" s="350" t="s">
        <v>638</v>
      </c>
      <c r="H22" s="656">
        <v>8.5500000000000007E-2</v>
      </c>
      <c r="I22" s="656">
        <v>9.1999999999999998E-2</v>
      </c>
      <c r="J22" s="656">
        <v>9.2999999999999999E-2</v>
      </c>
      <c r="K22" s="1130">
        <v>522.60500000000002</v>
      </c>
      <c r="L22" s="701">
        <v>1373</v>
      </c>
      <c r="M22" s="702">
        <f t="shared" ref="M22:M124" si="21">L22/365</f>
        <v>3.7616438356164386</v>
      </c>
      <c r="N22" s="325">
        <v>45734</v>
      </c>
      <c r="O22" s="1133">
        <v>522.60500000000002</v>
      </c>
      <c r="P22" s="662"/>
      <c r="Q22" s="661">
        <v>45962</v>
      </c>
      <c r="R22" s="662"/>
      <c r="S22" s="663"/>
      <c r="T22" s="661">
        <f t="shared" si="20"/>
        <v>46143</v>
      </c>
      <c r="U22" s="664">
        <v>1</v>
      </c>
      <c r="V22" s="1467">
        <f t="shared" si="12"/>
        <v>20904200</v>
      </c>
      <c r="W22" s="670">
        <v>6</v>
      </c>
      <c r="X22" s="1035" t="s">
        <v>503</v>
      </c>
      <c r="Y22" s="666" t="s">
        <v>504</v>
      </c>
      <c r="Z22" s="664" t="s">
        <v>515</v>
      </c>
      <c r="AA22" s="664" t="s">
        <v>515</v>
      </c>
      <c r="AB22" s="664" t="s">
        <v>515</v>
      </c>
      <c r="AC22" s="1212" t="s">
        <v>639</v>
      </c>
      <c r="AD22" s="1318" t="s">
        <v>517</v>
      </c>
      <c r="AE22" s="669">
        <v>5331</v>
      </c>
      <c r="AF22" s="594">
        <v>40000</v>
      </c>
      <c r="AG22" s="668">
        <f t="shared" si="13"/>
        <v>20904200</v>
      </c>
      <c r="AH22" s="1055">
        <v>5</v>
      </c>
      <c r="AI22" s="1048">
        <f t="shared" si="14"/>
        <v>104521000</v>
      </c>
      <c r="AJ22" s="668">
        <f t="shared" si="15"/>
        <v>104521000</v>
      </c>
      <c r="AK22" s="668">
        <f t="shared" si="16"/>
        <v>156781500</v>
      </c>
      <c r="AL22" s="668">
        <f t="shared" si="17"/>
        <v>548735250</v>
      </c>
      <c r="AM22" s="760" t="s">
        <v>640</v>
      </c>
      <c r="AN22" s="272"/>
      <c r="AO22" s="753">
        <f t="shared" si="18"/>
        <v>200000000</v>
      </c>
      <c r="AP22" s="272"/>
      <c r="AQ22" s="272"/>
      <c r="AR22" s="272"/>
      <c r="AS22" s="272"/>
      <c r="AT22" s="272"/>
      <c r="AU22" s="272"/>
      <c r="AV22" s="272"/>
      <c r="AW22" s="272"/>
    </row>
    <row r="23" spans="1:49">
      <c r="A23" s="1358"/>
      <c r="B23" s="1304" t="s">
        <v>641</v>
      </c>
      <c r="C23" s="67" t="s">
        <v>642</v>
      </c>
      <c r="D23" s="355" t="s">
        <v>643</v>
      </c>
      <c r="E23" s="349" t="s">
        <v>644</v>
      </c>
      <c r="F23" s="1035" t="s">
        <v>501</v>
      </c>
      <c r="G23" s="350" t="s">
        <v>590</v>
      </c>
      <c r="H23" s="656">
        <v>8.72E-2</v>
      </c>
      <c r="I23" s="656">
        <v>9.1999999999999998E-2</v>
      </c>
      <c r="J23" s="656">
        <v>9.2999999999999999E-2</v>
      </c>
      <c r="K23" s="1130">
        <v>338.49</v>
      </c>
      <c r="L23" s="701">
        <v>1388</v>
      </c>
      <c r="M23" s="702">
        <f>L23/365</f>
        <v>3.8027397260273972</v>
      </c>
      <c r="N23" s="325">
        <v>45736</v>
      </c>
      <c r="O23" s="1133">
        <v>243.84</v>
      </c>
      <c r="P23" s="662"/>
      <c r="Q23" s="661">
        <v>45992</v>
      </c>
      <c r="R23" s="662"/>
      <c r="S23" s="663"/>
      <c r="T23" s="661">
        <f t="shared" si="20"/>
        <v>46174</v>
      </c>
      <c r="U23" s="664">
        <v>1</v>
      </c>
      <c r="V23" s="1467">
        <f t="shared" ref="V23:V29" si="22">+O23*40000000/1000</f>
        <v>9753600</v>
      </c>
      <c r="W23" s="670">
        <v>6</v>
      </c>
      <c r="X23" s="1037" t="s">
        <v>503</v>
      </c>
      <c r="Y23" s="666" t="s">
        <v>504</v>
      </c>
      <c r="Z23" s="757" t="s">
        <v>645</v>
      </c>
      <c r="AA23" s="664" t="s">
        <v>515</v>
      </c>
      <c r="AB23" s="664" t="s">
        <v>515</v>
      </c>
      <c r="AC23" s="1210" t="s">
        <v>646</v>
      </c>
      <c r="AD23" s="667" t="s">
        <v>517</v>
      </c>
      <c r="AE23" s="669">
        <v>1517.98</v>
      </c>
      <c r="AF23" s="351">
        <v>40000</v>
      </c>
      <c r="AG23" s="668">
        <f t="shared" si="13"/>
        <v>9753600</v>
      </c>
      <c r="AH23" s="1055">
        <v>5</v>
      </c>
      <c r="AI23" s="1048">
        <f t="shared" si="14"/>
        <v>48768000</v>
      </c>
      <c r="AJ23" s="668">
        <f t="shared" si="15"/>
        <v>48768000</v>
      </c>
      <c r="AK23" s="668">
        <f t="shared" si="16"/>
        <v>73152000</v>
      </c>
      <c r="AL23" s="668">
        <f t="shared" si="17"/>
        <v>256032000</v>
      </c>
      <c r="AM23" s="760" t="s">
        <v>627</v>
      </c>
      <c r="AN23" s="272"/>
      <c r="AO23" s="753"/>
      <c r="AP23" s="272"/>
      <c r="AQ23" s="272"/>
      <c r="AR23" s="272"/>
      <c r="AS23" s="272"/>
      <c r="AT23" s="272"/>
      <c r="AU23" s="272"/>
      <c r="AV23" s="272"/>
      <c r="AW23" s="272"/>
    </row>
    <row r="24" spans="1:49">
      <c r="A24" s="1358"/>
      <c r="B24" s="1304" t="s">
        <v>647</v>
      </c>
      <c r="C24" s="67" t="s">
        <v>648</v>
      </c>
      <c r="D24" s="355" t="s">
        <v>649</v>
      </c>
      <c r="E24" s="349" t="s">
        <v>650</v>
      </c>
      <c r="F24" s="1035"/>
      <c r="G24" s="350" t="s">
        <v>651</v>
      </c>
      <c r="H24" s="1129">
        <v>8.8599999999999998E-2</v>
      </c>
      <c r="I24" s="656">
        <v>9.1999999999999998E-2</v>
      </c>
      <c r="J24" s="656">
        <v>9.2999999999999999E-2</v>
      </c>
      <c r="K24" s="1130">
        <v>3881.8</v>
      </c>
      <c r="L24" s="701">
        <v>1415</v>
      </c>
      <c r="M24" s="702">
        <f t="shared" si="21"/>
        <v>3.8767123287671232</v>
      </c>
      <c r="N24" s="325">
        <v>45742</v>
      </c>
      <c r="O24" s="1133">
        <v>2743.2</v>
      </c>
      <c r="P24" s="662"/>
      <c r="Q24" s="661">
        <v>45992</v>
      </c>
      <c r="R24" s="662"/>
      <c r="S24" s="663"/>
      <c r="T24" s="661">
        <f t="shared" si="20"/>
        <v>46174</v>
      </c>
      <c r="U24" s="664">
        <v>1</v>
      </c>
      <c r="V24" s="1467">
        <f t="shared" si="22"/>
        <v>109728000</v>
      </c>
      <c r="W24" s="670">
        <v>6</v>
      </c>
      <c r="X24" s="1035" t="s">
        <v>652</v>
      </c>
      <c r="Y24" s="672" t="s">
        <v>612</v>
      </c>
      <c r="Z24" s="664" t="s">
        <v>515</v>
      </c>
      <c r="AA24" s="664" t="s">
        <v>515</v>
      </c>
      <c r="AB24" s="664" t="s">
        <v>515</v>
      </c>
      <c r="AC24" s="1210" t="s">
        <v>653</v>
      </c>
      <c r="AD24" s="667" t="s">
        <v>517</v>
      </c>
      <c r="AE24" s="669"/>
      <c r="AF24" s="508">
        <v>40000</v>
      </c>
      <c r="AG24" s="668">
        <f t="shared" si="13"/>
        <v>109728000</v>
      </c>
      <c r="AH24" s="1055">
        <v>5</v>
      </c>
      <c r="AI24" s="1048">
        <f t="shared" si="14"/>
        <v>548640000</v>
      </c>
      <c r="AJ24" s="668">
        <f t="shared" si="15"/>
        <v>548639999.99999988</v>
      </c>
      <c r="AK24" s="668">
        <f t="shared" si="16"/>
        <v>822960000</v>
      </c>
      <c r="AL24" s="668">
        <f t="shared" si="17"/>
        <v>2880360000</v>
      </c>
      <c r="AM24" s="760" t="s">
        <v>627</v>
      </c>
      <c r="AN24" s="272"/>
      <c r="AO24" s="753"/>
      <c r="AP24" s="272"/>
      <c r="AQ24" s="272"/>
      <c r="AR24" s="272"/>
      <c r="AS24" s="272"/>
      <c r="AT24" s="272"/>
      <c r="AU24" s="272"/>
      <c r="AV24" s="272"/>
      <c r="AW24" s="272"/>
    </row>
    <row r="25" spans="1:49">
      <c r="A25" s="1358"/>
      <c r="B25" s="1304" t="s">
        <v>654</v>
      </c>
      <c r="C25" s="67" t="s">
        <v>655</v>
      </c>
      <c r="D25" s="533" t="s">
        <v>656</v>
      </c>
      <c r="E25" s="349"/>
      <c r="F25" s="1035"/>
      <c r="G25" s="350" t="s">
        <v>657</v>
      </c>
      <c r="H25" s="1129">
        <v>8.72E-2</v>
      </c>
      <c r="I25" s="656">
        <v>9.1999999999999998E-2</v>
      </c>
      <c r="J25" s="656">
        <v>9.2999999999999999E-2</v>
      </c>
      <c r="K25" s="1130">
        <v>1262.3</v>
      </c>
      <c r="L25" s="701">
        <v>1392</v>
      </c>
      <c r="M25" s="702">
        <f t="shared" si="21"/>
        <v>3.8136986301369862</v>
      </c>
      <c r="N25" s="325">
        <v>45742</v>
      </c>
      <c r="O25" s="1333">
        <v>695.32500000000005</v>
      </c>
      <c r="P25" s="662"/>
      <c r="Q25" s="661">
        <v>45992</v>
      </c>
      <c r="R25" s="662"/>
      <c r="S25" s="663"/>
      <c r="T25" s="661">
        <f t="shared" si="20"/>
        <v>46174</v>
      </c>
      <c r="U25" s="664">
        <v>1</v>
      </c>
      <c r="V25" s="1467">
        <f t="shared" si="22"/>
        <v>27813000</v>
      </c>
      <c r="W25" s="670">
        <v>6</v>
      </c>
      <c r="X25" s="1037" t="s">
        <v>503</v>
      </c>
      <c r="Y25" s="672" t="s">
        <v>612</v>
      </c>
      <c r="Z25" s="664" t="s">
        <v>515</v>
      </c>
      <c r="AA25" s="664" t="s">
        <v>515</v>
      </c>
      <c r="AB25" s="664" t="s">
        <v>515</v>
      </c>
      <c r="AC25" s="1210" t="s">
        <v>658</v>
      </c>
      <c r="AD25" s="667" t="s">
        <v>517</v>
      </c>
      <c r="AE25" s="669"/>
      <c r="AF25" s="508">
        <v>40000</v>
      </c>
      <c r="AG25" s="668">
        <f t="shared" si="13"/>
        <v>27813000</v>
      </c>
      <c r="AH25" s="1055">
        <v>5</v>
      </c>
      <c r="AI25" s="1048">
        <f t="shared" si="14"/>
        <v>139065000</v>
      </c>
      <c r="AJ25" s="668">
        <f t="shared" si="15"/>
        <v>139065000</v>
      </c>
      <c r="AK25" s="668">
        <f t="shared" si="16"/>
        <v>208597500</v>
      </c>
      <c r="AL25" s="668">
        <f t="shared" si="17"/>
        <v>730091250</v>
      </c>
      <c r="AM25" s="760" t="s">
        <v>627</v>
      </c>
      <c r="AN25" s="272"/>
      <c r="AO25" s="753"/>
      <c r="AP25" s="272"/>
      <c r="AQ25" s="272"/>
      <c r="AR25" s="272"/>
      <c r="AS25" s="272"/>
      <c r="AT25" s="272"/>
      <c r="AU25" s="272"/>
      <c r="AV25" s="272"/>
      <c r="AW25" s="272"/>
    </row>
    <row r="26" spans="1:49" s="1331" customFormat="1" outlineLevel="1">
      <c r="A26" s="1440" t="str">
        <f>"DG Batch2 - 17PJT   "</f>
        <v xml:space="preserve">DG Batch2 - 17PJT   </v>
      </c>
      <c r="B26" s="1421" t="s">
        <v>659</v>
      </c>
      <c r="C26" s="1398" t="s">
        <v>660</v>
      </c>
      <c r="D26" s="1398" t="s">
        <v>661</v>
      </c>
      <c r="E26" s="1398"/>
      <c r="F26" s="1400" t="s">
        <v>662</v>
      </c>
      <c r="G26" s="1401" t="s">
        <v>657</v>
      </c>
      <c r="H26" s="1422">
        <v>8.7800000000000003E-2</v>
      </c>
      <c r="I26" s="1402">
        <v>9.1999999999999998E-2</v>
      </c>
      <c r="J26" s="1402">
        <v>9.2999999999999999E-2</v>
      </c>
      <c r="K26" s="1423">
        <v>497.58</v>
      </c>
      <c r="L26" s="1404">
        <v>1399</v>
      </c>
      <c r="M26" s="1405">
        <f t="shared" si="21"/>
        <v>3.8328767123287673</v>
      </c>
      <c r="N26" s="1406">
        <v>45742</v>
      </c>
      <c r="O26" s="1407">
        <v>355.6</v>
      </c>
      <c r="P26" s="1408"/>
      <c r="Q26" s="1409">
        <v>45992</v>
      </c>
      <c r="R26" s="1408"/>
      <c r="S26" s="1410"/>
      <c r="T26" s="1409">
        <f t="shared" si="20"/>
        <v>46174</v>
      </c>
      <c r="U26" s="1411">
        <v>1</v>
      </c>
      <c r="V26" s="1468">
        <f t="shared" si="22"/>
        <v>14224000</v>
      </c>
      <c r="W26" s="1413">
        <v>6</v>
      </c>
      <c r="X26" s="1424" t="s">
        <v>503</v>
      </c>
      <c r="Y26" s="1411"/>
      <c r="Z26" s="1411" t="s">
        <v>515</v>
      </c>
      <c r="AA26" s="1411" t="s">
        <v>515</v>
      </c>
      <c r="AB26" s="1411" t="s">
        <v>515</v>
      </c>
      <c r="AC26" s="1414" t="s">
        <v>663</v>
      </c>
      <c r="AD26" s="1411" t="s">
        <v>517</v>
      </c>
      <c r="AE26" s="1415"/>
      <c r="AF26" s="1425">
        <v>40000</v>
      </c>
      <c r="AG26" s="1417">
        <f t="shared" si="13"/>
        <v>14224000</v>
      </c>
      <c r="AH26" s="1418">
        <v>5</v>
      </c>
      <c r="AI26" s="1419">
        <f t="shared" si="14"/>
        <v>71120000</v>
      </c>
      <c r="AJ26" s="1417">
        <f t="shared" si="15"/>
        <v>71120000</v>
      </c>
      <c r="AK26" s="1417">
        <f t="shared" si="16"/>
        <v>106680000</v>
      </c>
      <c r="AL26" s="1417">
        <f t="shared" si="17"/>
        <v>373380000</v>
      </c>
      <c r="AM26" s="1420" t="s">
        <v>591</v>
      </c>
      <c r="AO26" s="1332"/>
    </row>
    <row r="27" spans="1:49">
      <c r="A27" s="1437">
        <f>SUM(O18:P25,O27:O35)</f>
        <v>9994.1149999999998</v>
      </c>
      <c r="B27" s="1304" t="s">
        <v>664</v>
      </c>
      <c r="C27" s="67" t="s">
        <v>665</v>
      </c>
      <c r="D27" s="355" t="s">
        <v>666</v>
      </c>
      <c r="E27" s="349"/>
      <c r="F27" s="1035"/>
      <c r="G27" s="350" t="s">
        <v>651</v>
      </c>
      <c r="H27" s="1129">
        <v>8.7099999999999997E-2</v>
      </c>
      <c r="I27" s="656">
        <v>9.1999999999999998E-2</v>
      </c>
      <c r="J27" s="656">
        <v>9.2999999999999999E-2</v>
      </c>
      <c r="K27" s="1130">
        <v>1272</v>
      </c>
      <c r="L27" s="701">
        <v>1391</v>
      </c>
      <c r="M27" s="702">
        <f t="shared" si="21"/>
        <v>3.8109589041095893</v>
      </c>
      <c r="N27" s="325">
        <v>45742</v>
      </c>
      <c r="O27" s="1133">
        <v>913.76499999999999</v>
      </c>
      <c r="P27" s="662"/>
      <c r="Q27" s="661">
        <v>45992</v>
      </c>
      <c r="R27" s="662"/>
      <c r="S27" s="663"/>
      <c r="T27" s="661">
        <f t="shared" si="20"/>
        <v>46174</v>
      </c>
      <c r="U27" s="664">
        <v>1</v>
      </c>
      <c r="V27" s="1467">
        <f t="shared" si="22"/>
        <v>36550600</v>
      </c>
      <c r="W27" s="670">
        <v>6</v>
      </c>
      <c r="X27" s="1035" t="s">
        <v>556</v>
      </c>
      <c r="Y27" s="672" t="s">
        <v>612</v>
      </c>
      <c r="Z27" s="664" t="s">
        <v>515</v>
      </c>
      <c r="AA27" s="664" t="s">
        <v>515</v>
      </c>
      <c r="AB27" s="664" t="s">
        <v>515</v>
      </c>
      <c r="AC27" s="1210" t="s">
        <v>667</v>
      </c>
      <c r="AD27" s="667" t="s">
        <v>517</v>
      </c>
      <c r="AE27" s="669"/>
      <c r="AF27" s="508">
        <v>40000</v>
      </c>
      <c r="AG27" s="668">
        <f t="shared" si="13"/>
        <v>36550600</v>
      </c>
      <c r="AH27" s="1055">
        <v>5</v>
      </c>
      <c r="AI27" s="1048">
        <f t="shared" si="14"/>
        <v>182753000</v>
      </c>
      <c r="AJ27" s="668">
        <f t="shared" si="15"/>
        <v>182753000</v>
      </c>
      <c r="AK27" s="668">
        <f t="shared" si="16"/>
        <v>274129500</v>
      </c>
      <c r="AL27" s="668">
        <f t="shared" si="17"/>
        <v>959453250</v>
      </c>
      <c r="AM27" s="760" t="s">
        <v>627</v>
      </c>
      <c r="AN27" s="272"/>
      <c r="AO27" s="753"/>
      <c r="AP27" s="272"/>
      <c r="AQ27" s="272"/>
      <c r="AR27" s="272"/>
      <c r="AS27" s="272"/>
      <c r="AT27" s="272"/>
      <c r="AU27" s="272"/>
      <c r="AV27" s="272"/>
      <c r="AW27" s="272"/>
    </row>
    <row r="28" spans="1:49">
      <c r="A28" s="1440"/>
      <c r="B28" s="1304" t="s">
        <v>668</v>
      </c>
      <c r="C28" s="67" t="s">
        <v>669</v>
      </c>
      <c r="D28" s="355" t="s">
        <v>670</v>
      </c>
      <c r="E28" s="349"/>
      <c r="F28" s="1035"/>
      <c r="G28" s="350" t="s">
        <v>651</v>
      </c>
      <c r="H28" s="1129">
        <v>8.8400000000000006E-2</v>
      </c>
      <c r="I28" s="656">
        <v>9.1999999999999998E-2</v>
      </c>
      <c r="J28" s="656">
        <v>9.2999999999999999E-2</v>
      </c>
      <c r="K28" s="1130">
        <v>913.89</v>
      </c>
      <c r="L28" s="701">
        <v>1405</v>
      </c>
      <c r="M28" s="702">
        <f t="shared" si="21"/>
        <v>3.8493150684931505</v>
      </c>
      <c r="N28" s="325">
        <v>45742</v>
      </c>
      <c r="O28" s="1333">
        <v>544.83000000000004</v>
      </c>
      <c r="P28" s="662"/>
      <c r="Q28" s="661">
        <v>45992</v>
      </c>
      <c r="R28" s="662"/>
      <c r="S28" s="663"/>
      <c r="T28" s="661">
        <f t="shared" si="20"/>
        <v>46174</v>
      </c>
      <c r="U28" s="664">
        <v>1</v>
      </c>
      <c r="V28" s="1467">
        <f t="shared" si="22"/>
        <v>21793200</v>
      </c>
      <c r="W28" s="670">
        <v>6</v>
      </c>
      <c r="X28" s="1035" t="s">
        <v>556</v>
      </c>
      <c r="Y28" s="672" t="s">
        <v>612</v>
      </c>
      <c r="Z28" s="664" t="s">
        <v>515</v>
      </c>
      <c r="AA28" s="664" t="s">
        <v>515</v>
      </c>
      <c r="AB28" s="664" t="s">
        <v>515</v>
      </c>
      <c r="AC28" s="1210" t="s">
        <v>671</v>
      </c>
      <c r="AD28" s="667" t="s">
        <v>517</v>
      </c>
      <c r="AE28" s="669"/>
      <c r="AF28" s="508">
        <v>40000</v>
      </c>
      <c r="AG28" s="668">
        <f t="shared" si="13"/>
        <v>21793200</v>
      </c>
      <c r="AH28" s="1055">
        <v>5</v>
      </c>
      <c r="AI28" s="1048">
        <f t="shared" si="14"/>
        <v>108966000</v>
      </c>
      <c r="AJ28" s="668">
        <f t="shared" si="15"/>
        <v>108966000.00000001</v>
      </c>
      <c r="AK28" s="668">
        <f t="shared" si="16"/>
        <v>163449000</v>
      </c>
      <c r="AL28" s="668">
        <f t="shared" si="17"/>
        <v>572071500</v>
      </c>
      <c r="AM28" s="760" t="s">
        <v>627</v>
      </c>
      <c r="AN28" s="272"/>
      <c r="AO28" s="753"/>
      <c r="AP28" s="272"/>
      <c r="AQ28" s="272"/>
      <c r="AR28" s="272"/>
      <c r="AS28" s="272"/>
      <c r="AT28" s="272"/>
      <c r="AU28" s="272"/>
      <c r="AV28" s="272"/>
      <c r="AW28" s="272"/>
    </row>
    <row r="29" spans="1:49">
      <c r="A29" s="1440"/>
      <c r="B29" s="1304" t="s">
        <v>672</v>
      </c>
      <c r="C29" s="67" t="s">
        <v>673</v>
      </c>
      <c r="D29" s="355" t="s">
        <v>674</v>
      </c>
      <c r="E29" s="349" t="s">
        <v>675</v>
      </c>
      <c r="F29" s="1035" t="s">
        <v>676</v>
      </c>
      <c r="G29" s="350" t="s">
        <v>677</v>
      </c>
      <c r="H29" s="1129">
        <v>9.0899999999999995E-2</v>
      </c>
      <c r="I29" s="656">
        <v>9.5600000000000004E-2</v>
      </c>
      <c r="J29" s="656">
        <v>9.6000000000000002E-2</v>
      </c>
      <c r="K29" s="1130">
        <v>290.98</v>
      </c>
      <c r="L29" s="701">
        <v>1399</v>
      </c>
      <c r="M29" s="702">
        <f t="shared" si="21"/>
        <v>3.8328767123287673</v>
      </c>
      <c r="N29" s="325">
        <v>45747</v>
      </c>
      <c r="O29" s="1133">
        <v>210</v>
      </c>
      <c r="P29" s="662"/>
      <c r="Q29" s="661">
        <v>45894</v>
      </c>
      <c r="R29" s="662"/>
      <c r="S29" s="663"/>
      <c r="T29" s="661">
        <f t="shared" si="20"/>
        <v>46078</v>
      </c>
      <c r="U29" s="664">
        <v>1</v>
      </c>
      <c r="V29" s="1467">
        <f t="shared" si="22"/>
        <v>8400000</v>
      </c>
      <c r="W29" s="670">
        <v>6</v>
      </c>
      <c r="X29" s="1035" t="s">
        <v>541</v>
      </c>
      <c r="Y29" s="666" t="s">
        <v>504</v>
      </c>
      <c r="Z29" s="664" t="s">
        <v>515</v>
      </c>
      <c r="AA29" s="664" t="s">
        <v>515</v>
      </c>
      <c r="AB29" s="664" t="s">
        <v>515</v>
      </c>
      <c r="AC29" s="1210" t="s">
        <v>678</v>
      </c>
      <c r="AD29" s="667" t="s">
        <v>679</v>
      </c>
      <c r="AE29" s="669"/>
      <c r="AF29" s="508">
        <v>40000</v>
      </c>
      <c r="AG29" s="668">
        <f t="shared" si="13"/>
        <v>8400000</v>
      </c>
      <c r="AH29" s="1055">
        <v>5</v>
      </c>
      <c r="AI29" s="1048">
        <f t="shared" si="14"/>
        <v>42000000</v>
      </c>
      <c r="AJ29" s="668">
        <f t="shared" ref="AJ29:AJ35" si="23">150000000*O29/1000</f>
        <v>31500000</v>
      </c>
      <c r="AK29" s="668">
        <f t="shared" si="16"/>
        <v>63000000</v>
      </c>
      <c r="AL29" s="668">
        <f t="shared" si="17"/>
        <v>220500000</v>
      </c>
      <c r="AM29" s="1568" t="s">
        <v>559</v>
      </c>
      <c r="AN29" s="272"/>
      <c r="AO29" s="753"/>
      <c r="AP29" s="272"/>
      <c r="AQ29" s="272"/>
      <c r="AR29" s="272"/>
      <c r="AS29" s="272"/>
      <c r="AT29" s="272"/>
      <c r="AU29" s="272"/>
      <c r="AV29" s="272"/>
      <c r="AW29" s="272"/>
    </row>
    <row r="30" spans="1:49">
      <c r="A30" s="1440"/>
      <c r="B30" s="1304" t="s">
        <v>680</v>
      </c>
      <c r="C30" s="67" t="s">
        <v>681</v>
      </c>
      <c r="D30" s="355" t="s">
        <v>682</v>
      </c>
      <c r="E30" s="349" t="s">
        <v>683</v>
      </c>
      <c r="F30" s="1035"/>
      <c r="G30" s="350" t="s">
        <v>684</v>
      </c>
      <c r="H30" s="1129">
        <v>9.0399999999999994E-2</v>
      </c>
      <c r="I30" s="656">
        <v>9.5600000000000004E-2</v>
      </c>
      <c r="J30" s="656">
        <v>9.6000000000000002E-2</v>
      </c>
      <c r="K30" s="1130">
        <v>347.59</v>
      </c>
      <c r="L30" s="701">
        <v>1393</v>
      </c>
      <c r="M30" s="702">
        <f t="shared" si="21"/>
        <v>3.8164383561643835</v>
      </c>
      <c r="N30" s="325">
        <v>45747</v>
      </c>
      <c r="O30" s="1133">
        <v>249.6</v>
      </c>
      <c r="P30" s="662"/>
      <c r="Q30" s="661">
        <v>45925</v>
      </c>
      <c r="R30" s="662"/>
      <c r="S30" s="663"/>
      <c r="T30" s="661">
        <f t="shared" si="20"/>
        <v>46106</v>
      </c>
      <c r="U30" s="664">
        <v>1</v>
      </c>
      <c r="V30" s="1467"/>
      <c r="W30" s="670">
        <v>6</v>
      </c>
      <c r="X30" s="1035" t="s">
        <v>685</v>
      </c>
      <c r="Y30" s="672" t="s">
        <v>612</v>
      </c>
      <c r="Z30" s="664" t="s">
        <v>515</v>
      </c>
      <c r="AA30" s="664" t="s">
        <v>515</v>
      </c>
      <c r="AB30" s="664" t="s">
        <v>515</v>
      </c>
      <c r="AC30" s="1210" t="s">
        <v>686</v>
      </c>
      <c r="AD30" s="667" t="s">
        <v>679</v>
      </c>
      <c r="AE30" s="669"/>
      <c r="AF30" s="508">
        <v>40000</v>
      </c>
      <c r="AG30" s="668">
        <f t="shared" si="13"/>
        <v>9984000</v>
      </c>
      <c r="AH30" s="1055">
        <v>5</v>
      </c>
      <c r="AI30" s="1048">
        <f t="shared" ref="AI30" si="24">35000*O30*AH30</f>
        <v>43680000</v>
      </c>
      <c r="AJ30" s="668">
        <f t="shared" si="23"/>
        <v>37440000</v>
      </c>
      <c r="AK30" s="668">
        <f t="shared" ref="AK30:AK35" si="25">300000000*O30/1000</f>
        <v>74880000</v>
      </c>
      <c r="AL30" s="668">
        <f t="shared" ref="AL30:AL35" si="26">1050000000*O30/1000</f>
        <v>262080000</v>
      </c>
      <c r="AM30" s="760" t="s">
        <v>687</v>
      </c>
      <c r="AN30" s="272"/>
      <c r="AO30" s="753"/>
      <c r="AP30" s="272"/>
      <c r="AQ30" s="272"/>
      <c r="AR30" s="272"/>
      <c r="AS30" s="272"/>
      <c r="AT30" s="272"/>
      <c r="AU30" s="272"/>
      <c r="AV30" s="272"/>
      <c r="AW30" s="272"/>
    </row>
    <row r="31" spans="1:49">
      <c r="A31" s="1440"/>
      <c r="B31" s="1304" t="s">
        <v>688</v>
      </c>
      <c r="C31" s="67" t="s">
        <v>689</v>
      </c>
      <c r="D31" s="355" t="s">
        <v>690</v>
      </c>
      <c r="E31" s="349" t="s">
        <v>691</v>
      </c>
      <c r="F31" s="1035"/>
      <c r="G31" s="350" t="s">
        <v>692</v>
      </c>
      <c r="H31" s="1129">
        <v>8.6900000000000005E-2</v>
      </c>
      <c r="I31" s="656">
        <v>9.5600000000000004E-2</v>
      </c>
      <c r="J31" s="656">
        <v>9.6000000000000002E-2</v>
      </c>
      <c r="K31" s="1130">
        <v>365.69</v>
      </c>
      <c r="L31" s="701">
        <v>1360</v>
      </c>
      <c r="M31" s="702">
        <f t="shared" si="21"/>
        <v>3.7260273972602738</v>
      </c>
      <c r="N31" s="325">
        <v>45747</v>
      </c>
      <c r="O31" s="1133">
        <v>264.32</v>
      </c>
      <c r="P31" s="662"/>
      <c r="Q31" s="661">
        <v>45925</v>
      </c>
      <c r="R31" s="662"/>
      <c r="S31" s="663"/>
      <c r="T31" s="661">
        <f t="shared" si="20"/>
        <v>46106</v>
      </c>
      <c r="U31" s="664">
        <v>1</v>
      </c>
      <c r="V31" s="1467"/>
      <c r="W31" s="670">
        <v>6</v>
      </c>
      <c r="X31" s="1035" t="s">
        <v>567</v>
      </c>
      <c r="Y31" s="672" t="s">
        <v>612</v>
      </c>
      <c r="Z31" s="664" t="s">
        <v>515</v>
      </c>
      <c r="AA31" s="664" t="s">
        <v>515</v>
      </c>
      <c r="AB31" s="664" t="s">
        <v>515</v>
      </c>
      <c r="AC31" s="1210" t="s">
        <v>693</v>
      </c>
      <c r="AD31" s="667" t="s">
        <v>679</v>
      </c>
      <c r="AE31" s="669"/>
      <c r="AF31" s="508">
        <v>40000</v>
      </c>
      <c r="AG31" s="668">
        <f t="shared" si="13"/>
        <v>10572800</v>
      </c>
      <c r="AH31" s="1055">
        <v>5</v>
      </c>
      <c r="AI31" s="1048">
        <f>35000*O31*AH31</f>
        <v>46256000</v>
      </c>
      <c r="AJ31" s="668">
        <f t="shared" si="23"/>
        <v>39648000</v>
      </c>
      <c r="AK31" s="668">
        <f t="shared" si="25"/>
        <v>79296000</v>
      </c>
      <c r="AL31" s="668">
        <f t="shared" si="26"/>
        <v>277536000</v>
      </c>
      <c r="AM31" s="760" t="s">
        <v>687</v>
      </c>
      <c r="AN31" s="272"/>
      <c r="AO31" s="753"/>
      <c r="AP31" s="272"/>
      <c r="AQ31" s="272"/>
      <c r="AR31" s="272"/>
      <c r="AS31" s="272"/>
      <c r="AT31" s="272"/>
      <c r="AU31" s="272"/>
      <c r="AV31" s="272"/>
      <c r="AW31" s="272"/>
    </row>
    <row r="32" spans="1:49">
      <c r="A32" s="1440"/>
      <c r="B32" s="1304" t="s">
        <v>694</v>
      </c>
      <c r="C32" s="67" t="s">
        <v>695</v>
      </c>
      <c r="D32" t="s">
        <v>696</v>
      </c>
      <c r="E32" s="349" t="s">
        <v>697</v>
      </c>
      <c r="F32" s="1035"/>
      <c r="G32" s="350" t="s">
        <v>523</v>
      </c>
      <c r="H32" s="1129">
        <v>9.5299999999999996E-2</v>
      </c>
      <c r="I32" s="656">
        <v>9.5600000000000004E-2</v>
      </c>
      <c r="J32" s="656">
        <v>9.6000000000000002E-2</v>
      </c>
      <c r="K32" s="1130" t="s">
        <v>698</v>
      </c>
      <c r="L32" s="701">
        <v>1438</v>
      </c>
      <c r="M32" s="702">
        <f t="shared" si="21"/>
        <v>3.9397260273972603</v>
      </c>
      <c r="N32" s="325">
        <v>45747</v>
      </c>
      <c r="O32" s="1133">
        <v>380.8</v>
      </c>
      <c r="P32" s="662"/>
      <c r="Q32" s="661">
        <v>45925</v>
      </c>
      <c r="R32" s="662"/>
      <c r="S32" s="663"/>
      <c r="T32" s="661">
        <f t="shared" si="20"/>
        <v>46106</v>
      </c>
      <c r="U32" s="664">
        <v>1</v>
      </c>
      <c r="V32" s="1467"/>
      <c r="W32" s="670">
        <v>6</v>
      </c>
      <c r="X32" s="1037" t="s">
        <v>503</v>
      </c>
      <c r="Y32" s="672" t="s">
        <v>612</v>
      </c>
      <c r="Z32" s="664" t="s">
        <v>515</v>
      </c>
      <c r="AA32" s="664" t="s">
        <v>515</v>
      </c>
      <c r="AB32" s="664" t="s">
        <v>515</v>
      </c>
      <c r="AC32" s="1210" t="s">
        <v>699</v>
      </c>
      <c r="AD32" s="667" t="s">
        <v>679</v>
      </c>
      <c r="AE32" s="669"/>
      <c r="AF32" s="508">
        <v>40000</v>
      </c>
      <c r="AG32" s="668">
        <f t="shared" si="13"/>
        <v>15232000</v>
      </c>
      <c r="AH32" s="1055">
        <v>5</v>
      </c>
      <c r="AI32" s="1048">
        <f>35000*O32*AH32</f>
        <v>66640000</v>
      </c>
      <c r="AJ32" s="668">
        <f t="shared" si="23"/>
        <v>57120000</v>
      </c>
      <c r="AK32" s="668">
        <f t="shared" si="25"/>
        <v>114240000</v>
      </c>
      <c r="AL32" s="668">
        <f t="shared" si="26"/>
        <v>399840000</v>
      </c>
      <c r="AM32" s="760" t="s">
        <v>700</v>
      </c>
      <c r="AN32" s="272"/>
      <c r="AO32" s="753"/>
      <c r="AP32" s="272"/>
      <c r="AQ32" s="272"/>
      <c r="AR32" s="272"/>
      <c r="AS32" s="272"/>
      <c r="AT32" s="272"/>
      <c r="AU32" s="272"/>
      <c r="AV32" s="272"/>
      <c r="AW32" s="272"/>
    </row>
    <row r="33" spans="1:49">
      <c r="A33" s="1440"/>
      <c r="B33" s="1304" t="s">
        <v>701</v>
      </c>
      <c r="C33" s="67" t="s">
        <v>702</v>
      </c>
      <c r="D33" s="355" t="s">
        <v>703</v>
      </c>
      <c r="E33" s="349" t="s">
        <v>704</v>
      </c>
      <c r="F33" s="1035"/>
      <c r="G33" s="350" t="s">
        <v>705</v>
      </c>
      <c r="H33" s="1129">
        <v>9.6500000000000002E-2</v>
      </c>
      <c r="I33" s="656">
        <v>9.5600000000000004E-2</v>
      </c>
      <c r="J33" s="656">
        <v>9.6000000000000002E-2</v>
      </c>
      <c r="K33" s="1130">
        <v>806.6</v>
      </c>
      <c r="L33" s="701">
        <v>1449</v>
      </c>
      <c r="M33" s="702">
        <f t="shared" si="21"/>
        <v>3.9698630136986299</v>
      </c>
      <c r="N33" s="325">
        <v>45747</v>
      </c>
      <c r="O33" s="1133">
        <v>560</v>
      </c>
      <c r="P33" s="662"/>
      <c r="Q33" s="661">
        <v>45925</v>
      </c>
      <c r="R33" s="662"/>
      <c r="S33" s="663"/>
      <c r="T33" s="661">
        <f t="shared" si="20"/>
        <v>46106</v>
      </c>
      <c r="U33" s="664">
        <v>1</v>
      </c>
      <c r="V33" s="1467"/>
      <c r="W33" s="670">
        <v>6</v>
      </c>
      <c r="X33" s="1035" t="s">
        <v>685</v>
      </c>
      <c r="Y33" s="672" t="s">
        <v>612</v>
      </c>
      <c r="Z33" s="664" t="s">
        <v>515</v>
      </c>
      <c r="AA33" s="664" t="s">
        <v>515</v>
      </c>
      <c r="AB33" s="664" t="s">
        <v>515</v>
      </c>
      <c r="AC33" s="1210" t="s">
        <v>706</v>
      </c>
      <c r="AD33" s="667" t="s">
        <v>679</v>
      </c>
      <c r="AE33" s="669"/>
      <c r="AF33" s="508">
        <v>40000</v>
      </c>
      <c r="AG33" s="668">
        <f t="shared" si="13"/>
        <v>22400000</v>
      </c>
      <c r="AH33" s="1055">
        <v>5</v>
      </c>
      <c r="AI33" s="1048">
        <f t="shared" ref="AI33:AI35" si="27">35000*O33*AH33</f>
        <v>98000000</v>
      </c>
      <c r="AJ33" s="668">
        <f t="shared" si="23"/>
        <v>84000000</v>
      </c>
      <c r="AK33" s="668">
        <f t="shared" si="25"/>
        <v>168000000</v>
      </c>
      <c r="AL33" s="668">
        <f t="shared" si="26"/>
        <v>588000000</v>
      </c>
      <c r="AM33" s="760" t="s">
        <v>707</v>
      </c>
      <c r="AN33" s="272"/>
      <c r="AO33" s="753"/>
      <c r="AP33" s="272"/>
      <c r="AQ33" s="272"/>
      <c r="AR33" s="272"/>
      <c r="AS33" s="272"/>
      <c r="AT33" s="272"/>
      <c r="AU33" s="272"/>
      <c r="AV33" s="272"/>
      <c r="AW33" s="272"/>
    </row>
    <row r="34" spans="1:49">
      <c r="A34" s="1440"/>
      <c r="B34" s="1304" t="s">
        <v>708</v>
      </c>
      <c r="C34" s="67" t="s">
        <v>709</v>
      </c>
      <c r="D34" s="355" t="s">
        <v>710</v>
      </c>
      <c r="E34" s="533" t="s">
        <v>711</v>
      </c>
      <c r="F34" s="1035"/>
      <c r="G34" s="350" t="s">
        <v>705</v>
      </c>
      <c r="H34" s="1129">
        <v>8.7300000000000003E-2</v>
      </c>
      <c r="I34" s="656">
        <v>9.5600000000000004E-2</v>
      </c>
      <c r="J34" s="656">
        <v>9.6000000000000002E-2</v>
      </c>
      <c r="K34" s="1130">
        <v>756.51</v>
      </c>
      <c r="L34" s="701">
        <v>1362</v>
      </c>
      <c r="M34" s="702">
        <f t="shared" si="21"/>
        <v>3.7315068493150685</v>
      </c>
      <c r="N34" s="325">
        <v>45747</v>
      </c>
      <c r="O34" s="1133">
        <v>556.16</v>
      </c>
      <c r="P34" s="662"/>
      <c r="Q34" s="661">
        <v>45925</v>
      </c>
      <c r="R34" s="662"/>
      <c r="S34" s="663"/>
      <c r="T34" s="661">
        <f t="shared" si="20"/>
        <v>46106</v>
      </c>
      <c r="U34" s="664">
        <v>1</v>
      </c>
      <c r="V34" s="1467"/>
      <c r="W34" s="670">
        <v>6</v>
      </c>
      <c r="X34" s="1035" t="s">
        <v>567</v>
      </c>
      <c r="Y34" s="672" t="s">
        <v>612</v>
      </c>
      <c r="Z34" s="664" t="s">
        <v>515</v>
      </c>
      <c r="AA34" s="664" t="s">
        <v>515</v>
      </c>
      <c r="AB34" s="664" t="s">
        <v>515</v>
      </c>
      <c r="AC34" s="1210" t="s">
        <v>712</v>
      </c>
      <c r="AD34" s="667" t="s">
        <v>679</v>
      </c>
      <c r="AE34" s="669"/>
      <c r="AF34" s="508">
        <v>40000</v>
      </c>
      <c r="AG34" s="668">
        <f t="shared" si="13"/>
        <v>22246400</v>
      </c>
      <c r="AH34" s="1055">
        <v>5</v>
      </c>
      <c r="AI34" s="1048">
        <f t="shared" si="27"/>
        <v>97328000</v>
      </c>
      <c r="AJ34" s="668">
        <f t="shared" si="23"/>
        <v>83424000</v>
      </c>
      <c r="AK34" s="668">
        <f t="shared" si="25"/>
        <v>166848000</v>
      </c>
      <c r="AL34" s="668">
        <f t="shared" si="26"/>
        <v>583968000</v>
      </c>
      <c r="AM34" s="760" t="s">
        <v>713</v>
      </c>
      <c r="AN34" s="272"/>
      <c r="AO34" s="753"/>
      <c r="AP34" s="272"/>
      <c r="AQ34" s="272"/>
      <c r="AR34" s="272"/>
      <c r="AS34" s="272"/>
      <c r="AT34" s="272"/>
      <c r="AU34" s="272"/>
      <c r="AV34" s="272"/>
      <c r="AW34" s="272"/>
    </row>
    <row r="35" spans="1:49">
      <c r="A35" s="1443"/>
      <c r="B35" s="1313" t="s">
        <v>714</v>
      </c>
      <c r="C35" s="719" t="s">
        <v>715</v>
      </c>
      <c r="D35" s="1314" t="s">
        <v>716</v>
      </c>
      <c r="E35" s="1296" t="s">
        <v>717</v>
      </c>
      <c r="F35" s="1119"/>
      <c r="G35" s="720" t="s">
        <v>705</v>
      </c>
      <c r="H35" s="1297">
        <v>9.1899999999999996E-2</v>
      </c>
      <c r="I35" s="1298">
        <v>9.5600000000000004E-2</v>
      </c>
      <c r="J35" s="1298">
        <v>9.6000000000000002E-2</v>
      </c>
      <c r="K35" s="1131">
        <v>742.33900000000006</v>
      </c>
      <c r="L35" s="1031">
        <v>1410</v>
      </c>
      <c r="M35" s="747">
        <f t="shared" si="21"/>
        <v>3.8630136986301369</v>
      </c>
      <c r="N35" s="722">
        <v>45747</v>
      </c>
      <c r="O35" s="1157">
        <v>188.16</v>
      </c>
      <c r="P35" s="690"/>
      <c r="Q35" s="748">
        <v>45925</v>
      </c>
      <c r="R35" s="690"/>
      <c r="S35" s="691"/>
      <c r="T35" s="748">
        <f t="shared" si="20"/>
        <v>46106</v>
      </c>
      <c r="U35" s="693">
        <v>1</v>
      </c>
      <c r="V35" s="1469"/>
      <c r="W35" s="695">
        <v>6</v>
      </c>
      <c r="X35" s="1119" t="s">
        <v>541</v>
      </c>
      <c r="Y35" s="1299" t="s">
        <v>612</v>
      </c>
      <c r="Z35" s="693" t="s">
        <v>515</v>
      </c>
      <c r="AA35" s="693" t="s">
        <v>515</v>
      </c>
      <c r="AB35" s="693" t="s">
        <v>515</v>
      </c>
      <c r="AC35" s="1214" t="s">
        <v>718</v>
      </c>
      <c r="AD35" s="696" t="s">
        <v>679</v>
      </c>
      <c r="AE35" s="698"/>
      <c r="AF35" s="731">
        <v>40000</v>
      </c>
      <c r="AG35" s="697">
        <f t="shared" si="13"/>
        <v>7526400</v>
      </c>
      <c r="AH35" s="1059">
        <v>5</v>
      </c>
      <c r="AI35" s="1300">
        <f t="shared" si="27"/>
        <v>32928000</v>
      </c>
      <c r="AJ35" s="697">
        <f t="shared" si="23"/>
        <v>28224000</v>
      </c>
      <c r="AK35" s="697">
        <f t="shared" si="25"/>
        <v>56448000</v>
      </c>
      <c r="AL35" s="697">
        <f t="shared" si="26"/>
        <v>197568000</v>
      </c>
      <c r="AM35" s="1573" t="s">
        <v>719</v>
      </c>
      <c r="AN35" s="272"/>
      <c r="AO35" s="753"/>
      <c r="AP35" s="272"/>
      <c r="AQ35" s="272"/>
      <c r="AR35" s="272"/>
      <c r="AS35" s="272"/>
      <c r="AT35" s="272"/>
      <c r="AU35" s="272"/>
      <c r="AV35" s="272"/>
      <c r="AW35" s="272"/>
    </row>
    <row r="36" spans="1:49" ht="13.5" customHeight="1">
      <c r="A36" s="1359" t="s">
        <v>720</v>
      </c>
      <c r="B36" s="1360"/>
      <c r="C36" s="1088"/>
      <c r="D36" s="1108"/>
      <c r="E36" s="1361"/>
      <c r="F36" s="1362"/>
      <c r="G36" s="1363"/>
      <c r="H36" s="1364"/>
      <c r="I36" s="1364"/>
      <c r="J36" s="1364"/>
      <c r="K36" s="1365"/>
      <c r="L36" s="1366"/>
      <c r="M36" s="1367"/>
      <c r="N36" s="1368"/>
      <c r="O36" s="1365"/>
      <c r="P36" s="1368"/>
      <c r="Q36" s="1369"/>
      <c r="R36" s="1368"/>
      <c r="S36" s="1370"/>
      <c r="T36" s="1369"/>
      <c r="U36" s="1363"/>
      <c r="V36" s="1470"/>
      <c r="W36" s="1371"/>
      <c r="X36" s="1362"/>
      <c r="Y36" s="1362"/>
      <c r="Z36" s="1363"/>
      <c r="AA36" s="1363"/>
      <c r="AB36" s="1363"/>
      <c r="AC36" s="1372"/>
      <c r="AD36" s="1089"/>
      <c r="AE36" s="1373"/>
      <c r="AF36" s="1111"/>
      <c r="AG36" s="1374"/>
      <c r="AH36" s="1375"/>
      <c r="AI36" s="1376"/>
      <c r="AJ36" s="1374"/>
      <c r="AK36" s="1374"/>
      <c r="AL36" s="1374"/>
      <c r="AM36" s="1377"/>
      <c r="AN36" s="272"/>
      <c r="AO36" s="753"/>
      <c r="AP36" s="272"/>
      <c r="AQ36" s="272"/>
      <c r="AR36" s="272"/>
      <c r="AS36" s="272"/>
      <c r="AT36" s="272"/>
      <c r="AU36" s="272"/>
      <c r="AV36" s="272"/>
      <c r="AW36" s="272"/>
    </row>
    <row r="37" spans="1:49" ht="13.5" customHeight="1">
      <c r="A37" s="1359">
        <f>SUM(A11,A27)</f>
        <v>16191.235000000001</v>
      </c>
      <c r="B37" s="1378"/>
      <c r="C37" s="469"/>
      <c r="D37" s="193"/>
      <c r="E37" s="1379"/>
      <c r="F37" s="1380"/>
      <c r="G37" s="1284"/>
      <c r="H37" s="1381"/>
      <c r="I37" s="1381"/>
      <c r="J37" s="1381"/>
      <c r="K37" s="1382"/>
      <c r="L37" s="1383"/>
      <c r="M37" s="1384"/>
      <c r="N37" s="576"/>
      <c r="O37" s="1382"/>
      <c r="P37" s="576"/>
      <c r="Q37" s="1385"/>
      <c r="R37" s="576"/>
      <c r="S37" s="574"/>
      <c r="T37" s="1385"/>
      <c r="U37" s="1284"/>
      <c r="V37" s="1471"/>
      <c r="W37" s="1386"/>
      <c r="X37" s="1380"/>
      <c r="Y37" s="1380"/>
      <c r="Z37" s="1284"/>
      <c r="AA37" s="1284"/>
      <c r="AB37" s="1284"/>
      <c r="AC37" s="1387"/>
      <c r="AD37" s="491"/>
      <c r="AE37" s="1388"/>
      <c r="AF37" s="1389"/>
      <c r="AG37" s="1390"/>
      <c r="AH37" s="1391"/>
      <c r="AI37" s="1392"/>
      <c r="AJ37" s="1390"/>
      <c r="AK37" s="1390"/>
      <c r="AL37" s="1390"/>
      <c r="AM37" s="1393"/>
      <c r="AN37" s="272"/>
      <c r="AO37" s="753"/>
      <c r="AP37" s="272"/>
      <c r="AQ37" s="272"/>
      <c r="AR37" s="272"/>
      <c r="AS37" s="272"/>
      <c r="AT37" s="272"/>
      <c r="AU37" s="272"/>
      <c r="AV37" s="272"/>
      <c r="AW37" s="272"/>
    </row>
    <row r="38" spans="1:49" ht="16.5" customHeight="1">
      <c r="A38" s="1446"/>
      <c r="B38" s="1396" t="s">
        <v>721</v>
      </c>
      <c r="C38" s="67" t="s">
        <v>722</v>
      </c>
      <c r="D38" s="355" t="s">
        <v>723</v>
      </c>
      <c r="E38" s="349"/>
      <c r="F38" s="664" t="s">
        <v>554</v>
      </c>
      <c r="G38" s="350" t="s">
        <v>724</v>
      </c>
      <c r="H38" s="1395">
        <v>8.9499999999999996E-2</v>
      </c>
      <c r="I38" s="1395">
        <v>9.5600000000000004E-2</v>
      </c>
      <c r="J38" s="1395">
        <v>9.6000000000000002E-2</v>
      </c>
      <c r="K38" s="969">
        <v>168.76870000000002</v>
      </c>
      <c r="L38" s="701">
        <v>1385</v>
      </c>
      <c r="M38" s="702">
        <f>L38/365</f>
        <v>3.7945205479452055</v>
      </c>
      <c r="N38" s="325">
        <v>45761</v>
      </c>
      <c r="O38" s="1574">
        <v>122</v>
      </c>
      <c r="P38" s="662"/>
      <c r="Q38" s="661">
        <v>45925</v>
      </c>
      <c r="R38" s="662"/>
      <c r="S38" s="663"/>
      <c r="T38" s="661">
        <f>+EDATE(Q38,6)</f>
        <v>46106</v>
      </c>
      <c r="U38" s="664">
        <v>1</v>
      </c>
      <c r="V38" s="1467">
        <f t="shared" ref="V38:V49" si="28">+O38*40000000/1000</f>
        <v>4880000</v>
      </c>
      <c r="W38" s="670">
        <v>6</v>
      </c>
      <c r="X38" s="1035" t="s">
        <v>541</v>
      </c>
      <c r="Y38" s="666" t="s">
        <v>504</v>
      </c>
      <c r="Z38" s="664" t="s">
        <v>515</v>
      </c>
      <c r="AA38" s="664" t="s">
        <v>515</v>
      </c>
      <c r="AB38" s="664" t="s">
        <v>515</v>
      </c>
      <c r="AC38" s="1481" t="s">
        <v>725</v>
      </c>
      <c r="AD38" s="667" t="s">
        <v>679</v>
      </c>
      <c r="AE38" s="669"/>
      <c r="AF38" s="594">
        <v>40000</v>
      </c>
      <c r="AG38" s="1043">
        <f t="shared" ref="AG38:AG49" si="29">+AF38*O38</f>
        <v>4880000</v>
      </c>
      <c r="AH38" s="1056">
        <v>5</v>
      </c>
      <c r="AI38" s="1049">
        <f t="shared" ref="AI38" si="30">35000*O38*AH38</f>
        <v>21350000</v>
      </c>
      <c r="AJ38" s="668">
        <f t="shared" ref="AJ38" si="31">150000000*O38/1000</f>
        <v>18300000</v>
      </c>
      <c r="AK38" s="1043">
        <f t="shared" ref="AK38" si="32">300000000*O38/1000</f>
        <v>36600000</v>
      </c>
      <c r="AL38" s="1043">
        <f t="shared" ref="AL38" si="33">1050000000*O38/1000</f>
        <v>128100000</v>
      </c>
      <c r="AM38" s="1568" t="s">
        <v>726</v>
      </c>
      <c r="AN38" s="272"/>
      <c r="AO38" s="753"/>
      <c r="AP38" s="272"/>
      <c r="AQ38" s="272"/>
      <c r="AR38" s="272"/>
      <c r="AS38" s="272"/>
      <c r="AT38" s="272"/>
      <c r="AU38" s="272"/>
      <c r="AV38" s="272"/>
      <c r="AW38" s="272"/>
    </row>
    <row r="39" spans="1:49" ht="16.5" customHeight="1">
      <c r="A39" s="1358"/>
      <c r="B39" s="1396" t="s">
        <v>727</v>
      </c>
      <c r="C39" s="67" t="s">
        <v>728</v>
      </c>
      <c r="D39" s="355" t="s">
        <v>729</v>
      </c>
      <c r="E39" s="349"/>
      <c r="F39" s="664" t="s">
        <v>554</v>
      </c>
      <c r="G39" s="350" t="s">
        <v>730</v>
      </c>
      <c r="H39" s="1395">
        <v>9.4500000000000001E-2</v>
      </c>
      <c r="I39" s="1395">
        <v>9.5600000000000004E-2</v>
      </c>
      <c r="J39" s="1395">
        <v>9.6000000000000002E-2</v>
      </c>
      <c r="K39" s="969">
        <v>246.0976</v>
      </c>
      <c r="L39" s="701">
        <v>1430.8</v>
      </c>
      <c r="M39" s="702">
        <f>L39/365</f>
        <v>3.92</v>
      </c>
      <c r="N39" s="325">
        <v>45761</v>
      </c>
      <c r="O39" s="1574">
        <v>172</v>
      </c>
      <c r="P39" s="662"/>
      <c r="Q39" s="661">
        <v>45925</v>
      </c>
      <c r="R39" s="662"/>
      <c r="S39" s="663"/>
      <c r="T39" s="661">
        <f>+EDATE(Q39,6)</f>
        <v>46106</v>
      </c>
      <c r="U39" s="664">
        <v>1</v>
      </c>
      <c r="V39" s="1467">
        <f t="shared" si="28"/>
        <v>6880000</v>
      </c>
      <c r="W39" s="670">
        <v>6</v>
      </c>
      <c r="X39" s="1035" t="s">
        <v>541</v>
      </c>
      <c r="Y39" s="666" t="s">
        <v>504</v>
      </c>
      <c r="Z39" s="664" t="s">
        <v>515</v>
      </c>
      <c r="AA39" s="664" t="s">
        <v>515</v>
      </c>
      <c r="AB39" s="664" t="s">
        <v>515</v>
      </c>
      <c r="AC39" s="1481" t="s">
        <v>731</v>
      </c>
      <c r="AD39" s="667" t="s">
        <v>679</v>
      </c>
      <c r="AE39" s="669"/>
      <c r="AF39" s="594">
        <v>40000</v>
      </c>
      <c r="AG39" s="1043">
        <f t="shared" si="29"/>
        <v>6880000</v>
      </c>
      <c r="AH39" s="1056">
        <v>5</v>
      </c>
      <c r="AI39" s="1049">
        <f t="shared" ref="AI39" si="34">35000*O39*AH39</f>
        <v>30100000</v>
      </c>
      <c r="AJ39" s="668">
        <f t="shared" ref="AJ39" si="35">150000000*O39/1000</f>
        <v>25800000</v>
      </c>
      <c r="AK39" s="1043">
        <f t="shared" ref="AK39" si="36">300000000*O39/1000</f>
        <v>51600000</v>
      </c>
      <c r="AL39" s="1043">
        <f t="shared" ref="AL39" si="37">1050000000*O39/1000</f>
        <v>180600000</v>
      </c>
      <c r="AM39" s="1568" t="s">
        <v>726</v>
      </c>
      <c r="AN39" s="272"/>
      <c r="AO39" s="753"/>
      <c r="AP39" s="272"/>
      <c r="AQ39" s="272"/>
      <c r="AR39" s="272"/>
      <c r="AS39" s="272"/>
      <c r="AT39" s="272"/>
      <c r="AU39" s="272"/>
      <c r="AV39" s="272"/>
      <c r="AW39" s="272"/>
    </row>
    <row r="40" spans="1:49" ht="16.5" customHeight="1">
      <c r="A40" s="1358"/>
      <c r="B40" s="1396" t="s">
        <v>732</v>
      </c>
      <c r="C40" s="67" t="s">
        <v>733</v>
      </c>
      <c r="D40" s="355" t="s">
        <v>734</v>
      </c>
      <c r="E40" s="349"/>
      <c r="F40" s="664" t="s">
        <v>735</v>
      </c>
      <c r="G40" s="350" t="s">
        <v>736</v>
      </c>
      <c r="H40" s="1395">
        <v>0.1065</v>
      </c>
      <c r="I40" s="1395">
        <v>9.5600000000000004E-2</v>
      </c>
      <c r="J40" s="1395">
        <v>9.6000000000000002E-2</v>
      </c>
      <c r="K40" s="969">
        <v>359.89</v>
      </c>
      <c r="L40" s="701">
        <v>1547</v>
      </c>
      <c r="M40" s="702">
        <f>L40/365</f>
        <v>4.2383561643835614</v>
      </c>
      <c r="N40" s="325">
        <v>45761</v>
      </c>
      <c r="O40" s="1574">
        <v>232.32</v>
      </c>
      <c r="P40" s="662"/>
      <c r="Q40" s="661">
        <v>45925</v>
      </c>
      <c r="R40" s="662"/>
      <c r="S40" s="663"/>
      <c r="T40" s="661">
        <f>+EDATE(Q40,6)</f>
        <v>46106</v>
      </c>
      <c r="U40" s="664">
        <v>1</v>
      </c>
      <c r="V40" s="1467">
        <f t="shared" si="28"/>
        <v>9292800</v>
      </c>
      <c r="W40" s="670">
        <v>6</v>
      </c>
      <c r="X40" s="1035" t="s">
        <v>524</v>
      </c>
      <c r="Y40" s="672" t="s">
        <v>612</v>
      </c>
      <c r="Z40" s="664" t="s">
        <v>515</v>
      </c>
      <c r="AA40" s="664" t="s">
        <v>515</v>
      </c>
      <c r="AB40" s="664" t="s">
        <v>515</v>
      </c>
      <c r="AC40" s="1481" t="s">
        <v>737</v>
      </c>
      <c r="AD40" s="667" t="s">
        <v>679</v>
      </c>
      <c r="AE40" s="669"/>
      <c r="AF40" s="594">
        <v>40000</v>
      </c>
      <c r="AG40" s="1043">
        <f>+AF40*232</f>
        <v>9280000</v>
      </c>
      <c r="AH40" s="1056">
        <v>5</v>
      </c>
      <c r="AI40" s="1049">
        <f>35000*232*AH40</f>
        <v>40600000</v>
      </c>
      <c r="AJ40" s="668">
        <f t="shared" ref="AJ40" si="38">150000000*O40/1000</f>
        <v>34848000</v>
      </c>
      <c r="AK40" s="1043">
        <f t="shared" ref="AK40" si="39">300000000*O40/1000</f>
        <v>69696000</v>
      </c>
      <c r="AL40" s="1043">
        <f t="shared" ref="AL40" si="40">1050000000*O40/1000</f>
        <v>243936000</v>
      </c>
      <c r="AM40" s="760" t="s">
        <v>738</v>
      </c>
      <c r="AN40" s="272"/>
      <c r="AO40" s="753"/>
      <c r="AP40" s="272"/>
      <c r="AQ40" s="272"/>
      <c r="AR40" s="272"/>
      <c r="AS40" s="272"/>
      <c r="AT40" s="272"/>
      <c r="AU40" s="272"/>
      <c r="AV40" s="272"/>
      <c r="AW40" s="272"/>
    </row>
    <row r="41" spans="1:49" ht="16.5" customHeight="1">
      <c r="A41" s="1358"/>
      <c r="B41" s="1569" t="s">
        <v>739</v>
      </c>
      <c r="C41" s="67" t="s">
        <v>740</v>
      </c>
      <c r="D41" s="355" t="s">
        <v>741</v>
      </c>
      <c r="E41" s="349"/>
      <c r="F41" s="664" t="s">
        <v>735</v>
      </c>
      <c r="G41" s="350" t="s">
        <v>742</v>
      </c>
      <c r="H41" s="1395" t="s">
        <v>742</v>
      </c>
      <c r="I41" s="1395"/>
      <c r="J41" s="1395"/>
      <c r="K41" s="969">
        <v>1940.5150000000001</v>
      </c>
      <c r="L41" s="701">
        <v>1554.8999999999999</v>
      </c>
      <c r="M41" s="702">
        <f t="shared" ref="M41:M46" si="41">L41/365</f>
        <v>4.26</v>
      </c>
      <c r="N41" s="325">
        <v>45768</v>
      </c>
      <c r="O41" s="1574">
        <v>1248</v>
      </c>
      <c r="P41" s="662"/>
      <c r="Q41" s="1518">
        <v>45931</v>
      </c>
      <c r="R41" s="662"/>
      <c r="S41" s="663"/>
      <c r="T41" s="661"/>
      <c r="U41" s="664">
        <v>1</v>
      </c>
      <c r="V41" s="1467">
        <f t="shared" si="28"/>
        <v>49920000</v>
      </c>
      <c r="W41" s="670">
        <v>6</v>
      </c>
      <c r="X41" s="1035" t="s">
        <v>743</v>
      </c>
      <c r="Y41" s="672" t="s">
        <v>744</v>
      </c>
      <c r="Z41" s="664" t="s">
        <v>575</v>
      </c>
      <c r="AA41" s="664" t="s">
        <v>515</v>
      </c>
      <c r="AB41" s="664" t="s">
        <v>515</v>
      </c>
      <c r="AC41" s="1572" t="s">
        <v>745</v>
      </c>
      <c r="AD41" s="667" t="s">
        <v>679</v>
      </c>
      <c r="AE41" s="669"/>
      <c r="AF41" s="594">
        <v>40000</v>
      </c>
      <c r="AG41" s="1043">
        <f t="shared" ref="AG41:AG46" si="42">+AF41*O41</f>
        <v>49920000</v>
      </c>
      <c r="AH41" s="1055">
        <v>5</v>
      </c>
      <c r="AI41" s="1049">
        <f>35000*O41*AH41</f>
        <v>218400000</v>
      </c>
      <c r="AJ41" s="668">
        <f t="shared" ref="AJ41:AJ46" si="43">150000000*O41/1000</f>
        <v>187200000</v>
      </c>
      <c r="AK41" s="1043">
        <f t="shared" ref="AK41:AK46" si="44">300000000*O41/1000</f>
        <v>374400000</v>
      </c>
      <c r="AL41" s="1043">
        <f t="shared" ref="AL41:AL46" si="45">1050000000*O41/1000</f>
        <v>1310400000</v>
      </c>
      <c r="AM41" s="760" t="s">
        <v>746</v>
      </c>
      <c r="AN41" s="272"/>
      <c r="AO41" s="753"/>
      <c r="AP41" s="272"/>
      <c r="AQ41" s="272"/>
      <c r="AR41" s="272"/>
      <c r="AS41" s="272"/>
      <c r="AT41" s="272"/>
      <c r="AU41" s="272"/>
      <c r="AV41" s="272"/>
      <c r="AW41" s="272"/>
    </row>
    <row r="42" spans="1:49" ht="16.5" customHeight="1">
      <c r="A42" s="1358"/>
      <c r="B42" s="1569" t="s">
        <v>747</v>
      </c>
      <c r="C42" s="67" t="s">
        <v>748</v>
      </c>
      <c r="D42" s="355" t="s">
        <v>749</v>
      </c>
      <c r="E42" s="349"/>
      <c r="F42" s="664" t="s">
        <v>735</v>
      </c>
      <c r="G42" s="350" t="s">
        <v>742</v>
      </c>
      <c r="H42" s="1395" t="s">
        <v>742</v>
      </c>
      <c r="I42" s="1395"/>
      <c r="J42" s="1395"/>
      <c r="K42" s="969">
        <v>2975.7719999999999</v>
      </c>
      <c r="L42" s="701">
        <v>1441.75</v>
      </c>
      <c r="M42" s="702">
        <f t="shared" si="41"/>
        <v>3.95</v>
      </c>
      <c r="N42" s="325">
        <v>45768</v>
      </c>
      <c r="O42" s="1574">
        <v>2064</v>
      </c>
      <c r="P42" s="662"/>
      <c r="Q42" s="1518">
        <v>45931</v>
      </c>
      <c r="R42" s="662"/>
      <c r="S42" s="663"/>
      <c r="T42" s="661"/>
      <c r="U42" s="664">
        <v>1</v>
      </c>
      <c r="V42" s="1467">
        <f t="shared" si="28"/>
        <v>82560000</v>
      </c>
      <c r="W42" s="670">
        <v>6</v>
      </c>
      <c r="X42" s="1037" t="s">
        <v>750</v>
      </c>
      <c r="Y42" s="672" t="s">
        <v>744</v>
      </c>
      <c r="Z42" s="664" t="s">
        <v>575</v>
      </c>
      <c r="AA42" s="664" t="s">
        <v>515</v>
      </c>
      <c r="AB42" s="664" t="s">
        <v>515</v>
      </c>
      <c r="AC42" s="1570" t="s">
        <v>751</v>
      </c>
      <c r="AD42" s="667" t="s">
        <v>679</v>
      </c>
      <c r="AE42" s="669"/>
      <c r="AF42" s="594">
        <v>40000</v>
      </c>
      <c r="AG42" s="1043">
        <f t="shared" si="42"/>
        <v>82560000</v>
      </c>
      <c r="AH42" s="1055">
        <v>5</v>
      </c>
      <c r="AI42" s="1049">
        <f>35000*O42*AH42</f>
        <v>361200000</v>
      </c>
      <c r="AJ42" s="668">
        <f t="shared" si="43"/>
        <v>309600000</v>
      </c>
      <c r="AK42" s="1043">
        <f t="shared" si="44"/>
        <v>619200000</v>
      </c>
      <c r="AL42" s="1043">
        <f t="shared" si="45"/>
        <v>2167200000</v>
      </c>
      <c r="AM42" s="760" t="s">
        <v>752</v>
      </c>
      <c r="AN42" s="272"/>
      <c r="AO42" s="753"/>
      <c r="AP42" s="272"/>
      <c r="AQ42" s="272"/>
      <c r="AR42" s="272"/>
      <c r="AS42" s="272"/>
      <c r="AT42" s="272"/>
      <c r="AU42" s="272"/>
      <c r="AV42" s="272"/>
      <c r="AW42" s="272"/>
    </row>
    <row r="43" spans="1:49" ht="16.5" customHeight="1">
      <c r="A43" s="1358"/>
      <c r="B43" s="1569" t="s">
        <v>753</v>
      </c>
      <c r="C43" s="67" t="s">
        <v>754</v>
      </c>
      <c r="D43" s="355" t="s">
        <v>755</v>
      </c>
      <c r="E43" s="349"/>
      <c r="F43" s="664" t="s">
        <v>735</v>
      </c>
      <c r="G43" s="350" t="s">
        <v>756</v>
      </c>
      <c r="H43" s="1395" t="s">
        <v>742</v>
      </c>
      <c r="I43" s="1395"/>
      <c r="J43" s="1395"/>
      <c r="K43" s="969">
        <v>574.70709999999997</v>
      </c>
      <c r="L43" s="701">
        <v>1536.65</v>
      </c>
      <c r="M43" s="702">
        <f t="shared" si="41"/>
        <v>4.21</v>
      </c>
      <c r="N43" s="325">
        <v>45768</v>
      </c>
      <c r="O43" s="1574">
        <v>374</v>
      </c>
      <c r="P43" s="662"/>
      <c r="Q43" s="1518">
        <v>45931</v>
      </c>
      <c r="R43" s="662"/>
      <c r="S43" s="663"/>
      <c r="T43" s="661"/>
      <c r="U43" s="664">
        <v>1</v>
      </c>
      <c r="V43" s="1467">
        <f t="shared" si="28"/>
        <v>14960000</v>
      </c>
      <c r="W43" s="670">
        <v>6</v>
      </c>
      <c r="X43" s="1037" t="s">
        <v>503</v>
      </c>
      <c r="Y43" s="672" t="s">
        <v>744</v>
      </c>
      <c r="Z43" s="664" t="s">
        <v>575</v>
      </c>
      <c r="AA43" s="664" t="s">
        <v>515</v>
      </c>
      <c r="AB43" s="664" t="s">
        <v>515</v>
      </c>
      <c r="AC43" s="1571" t="s">
        <v>757</v>
      </c>
      <c r="AD43" s="667" t="s">
        <v>679</v>
      </c>
      <c r="AE43" s="669"/>
      <c r="AF43" s="594">
        <v>40000</v>
      </c>
      <c r="AG43" s="1043">
        <f t="shared" si="42"/>
        <v>14960000</v>
      </c>
      <c r="AH43" s="1055">
        <v>5</v>
      </c>
      <c r="AI43" s="1049">
        <f>+AG43*AH43</f>
        <v>74800000</v>
      </c>
      <c r="AJ43" s="668">
        <f t="shared" si="43"/>
        <v>56100000</v>
      </c>
      <c r="AK43" s="1043">
        <f t="shared" si="44"/>
        <v>112200000</v>
      </c>
      <c r="AL43" s="1043">
        <f t="shared" si="45"/>
        <v>392700000</v>
      </c>
      <c r="AM43" s="1568" t="s">
        <v>758</v>
      </c>
      <c r="AN43" s="272"/>
      <c r="AO43" s="753"/>
      <c r="AP43" s="272"/>
      <c r="AQ43" s="272"/>
      <c r="AR43" s="272"/>
      <c r="AS43" s="272"/>
      <c r="AT43" s="272"/>
      <c r="AU43" s="272"/>
      <c r="AV43" s="272"/>
      <c r="AW43" s="272"/>
    </row>
    <row r="44" spans="1:49" ht="16.5" customHeight="1">
      <c r="A44" s="1358"/>
      <c r="B44" s="1396" t="s">
        <v>759</v>
      </c>
      <c r="C44" s="67" t="s">
        <v>760</v>
      </c>
      <c r="D44" s="355" t="s">
        <v>761</v>
      </c>
      <c r="E44" s="349"/>
      <c r="F44" s="664" t="s">
        <v>735</v>
      </c>
      <c r="G44" s="350" t="s">
        <v>762</v>
      </c>
      <c r="H44" s="1395" t="s">
        <v>742</v>
      </c>
      <c r="I44" s="1395"/>
      <c r="J44" s="1395"/>
      <c r="K44" s="969">
        <v>233.75899999999999</v>
      </c>
      <c r="L44" s="701">
        <v>1416.2</v>
      </c>
      <c r="M44" s="702">
        <f t="shared" si="41"/>
        <v>3.8800000000000003</v>
      </c>
      <c r="N44" s="325">
        <v>45775</v>
      </c>
      <c r="O44" s="1574">
        <v>158</v>
      </c>
      <c r="P44" s="662"/>
      <c r="Q44" s="1518">
        <v>45962</v>
      </c>
      <c r="R44" s="662"/>
      <c r="S44" s="663"/>
      <c r="T44" s="661"/>
      <c r="U44" s="664">
        <v>1</v>
      </c>
      <c r="V44" s="1467">
        <f t="shared" si="28"/>
        <v>6320000</v>
      </c>
      <c r="W44" s="670">
        <v>6</v>
      </c>
      <c r="X44" s="1035" t="s">
        <v>541</v>
      </c>
      <c r="Y44" s="672" t="s">
        <v>744</v>
      </c>
      <c r="Z44" s="664" t="s">
        <v>575</v>
      </c>
      <c r="AA44" s="664" t="s">
        <v>515</v>
      </c>
      <c r="AB44" s="664" t="s">
        <v>515</v>
      </c>
      <c r="AC44" s="1570" t="s">
        <v>763</v>
      </c>
      <c r="AD44" s="667" t="s">
        <v>679</v>
      </c>
      <c r="AE44" s="669"/>
      <c r="AF44" s="594">
        <v>40000</v>
      </c>
      <c r="AG44" s="1043">
        <f t="shared" si="42"/>
        <v>6320000</v>
      </c>
      <c r="AH44" s="1055">
        <v>5</v>
      </c>
      <c r="AI44" s="1049">
        <f>35000*O44*AH44</f>
        <v>27650000</v>
      </c>
      <c r="AJ44" s="668">
        <f t="shared" si="43"/>
        <v>23700000</v>
      </c>
      <c r="AK44" s="1043">
        <f t="shared" si="44"/>
        <v>47400000</v>
      </c>
      <c r="AL44" s="1043">
        <f t="shared" si="45"/>
        <v>165900000</v>
      </c>
      <c r="AM44" s="760" t="s">
        <v>764</v>
      </c>
      <c r="AN44" s="272"/>
      <c r="AO44" s="753"/>
      <c r="AP44" s="272"/>
      <c r="AQ44" s="272"/>
      <c r="AR44" s="272"/>
      <c r="AS44" s="272"/>
      <c r="AT44" s="272"/>
      <c r="AU44" s="272"/>
      <c r="AV44" s="272"/>
      <c r="AW44" s="272"/>
    </row>
    <row r="45" spans="1:49" ht="16.5" customHeight="1">
      <c r="A45" s="1358"/>
      <c r="B45" s="1569" t="s">
        <v>765</v>
      </c>
      <c r="C45" s="67" t="s">
        <v>766</v>
      </c>
      <c r="D45" s="355" t="s">
        <v>767</v>
      </c>
      <c r="E45" s="349"/>
      <c r="F45" s="664" t="s">
        <v>735</v>
      </c>
      <c r="G45" s="350" t="s">
        <v>768</v>
      </c>
      <c r="H45" s="1395" t="s">
        <v>742</v>
      </c>
      <c r="I45" s="1395"/>
      <c r="J45" s="1395"/>
      <c r="K45" s="969">
        <v>1296.133</v>
      </c>
      <c r="L45" s="701">
        <v>1441.75</v>
      </c>
      <c r="M45" s="702">
        <f t="shared" si="41"/>
        <v>3.95</v>
      </c>
      <c r="N45" s="325">
        <v>45775</v>
      </c>
      <c r="O45" s="1574">
        <v>899</v>
      </c>
      <c r="P45" s="662"/>
      <c r="Q45" s="1518">
        <v>45962</v>
      </c>
      <c r="R45" s="662"/>
      <c r="S45" s="663"/>
      <c r="T45" s="661"/>
      <c r="U45" s="664">
        <v>1</v>
      </c>
      <c r="V45" s="1467">
        <f t="shared" si="28"/>
        <v>35960000</v>
      </c>
      <c r="W45" s="670">
        <v>6</v>
      </c>
      <c r="X45" s="1035" t="s">
        <v>541</v>
      </c>
      <c r="Y45" s="672" t="s">
        <v>744</v>
      </c>
      <c r="Z45" s="664" t="s">
        <v>575</v>
      </c>
      <c r="AA45" s="664" t="s">
        <v>515</v>
      </c>
      <c r="AB45" s="664" t="s">
        <v>515</v>
      </c>
      <c r="AC45" s="1570" t="s">
        <v>769</v>
      </c>
      <c r="AD45" s="667" t="s">
        <v>679</v>
      </c>
      <c r="AE45" s="669"/>
      <c r="AF45" s="594">
        <v>40000</v>
      </c>
      <c r="AG45" s="1043">
        <f t="shared" si="42"/>
        <v>35960000</v>
      </c>
      <c r="AH45" s="1055">
        <v>5</v>
      </c>
      <c r="AI45" s="1049">
        <f>35000*O45*AH45</f>
        <v>157325000</v>
      </c>
      <c r="AJ45" s="668">
        <f t="shared" si="43"/>
        <v>134850000</v>
      </c>
      <c r="AK45" s="1043">
        <f t="shared" si="44"/>
        <v>269700000</v>
      </c>
      <c r="AL45" s="1043">
        <f t="shared" si="45"/>
        <v>943950000</v>
      </c>
      <c r="AM45" s="760" t="s">
        <v>764</v>
      </c>
      <c r="AN45" s="272"/>
      <c r="AO45" s="753"/>
      <c r="AP45" s="272"/>
      <c r="AQ45" s="272"/>
      <c r="AR45" s="272"/>
      <c r="AS45" s="272"/>
      <c r="AT45" s="272"/>
      <c r="AU45" s="272"/>
      <c r="AV45" s="272"/>
      <c r="AW45" s="272"/>
    </row>
    <row r="46" spans="1:49" ht="16.5" customHeight="1">
      <c r="A46" s="1358"/>
      <c r="B46" s="1569" t="s">
        <v>770</v>
      </c>
      <c r="C46" s="67" t="s">
        <v>771</v>
      </c>
      <c r="D46" s="355" t="s">
        <v>772</v>
      </c>
      <c r="E46" s="349"/>
      <c r="F46" s="664" t="s">
        <v>735</v>
      </c>
      <c r="G46" s="350" t="s">
        <v>762</v>
      </c>
      <c r="H46" s="1395" t="s">
        <v>742</v>
      </c>
      <c r="I46" s="1395"/>
      <c r="J46" s="1395"/>
      <c r="K46" s="969">
        <v>333.42750000000001</v>
      </c>
      <c r="L46" s="701">
        <v>1481.8999999999999</v>
      </c>
      <c r="M46" s="702">
        <f t="shared" si="41"/>
        <v>4.0599999999999996</v>
      </c>
      <c r="N46" s="325">
        <v>45775</v>
      </c>
      <c r="O46" s="1574">
        <v>225</v>
      </c>
      <c r="P46" s="662"/>
      <c r="Q46" s="1518">
        <v>45962</v>
      </c>
      <c r="R46" s="662"/>
      <c r="S46" s="663"/>
      <c r="T46" s="661"/>
      <c r="U46" s="664">
        <v>1</v>
      </c>
      <c r="V46" s="1467">
        <f t="shared" si="28"/>
        <v>9000000</v>
      </c>
      <c r="W46" s="670">
        <v>6</v>
      </c>
      <c r="X46" s="1037" t="s">
        <v>750</v>
      </c>
      <c r="Y46" s="672" t="s">
        <v>744</v>
      </c>
      <c r="Z46" s="664" t="s">
        <v>575</v>
      </c>
      <c r="AA46" s="664" t="s">
        <v>515</v>
      </c>
      <c r="AB46" s="664" t="s">
        <v>515</v>
      </c>
      <c r="AC46" s="1210" t="s">
        <v>773</v>
      </c>
      <c r="AD46" s="667" t="s">
        <v>679</v>
      </c>
      <c r="AE46" s="669"/>
      <c r="AF46" s="594">
        <v>40000</v>
      </c>
      <c r="AG46" s="1043">
        <f t="shared" si="42"/>
        <v>9000000</v>
      </c>
      <c r="AH46" s="1055">
        <v>5</v>
      </c>
      <c r="AI46" s="1049">
        <f>35000*O46*AH46</f>
        <v>39375000</v>
      </c>
      <c r="AJ46" s="668">
        <f t="shared" si="43"/>
        <v>33750000</v>
      </c>
      <c r="AK46" s="1043">
        <f t="shared" si="44"/>
        <v>67500000</v>
      </c>
      <c r="AL46" s="1043">
        <f t="shared" si="45"/>
        <v>236250000</v>
      </c>
      <c r="AM46" s="760" t="s">
        <v>764</v>
      </c>
      <c r="AN46" s="272"/>
      <c r="AO46" s="753"/>
      <c r="AP46" s="272"/>
      <c r="AQ46" s="272"/>
      <c r="AR46" s="272"/>
      <c r="AS46" s="272"/>
      <c r="AT46" s="272"/>
      <c r="AU46" s="272"/>
      <c r="AV46" s="272"/>
      <c r="AW46" s="272"/>
    </row>
    <row r="47" spans="1:49" ht="16.5" customHeight="1">
      <c r="A47" s="1358"/>
      <c r="B47" s="1396" t="s">
        <v>774</v>
      </c>
      <c r="C47" s="67" t="s">
        <v>775</v>
      </c>
      <c r="D47" s="355" t="s">
        <v>776</v>
      </c>
      <c r="E47" s="349"/>
      <c r="F47" s="664" t="s">
        <v>662</v>
      </c>
      <c r="G47" s="350" t="s">
        <v>523</v>
      </c>
      <c r="H47" s="1395">
        <v>9.1700000000000004E-2</v>
      </c>
      <c r="I47" s="1395">
        <v>9.1999999999999998E-2</v>
      </c>
      <c r="J47" s="1395">
        <v>9.2999999999999999E-2</v>
      </c>
      <c r="K47" s="969">
        <v>716.72195999999997</v>
      </c>
      <c r="L47" s="701">
        <v>1436</v>
      </c>
      <c r="M47" s="702">
        <f t="shared" si="21"/>
        <v>3.9342465753424656</v>
      </c>
      <c r="N47" s="325">
        <v>45751</v>
      </c>
      <c r="O47" s="1133">
        <v>499.11</v>
      </c>
      <c r="P47" s="662"/>
      <c r="Q47" s="661">
        <v>45962</v>
      </c>
      <c r="R47" s="662"/>
      <c r="S47" s="663"/>
      <c r="T47" s="661">
        <f t="shared" ref="T47:T49" si="46">+EDATE(Q47,6)</f>
        <v>46143</v>
      </c>
      <c r="U47" s="664">
        <v>1</v>
      </c>
      <c r="V47" s="1467">
        <f t="shared" si="28"/>
        <v>19964400</v>
      </c>
      <c r="W47" s="670">
        <v>6</v>
      </c>
      <c r="X47" s="1035" t="s">
        <v>777</v>
      </c>
      <c r="Y47" s="672" t="s">
        <v>612</v>
      </c>
      <c r="Z47" s="664" t="s">
        <v>515</v>
      </c>
      <c r="AA47" s="664" t="s">
        <v>515</v>
      </c>
      <c r="AB47" s="664" t="s">
        <v>515</v>
      </c>
      <c r="AC47" s="1210" t="s">
        <v>778</v>
      </c>
      <c r="AD47" s="667" t="s">
        <v>517</v>
      </c>
      <c r="AE47" s="669"/>
      <c r="AF47" s="594">
        <v>40000</v>
      </c>
      <c r="AG47" s="1043">
        <f t="shared" si="29"/>
        <v>19964400</v>
      </c>
      <c r="AH47" s="1056">
        <v>5</v>
      </c>
      <c r="AI47" s="1049">
        <f>+AG47*AH47</f>
        <v>99822000</v>
      </c>
      <c r="AJ47" s="1043">
        <f t="shared" ref="AJ47:AJ49" si="47">200000000*O47/1000</f>
        <v>99822000</v>
      </c>
      <c r="AK47" s="1043">
        <f t="shared" ref="AK47:AK49" si="48">300000000*O47/1000</f>
        <v>149733000</v>
      </c>
      <c r="AL47" s="1043">
        <f t="shared" ref="AL47:AL49" si="49">1050000000*O47/1000</f>
        <v>524065500</v>
      </c>
      <c r="AM47" s="760" t="s">
        <v>779</v>
      </c>
      <c r="AN47" s="272"/>
      <c r="AO47" s="753"/>
      <c r="AP47" s="272"/>
      <c r="AQ47" s="272"/>
      <c r="AR47" s="272"/>
      <c r="AS47" s="272"/>
      <c r="AT47" s="272"/>
      <c r="AU47" s="272"/>
      <c r="AV47" s="272"/>
      <c r="AW47" s="272"/>
    </row>
    <row r="48" spans="1:49" ht="16.5" customHeight="1">
      <c r="A48" s="1358"/>
      <c r="B48" s="1396" t="s">
        <v>780</v>
      </c>
      <c r="C48" s="67" t="s">
        <v>781</v>
      </c>
      <c r="D48" s="355" t="s">
        <v>782</v>
      </c>
      <c r="E48" s="349"/>
      <c r="F48" s="664" t="s">
        <v>662</v>
      </c>
      <c r="G48" s="350" t="s">
        <v>523</v>
      </c>
      <c r="H48" s="1395">
        <v>8.1900000000000001E-2</v>
      </c>
      <c r="I48" s="1395">
        <v>9.1999999999999998E-2</v>
      </c>
      <c r="J48" s="1395">
        <v>9.2999999999999999E-2</v>
      </c>
      <c r="K48" s="969">
        <v>192.024</v>
      </c>
      <c r="L48" s="701">
        <v>1344</v>
      </c>
      <c r="M48" s="702">
        <f t="shared" si="21"/>
        <v>3.6821917808219178</v>
      </c>
      <c r="N48" s="325">
        <v>45751</v>
      </c>
      <c r="O48" s="1133">
        <v>142.875</v>
      </c>
      <c r="P48" s="662"/>
      <c r="Q48" s="661">
        <v>45962</v>
      </c>
      <c r="R48" s="662"/>
      <c r="S48" s="663"/>
      <c r="T48" s="661">
        <f t="shared" si="46"/>
        <v>46143</v>
      </c>
      <c r="U48" s="664">
        <v>1</v>
      </c>
      <c r="V48" s="1467">
        <f t="shared" si="28"/>
        <v>5715000</v>
      </c>
      <c r="W48" s="670">
        <v>6</v>
      </c>
      <c r="X48" s="1035" t="s">
        <v>783</v>
      </c>
      <c r="Y48" s="672" t="s">
        <v>612</v>
      </c>
      <c r="Z48" s="664" t="s">
        <v>515</v>
      </c>
      <c r="AA48" s="664" t="s">
        <v>515</v>
      </c>
      <c r="AB48" s="664" t="s">
        <v>515</v>
      </c>
      <c r="AC48" s="1210" t="s">
        <v>784</v>
      </c>
      <c r="AD48" s="667" t="s">
        <v>517</v>
      </c>
      <c r="AE48" s="669"/>
      <c r="AF48" s="594">
        <v>40000</v>
      </c>
      <c r="AG48" s="1043">
        <f t="shared" si="29"/>
        <v>5715000</v>
      </c>
      <c r="AH48" s="1056">
        <v>5</v>
      </c>
      <c r="AI48" s="1049">
        <f t="shared" ref="AI48:AI49" si="50">+AG48*AH48</f>
        <v>28575000</v>
      </c>
      <c r="AJ48" s="1043">
        <f t="shared" si="47"/>
        <v>28575000</v>
      </c>
      <c r="AK48" s="1043">
        <f t="shared" si="48"/>
        <v>42862500</v>
      </c>
      <c r="AL48" s="1043">
        <f t="shared" si="49"/>
        <v>150018750</v>
      </c>
      <c r="AM48" s="760" t="s">
        <v>779</v>
      </c>
      <c r="AN48" s="272"/>
      <c r="AO48" s="753"/>
      <c r="AP48" s="272"/>
      <c r="AQ48" s="272"/>
      <c r="AR48" s="272"/>
      <c r="AS48" s="272"/>
      <c r="AT48" s="272"/>
      <c r="AU48" s="272"/>
      <c r="AV48" s="272"/>
      <c r="AW48" s="272"/>
    </row>
    <row r="49" spans="1:49" ht="16.5" customHeight="1">
      <c r="A49" s="1358"/>
      <c r="B49" s="1396" t="s">
        <v>785</v>
      </c>
      <c r="C49" s="67" t="s">
        <v>786</v>
      </c>
      <c r="D49" s="355" t="s">
        <v>787</v>
      </c>
      <c r="E49" s="349"/>
      <c r="F49" s="664" t="s">
        <v>662</v>
      </c>
      <c r="G49" s="350" t="s">
        <v>590</v>
      </c>
      <c r="H49" s="1395">
        <v>9.0499999999999997E-2</v>
      </c>
      <c r="I49" s="1395">
        <v>9.1999999999999998E-2</v>
      </c>
      <c r="J49" s="1395">
        <v>9.2999999999999999E-2</v>
      </c>
      <c r="K49" s="969">
        <v>706.03344000000004</v>
      </c>
      <c r="L49" s="701">
        <v>1424</v>
      </c>
      <c r="M49" s="702">
        <f t="shared" si="21"/>
        <v>3.9013698630136986</v>
      </c>
      <c r="N49" s="325">
        <v>45751</v>
      </c>
      <c r="O49" s="1133">
        <v>495.81</v>
      </c>
      <c r="P49" s="662"/>
      <c r="Q49" s="661">
        <v>45962</v>
      </c>
      <c r="R49" s="662"/>
      <c r="S49" s="663"/>
      <c r="T49" s="661">
        <f t="shared" si="46"/>
        <v>46143</v>
      </c>
      <c r="U49" s="664">
        <v>1</v>
      </c>
      <c r="V49" s="1467">
        <f t="shared" si="28"/>
        <v>19832400</v>
      </c>
      <c r="W49" s="670">
        <v>6</v>
      </c>
      <c r="X49" s="1035" t="s">
        <v>531</v>
      </c>
      <c r="Y49" s="672" t="s">
        <v>612</v>
      </c>
      <c r="Z49" s="664" t="s">
        <v>515</v>
      </c>
      <c r="AA49" s="664" t="s">
        <v>515</v>
      </c>
      <c r="AB49" s="664" t="s">
        <v>515</v>
      </c>
      <c r="AC49" s="1210" t="s">
        <v>788</v>
      </c>
      <c r="AD49" s="667" t="s">
        <v>517</v>
      </c>
      <c r="AE49" s="669"/>
      <c r="AF49" s="594">
        <v>40000</v>
      </c>
      <c r="AG49" s="1043">
        <f t="shared" si="29"/>
        <v>19832400</v>
      </c>
      <c r="AH49" s="1056">
        <v>5</v>
      </c>
      <c r="AI49" s="1049">
        <f t="shared" si="50"/>
        <v>99162000</v>
      </c>
      <c r="AJ49" s="1043">
        <f t="shared" si="47"/>
        <v>99162000</v>
      </c>
      <c r="AK49" s="1043">
        <f t="shared" si="48"/>
        <v>148743000</v>
      </c>
      <c r="AL49" s="1043">
        <f t="shared" si="49"/>
        <v>520600500</v>
      </c>
      <c r="AM49" s="760" t="s">
        <v>779</v>
      </c>
      <c r="AN49" s="272"/>
      <c r="AO49" s="753"/>
      <c r="AP49" s="272"/>
      <c r="AQ49" s="272"/>
      <c r="AR49" s="272"/>
      <c r="AS49" s="272"/>
      <c r="AT49" s="272"/>
      <c r="AU49" s="272"/>
      <c r="AV49" s="272"/>
      <c r="AW49" s="272"/>
    </row>
    <row r="50" spans="1:49" s="1331" customFormat="1" outlineLevel="1">
      <c r="A50" s="1358"/>
      <c r="B50" s="1426" t="s">
        <v>789</v>
      </c>
      <c r="C50" s="1398" t="s">
        <v>790</v>
      </c>
      <c r="D50" s="1398" t="s">
        <v>791</v>
      </c>
      <c r="E50" s="1398" t="s">
        <v>792</v>
      </c>
      <c r="F50" s="1411" t="s">
        <v>793</v>
      </c>
      <c r="G50" s="1401" t="s">
        <v>590</v>
      </c>
      <c r="H50" s="1402" t="s">
        <v>698</v>
      </c>
      <c r="I50" s="1402">
        <v>9.2999999999999999E-2</v>
      </c>
      <c r="J50" s="1402"/>
      <c r="K50" s="1403">
        <v>1521.71</v>
      </c>
      <c r="L50" s="1427">
        <v>1412</v>
      </c>
      <c r="M50" s="1405">
        <f t="shared" si="21"/>
        <v>3.8684931506849316</v>
      </c>
      <c r="N50" s="1406">
        <v>45623</v>
      </c>
      <c r="O50" s="1407">
        <v>1078</v>
      </c>
      <c r="P50" s="1408"/>
      <c r="Q50" s="1408" t="s">
        <v>742</v>
      </c>
      <c r="R50" s="1408"/>
      <c r="S50" s="1410"/>
      <c r="T50" s="1428" t="s">
        <v>742</v>
      </c>
      <c r="U50" s="1411">
        <v>1</v>
      </c>
      <c r="V50" s="1468">
        <f t="shared" si="2"/>
        <v>43120000</v>
      </c>
      <c r="W50" s="1413">
        <v>6</v>
      </c>
      <c r="X50" s="1424" t="s">
        <v>584</v>
      </c>
      <c r="Y50" s="1411"/>
      <c r="Z50" s="1411" t="s">
        <v>515</v>
      </c>
      <c r="AA50" s="1411" t="s">
        <v>515</v>
      </c>
      <c r="AB50" s="1411" t="s">
        <v>515</v>
      </c>
      <c r="AC50" s="1414" t="s">
        <v>794</v>
      </c>
      <c r="AD50" s="1411" t="s">
        <v>517</v>
      </c>
      <c r="AE50" s="1415"/>
      <c r="AF50" s="1416">
        <v>40000</v>
      </c>
      <c r="AG50" s="1417">
        <f t="shared" ref="AG50:AG92" si="51">40000000*O50/1000</f>
        <v>43120000</v>
      </c>
      <c r="AH50" s="1418">
        <v>5</v>
      </c>
      <c r="AI50" s="1412">
        <f t="shared" ref="AI50:AI92" si="52">AG50*AH50</f>
        <v>215600000</v>
      </c>
      <c r="AJ50" s="1417">
        <f t="shared" si="5"/>
        <v>215600000</v>
      </c>
      <c r="AK50" s="1429">
        <f t="shared" si="6"/>
        <v>323400000</v>
      </c>
      <c r="AL50" s="1417">
        <f t="shared" si="7"/>
        <v>1131900000</v>
      </c>
      <c r="AM50" s="1420" t="s">
        <v>795</v>
      </c>
      <c r="AO50" s="1332">
        <f t="shared" si="8"/>
        <v>200000000</v>
      </c>
    </row>
    <row r="51" spans="1:49" ht="16.5" customHeight="1">
      <c r="A51" s="1358"/>
      <c r="B51" s="1319" t="s">
        <v>796</v>
      </c>
      <c r="C51" s="67" t="s">
        <v>797</v>
      </c>
      <c r="D51" s="355" t="s">
        <v>798</v>
      </c>
      <c r="E51" s="349" t="s">
        <v>799</v>
      </c>
      <c r="F51" s="664" t="s">
        <v>793</v>
      </c>
      <c r="G51" s="350" t="s">
        <v>590</v>
      </c>
      <c r="H51" s="1395">
        <v>8.8099999999999998E-2</v>
      </c>
      <c r="I51" s="1395">
        <v>9.1999999999999998E-2</v>
      </c>
      <c r="J51" s="1395">
        <v>9.2999999999999999E-2</v>
      </c>
      <c r="K51" s="969">
        <v>4501.8225000000002</v>
      </c>
      <c r="L51" s="701">
        <v>1415</v>
      </c>
      <c r="M51" s="702">
        <f t="shared" si="21"/>
        <v>3.8767123287671232</v>
      </c>
      <c r="N51" s="325">
        <v>45623</v>
      </c>
      <c r="O51" s="1133">
        <v>3181.5</v>
      </c>
      <c r="P51" s="662"/>
      <c r="Q51" s="673" t="s">
        <v>742</v>
      </c>
      <c r="R51" s="662"/>
      <c r="S51" s="663"/>
      <c r="T51" s="673" t="s">
        <v>742</v>
      </c>
      <c r="U51" s="664">
        <v>1</v>
      </c>
      <c r="V51" s="1467">
        <f t="shared" si="2"/>
        <v>127260000</v>
      </c>
      <c r="W51" s="670">
        <v>6</v>
      </c>
      <c r="X51" s="1035" t="s">
        <v>556</v>
      </c>
      <c r="Y51" s="672" t="s">
        <v>744</v>
      </c>
      <c r="Z51" s="664" t="s">
        <v>515</v>
      </c>
      <c r="AA51" s="664" t="s">
        <v>515</v>
      </c>
      <c r="AB51" s="664" t="s">
        <v>515</v>
      </c>
      <c r="AC51" s="1212" t="s">
        <v>800</v>
      </c>
      <c r="AD51" s="1318" t="s">
        <v>517</v>
      </c>
      <c r="AE51" s="669"/>
      <c r="AF51" s="594">
        <v>40000</v>
      </c>
      <c r="AG51" s="668">
        <f t="shared" si="51"/>
        <v>127260000</v>
      </c>
      <c r="AH51" s="1055">
        <v>5</v>
      </c>
      <c r="AI51" s="1048">
        <f t="shared" si="52"/>
        <v>636300000</v>
      </c>
      <c r="AJ51" s="668">
        <f>200000000*O51/1000</f>
        <v>636300000</v>
      </c>
      <c r="AK51" s="668">
        <f t="shared" si="6"/>
        <v>954450000</v>
      </c>
      <c r="AL51" s="668">
        <f t="shared" si="7"/>
        <v>3340575000</v>
      </c>
      <c r="AM51" s="760" t="s">
        <v>700</v>
      </c>
      <c r="AN51" s="272"/>
      <c r="AO51" s="753">
        <f t="shared" si="8"/>
        <v>200000000</v>
      </c>
      <c r="AP51" s="272"/>
      <c r="AQ51" s="272"/>
      <c r="AR51" s="272"/>
      <c r="AS51" s="272"/>
      <c r="AT51" s="272"/>
      <c r="AU51" s="272"/>
      <c r="AV51" s="272"/>
      <c r="AW51" s="272"/>
    </row>
    <row r="52" spans="1:49">
      <c r="A52" s="1358"/>
      <c r="B52" s="1319" t="s">
        <v>801</v>
      </c>
      <c r="C52" s="67" t="s">
        <v>802</v>
      </c>
      <c r="D52" s="355" t="s">
        <v>803</v>
      </c>
      <c r="E52" s="349" t="s">
        <v>804</v>
      </c>
      <c r="F52" s="664" t="s">
        <v>793</v>
      </c>
      <c r="G52" s="350" t="s">
        <v>513</v>
      </c>
      <c r="H52" s="1395">
        <v>8.77E-2</v>
      </c>
      <c r="I52" s="1395">
        <v>9.1999999999999998E-2</v>
      </c>
      <c r="J52" s="1395">
        <v>9.2999999999999999E-2</v>
      </c>
      <c r="K52" s="969">
        <v>385.68023999999997</v>
      </c>
      <c r="L52" s="703">
        <v>1398</v>
      </c>
      <c r="M52" s="708">
        <f>L52/365</f>
        <v>3.8301369863013699</v>
      </c>
      <c r="N52" s="325">
        <v>45623</v>
      </c>
      <c r="O52" s="1133">
        <v>275.88</v>
      </c>
      <c r="P52" s="662" t="s">
        <v>742</v>
      </c>
      <c r="Q52" s="673" t="s">
        <v>742</v>
      </c>
      <c r="R52" s="662"/>
      <c r="S52" s="663"/>
      <c r="T52" s="673" t="s">
        <v>742</v>
      </c>
      <c r="U52" s="664">
        <v>1</v>
      </c>
      <c r="V52" s="1467">
        <f>+O52*40000000/1000</f>
        <v>11035200</v>
      </c>
      <c r="W52" s="670">
        <v>6</v>
      </c>
      <c r="X52" s="1037" t="s">
        <v>556</v>
      </c>
      <c r="Y52" s="672" t="s">
        <v>744</v>
      </c>
      <c r="Z52" s="664" t="s">
        <v>515</v>
      </c>
      <c r="AA52" s="664" t="s">
        <v>515</v>
      </c>
      <c r="AB52" s="664" t="s">
        <v>515</v>
      </c>
      <c r="AC52" s="1210" t="s">
        <v>805</v>
      </c>
      <c r="AD52" s="667" t="s">
        <v>517</v>
      </c>
      <c r="AE52" s="669"/>
      <c r="AF52" s="594">
        <v>40000</v>
      </c>
      <c r="AG52" s="668">
        <f>40000000*O52/1000</f>
        <v>11035200</v>
      </c>
      <c r="AH52" s="1055">
        <v>5</v>
      </c>
      <c r="AI52" s="665">
        <f>AG52*AH52</f>
        <v>55176000</v>
      </c>
      <c r="AJ52" s="668">
        <f>200000000*O52/1000</f>
        <v>55176000</v>
      </c>
      <c r="AK52" s="668">
        <f>300000000*O52/1000</f>
        <v>82764000</v>
      </c>
      <c r="AL52" s="668">
        <f>1050000000*O52/1000</f>
        <v>289674000</v>
      </c>
      <c r="AM52" s="760" t="s">
        <v>700</v>
      </c>
      <c r="AN52" s="272"/>
      <c r="AO52" s="753">
        <f>(AJ52/O52)*1000</f>
        <v>200000000</v>
      </c>
      <c r="AP52" s="272"/>
      <c r="AQ52" s="272"/>
      <c r="AR52" s="272"/>
      <c r="AS52" s="272"/>
      <c r="AT52" s="272"/>
      <c r="AU52" s="272"/>
      <c r="AV52" s="272"/>
      <c r="AW52" s="272"/>
    </row>
    <row r="53" spans="1:49">
      <c r="A53" s="1358"/>
      <c r="B53" s="1319" t="s">
        <v>806</v>
      </c>
      <c r="C53" s="67" t="s">
        <v>807</v>
      </c>
      <c r="D53" s="355" t="s">
        <v>808</v>
      </c>
      <c r="E53" s="349" t="s">
        <v>809</v>
      </c>
      <c r="F53" s="664" t="s">
        <v>793</v>
      </c>
      <c r="G53" s="350" t="s">
        <v>513</v>
      </c>
      <c r="H53" s="1395">
        <v>8.5599999999999996E-2</v>
      </c>
      <c r="I53" s="1395">
        <v>9.1999999999999998E-2</v>
      </c>
      <c r="J53" s="1395">
        <v>9.2999999999999999E-2</v>
      </c>
      <c r="K53" s="969">
        <v>6345.1924800000015</v>
      </c>
      <c r="L53" s="703">
        <v>1399</v>
      </c>
      <c r="M53" s="708">
        <f>L53/365</f>
        <v>3.8328767123287673</v>
      </c>
      <c r="N53" s="325">
        <v>45636</v>
      </c>
      <c r="O53" s="1133">
        <v>4535.5200000000004</v>
      </c>
      <c r="P53" s="662" t="s">
        <v>742</v>
      </c>
      <c r="Q53" s="673" t="s">
        <v>742</v>
      </c>
      <c r="R53" s="662"/>
      <c r="S53" s="663"/>
      <c r="T53" s="673" t="s">
        <v>742</v>
      </c>
      <c r="U53" s="664">
        <v>1</v>
      </c>
      <c r="V53" s="1467">
        <f>+O53*40000000/1000</f>
        <v>181420800.00000003</v>
      </c>
      <c r="W53" s="670">
        <v>6</v>
      </c>
      <c r="X53" s="1037" t="s">
        <v>556</v>
      </c>
      <c r="Y53" s="672" t="s">
        <v>744</v>
      </c>
      <c r="Z53" s="664" t="s">
        <v>515</v>
      </c>
      <c r="AA53" s="664" t="s">
        <v>515</v>
      </c>
      <c r="AB53" s="664" t="s">
        <v>515</v>
      </c>
      <c r="AC53" s="1210" t="s">
        <v>810</v>
      </c>
      <c r="AD53" s="667" t="s">
        <v>517</v>
      </c>
      <c r="AE53" s="669"/>
      <c r="AF53" s="594">
        <v>40000</v>
      </c>
      <c r="AG53" s="668">
        <f>40000000*O53/1000</f>
        <v>181420800.00000003</v>
      </c>
      <c r="AH53" s="1055">
        <v>5</v>
      </c>
      <c r="AI53" s="665">
        <f>AG53*AH53</f>
        <v>907104000.00000012</v>
      </c>
      <c r="AJ53" s="668">
        <f>200000000*O53/1000</f>
        <v>907104000.00000012</v>
      </c>
      <c r="AK53" s="668">
        <f>300000000*O53/1000</f>
        <v>1360656000.0000002</v>
      </c>
      <c r="AL53" s="668">
        <f>1050000000*O53/1000</f>
        <v>4762296000</v>
      </c>
      <c r="AM53" s="760" t="s">
        <v>700</v>
      </c>
      <c r="AN53" s="272"/>
      <c r="AO53" s="753">
        <f>(AJ53/O53)*1000</f>
        <v>200000000</v>
      </c>
      <c r="AP53" s="272"/>
      <c r="AQ53" s="272"/>
      <c r="AR53" s="272"/>
      <c r="AS53" s="272"/>
      <c r="AT53" s="272"/>
      <c r="AU53" s="272"/>
      <c r="AV53" s="272"/>
      <c r="AW53" s="272"/>
    </row>
    <row r="54" spans="1:49">
      <c r="A54" s="1358"/>
      <c r="B54" s="1319" t="s">
        <v>811</v>
      </c>
      <c r="C54" s="67" t="s">
        <v>812</v>
      </c>
      <c r="D54" s="355" t="s">
        <v>813</v>
      </c>
      <c r="E54" s="349" t="s">
        <v>814</v>
      </c>
      <c r="F54" s="664" t="s">
        <v>793</v>
      </c>
      <c r="G54" s="350" t="s">
        <v>513</v>
      </c>
      <c r="H54" s="1395">
        <v>8.8599999999999998E-2</v>
      </c>
      <c r="I54" s="1395">
        <v>9.1999999999999998E-2</v>
      </c>
      <c r="J54" s="1395">
        <v>9.2999999999999999E-2</v>
      </c>
      <c r="K54" s="969">
        <v>5445.1809999999996</v>
      </c>
      <c r="L54" s="703">
        <v>1426</v>
      </c>
      <c r="M54" s="708">
        <f>L54/365</f>
        <v>3.9068493150684933</v>
      </c>
      <c r="N54" s="325">
        <v>45623</v>
      </c>
      <c r="O54" s="1133">
        <v>3818.5</v>
      </c>
      <c r="P54" s="662" t="s">
        <v>742</v>
      </c>
      <c r="Q54" s="673" t="s">
        <v>742</v>
      </c>
      <c r="R54" s="662"/>
      <c r="S54" s="663"/>
      <c r="T54" s="673" t="s">
        <v>742</v>
      </c>
      <c r="U54" s="664">
        <v>1</v>
      </c>
      <c r="V54" s="1467">
        <f>+O54*40000000/1000</f>
        <v>152740000</v>
      </c>
      <c r="W54" s="670">
        <v>6</v>
      </c>
      <c r="X54" s="1037" t="s">
        <v>503</v>
      </c>
      <c r="Y54" s="672" t="s">
        <v>744</v>
      </c>
      <c r="Z54" s="664" t="s">
        <v>515</v>
      </c>
      <c r="AA54" s="664" t="s">
        <v>515</v>
      </c>
      <c r="AB54" s="664" t="s">
        <v>515</v>
      </c>
      <c r="AC54" s="1210" t="s">
        <v>815</v>
      </c>
      <c r="AD54" s="667" t="s">
        <v>517</v>
      </c>
      <c r="AE54" s="669"/>
      <c r="AF54" s="594">
        <v>40000</v>
      </c>
      <c r="AG54" s="668">
        <f>40000000*O54/1000</f>
        <v>152740000</v>
      </c>
      <c r="AH54" s="1055">
        <v>5</v>
      </c>
      <c r="AI54" s="665">
        <f>AG54*AH54</f>
        <v>763700000</v>
      </c>
      <c r="AJ54" s="668">
        <f>200000000*O54/1000</f>
        <v>763700000</v>
      </c>
      <c r="AK54" s="668">
        <f>300000000*O54/1000</f>
        <v>1145550000</v>
      </c>
      <c r="AL54" s="668">
        <f>1050000000*O54/1000</f>
        <v>4009425000</v>
      </c>
      <c r="AM54" s="760" t="s">
        <v>700</v>
      </c>
      <c r="AN54" s="272"/>
      <c r="AO54" s="753">
        <f>(AJ54/O54)*1000</f>
        <v>200000000</v>
      </c>
      <c r="AP54" s="272"/>
      <c r="AQ54" s="272"/>
      <c r="AR54" s="272"/>
      <c r="AS54" s="272"/>
      <c r="AT54" s="272"/>
      <c r="AU54" s="272"/>
      <c r="AV54" s="272"/>
      <c r="AW54" s="272"/>
    </row>
    <row r="55" spans="1:49">
      <c r="A55" s="1440" t="str">
        <f>"DG Batch 3 - 25PJT "</f>
        <v xml:space="preserve">DG Batch 3 - 25PJT </v>
      </c>
      <c r="B55" s="1319" t="s">
        <v>816</v>
      </c>
      <c r="C55" s="67" t="s">
        <v>817</v>
      </c>
      <c r="D55" s="355" t="s">
        <v>818</v>
      </c>
      <c r="E55" s="349" t="s">
        <v>819</v>
      </c>
      <c r="F55" s="664" t="s">
        <v>793</v>
      </c>
      <c r="G55" s="350" t="s">
        <v>596</v>
      </c>
      <c r="H55" s="1395"/>
      <c r="I55" s="1395"/>
      <c r="J55" s="1395"/>
      <c r="K55" s="969">
        <v>644.76324</v>
      </c>
      <c r="L55" s="703">
        <v>1422</v>
      </c>
      <c r="M55" s="708">
        <f>L55/365</f>
        <v>3.8958904109589043</v>
      </c>
      <c r="N55" s="325">
        <v>45623</v>
      </c>
      <c r="O55" s="1133">
        <v>453.42</v>
      </c>
      <c r="P55" s="662" t="s">
        <v>742</v>
      </c>
      <c r="Q55" s="673" t="s">
        <v>742</v>
      </c>
      <c r="R55" s="662"/>
      <c r="S55" s="663"/>
      <c r="T55" s="673" t="s">
        <v>742</v>
      </c>
      <c r="U55" s="664">
        <v>1</v>
      </c>
      <c r="V55" s="1467">
        <f>+O55*40000000/1000</f>
        <v>18136800</v>
      </c>
      <c r="W55" s="670">
        <v>6</v>
      </c>
      <c r="X55" s="1037" t="s">
        <v>556</v>
      </c>
      <c r="Y55" s="672" t="s">
        <v>744</v>
      </c>
      <c r="Z55" s="664" t="s">
        <v>515</v>
      </c>
      <c r="AA55" s="664" t="s">
        <v>515</v>
      </c>
      <c r="AB55" s="664" t="s">
        <v>515</v>
      </c>
      <c r="AC55" s="1210" t="s">
        <v>820</v>
      </c>
      <c r="AD55" s="667" t="s">
        <v>517</v>
      </c>
      <c r="AE55" s="669"/>
      <c r="AF55" s="594">
        <v>40000</v>
      </c>
      <c r="AG55" s="668">
        <f>40000000*O55/1000</f>
        <v>18136800</v>
      </c>
      <c r="AH55" s="1055">
        <v>5</v>
      </c>
      <c r="AI55" s="665">
        <f>AG55*AH55</f>
        <v>90684000</v>
      </c>
      <c r="AJ55" s="668">
        <f>200000000*O55/1000</f>
        <v>90684000</v>
      </c>
      <c r="AK55" s="668">
        <f>300000000*O55/1000</f>
        <v>136026000</v>
      </c>
      <c r="AL55" s="668">
        <f>1050000000*O55/1000</f>
        <v>476091000</v>
      </c>
      <c r="AM55" s="760" t="s">
        <v>700</v>
      </c>
      <c r="AN55" s="272"/>
      <c r="AO55" s="753">
        <f>(AJ55/O55)*1000</f>
        <v>200000000</v>
      </c>
      <c r="AP55" s="272"/>
      <c r="AQ55" s="272"/>
      <c r="AR55" s="272"/>
      <c r="AS55" s="272"/>
      <c r="AT55" s="272"/>
      <c r="AU55" s="272"/>
      <c r="AV55" s="272"/>
      <c r="AW55" s="272"/>
    </row>
    <row r="56" spans="1:49" s="1331" customFormat="1" outlineLevel="1">
      <c r="A56" s="1358"/>
      <c r="B56" s="1426" t="s">
        <v>821</v>
      </c>
      <c r="C56" s="1398" t="s">
        <v>822</v>
      </c>
      <c r="D56" s="1398" t="s">
        <v>823</v>
      </c>
      <c r="E56" s="1398" t="s">
        <v>824</v>
      </c>
      <c r="F56" s="1411" t="s">
        <v>793</v>
      </c>
      <c r="G56" s="1401" t="s">
        <v>825</v>
      </c>
      <c r="H56" s="1402" t="s">
        <v>698</v>
      </c>
      <c r="I56" s="1402">
        <v>9.2999999999999999E-2</v>
      </c>
      <c r="J56" s="1402"/>
      <c r="K56" s="1403">
        <v>388.73</v>
      </c>
      <c r="L56" s="1427">
        <v>1402</v>
      </c>
      <c r="M56" s="1405">
        <f t="shared" si="21"/>
        <v>3.8410958904109589</v>
      </c>
      <c r="N56" s="1406">
        <v>45644</v>
      </c>
      <c r="O56" s="1407">
        <v>277.2</v>
      </c>
      <c r="P56" s="1408"/>
      <c r="Q56" s="1408" t="s">
        <v>742</v>
      </c>
      <c r="R56" s="1408"/>
      <c r="S56" s="1410"/>
      <c r="T56" s="1428" t="s">
        <v>742</v>
      </c>
      <c r="U56" s="1411">
        <v>1</v>
      </c>
      <c r="V56" s="1468">
        <f t="shared" si="2"/>
        <v>11088000</v>
      </c>
      <c r="W56" s="1413">
        <v>6</v>
      </c>
      <c r="X56" s="1424" t="s">
        <v>567</v>
      </c>
      <c r="Y56" s="1411"/>
      <c r="Z56" s="1411" t="s">
        <v>515</v>
      </c>
      <c r="AA56" s="1411" t="s">
        <v>515</v>
      </c>
      <c r="AB56" s="1411" t="s">
        <v>515</v>
      </c>
      <c r="AC56" s="1414" t="s">
        <v>826</v>
      </c>
      <c r="AD56" s="1411" t="s">
        <v>517</v>
      </c>
      <c r="AE56" s="1415"/>
      <c r="AF56" s="1416">
        <v>40000</v>
      </c>
      <c r="AG56" s="1417">
        <f t="shared" si="51"/>
        <v>11088000</v>
      </c>
      <c r="AH56" s="1418">
        <v>5</v>
      </c>
      <c r="AI56" s="1412">
        <f t="shared" si="52"/>
        <v>55440000</v>
      </c>
      <c r="AJ56" s="1417">
        <f t="shared" si="5"/>
        <v>55440000</v>
      </c>
      <c r="AK56" s="1429">
        <f t="shared" si="6"/>
        <v>83160000</v>
      </c>
      <c r="AL56" s="1417">
        <f t="shared" si="7"/>
        <v>291060000</v>
      </c>
      <c r="AM56" s="1420" t="s">
        <v>827</v>
      </c>
      <c r="AO56" s="1332">
        <f t="shared" si="8"/>
        <v>200000000</v>
      </c>
    </row>
    <row r="57" spans="1:49">
      <c r="A57" s="1437">
        <f>SUM(O38:O49,O51:O55,O57:O78)</f>
        <v>38073.889999999992</v>
      </c>
      <c r="B57" s="1319" t="s">
        <v>828</v>
      </c>
      <c r="C57" s="67" t="s">
        <v>829</v>
      </c>
      <c r="D57" s="347" t="s">
        <v>830</v>
      </c>
      <c r="E57" s="349"/>
      <c r="F57" s="664" t="s">
        <v>793</v>
      </c>
      <c r="G57" s="1315" t="s">
        <v>831</v>
      </c>
      <c r="H57" s="1395"/>
      <c r="I57" s="1395">
        <v>9.2999999999999999E-2</v>
      </c>
      <c r="J57" s="1395"/>
      <c r="K57" s="969">
        <v>186.79395</v>
      </c>
      <c r="L57" s="701">
        <v>1435</v>
      </c>
      <c r="M57" s="708">
        <f t="shared" si="21"/>
        <v>3.9315068493150687</v>
      </c>
      <c r="N57" s="325">
        <v>45688</v>
      </c>
      <c r="O57" s="1133">
        <v>130.16999999999999</v>
      </c>
      <c r="P57" s="662"/>
      <c r="Q57" s="662" t="s">
        <v>742</v>
      </c>
      <c r="R57" s="662"/>
      <c r="S57" s="663"/>
      <c r="T57" s="673" t="s">
        <v>742</v>
      </c>
      <c r="U57" s="664">
        <v>1</v>
      </c>
      <c r="V57" s="1467">
        <f t="shared" si="2"/>
        <v>5206799.9999999991</v>
      </c>
      <c r="W57" s="670">
        <v>6</v>
      </c>
      <c r="X57" s="1037" t="s">
        <v>503</v>
      </c>
      <c r="Y57" s="672" t="s">
        <v>744</v>
      </c>
      <c r="Z57" s="664" t="s">
        <v>515</v>
      </c>
      <c r="AA57" s="664" t="s">
        <v>515</v>
      </c>
      <c r="AB57" s="664" t="s">
        <v>515</v>
      </c>
      <c r="AC57" s="1210" t="s">
        <v>832</v>
      </c>
      <c r="AD57" s="667" t="s">
        <v>517</v>
      </c>
      <c r="AE57" s="669"/>
      <c r="AF57" s="594">
        <v>40000</v>
      </c>
      <c r="AG57" s="668">
        <f t="shared" si="51"/>
        <v>5206799.9999999991</v>
      </c>
      <c r="AH57" s="1055">
        <v>5</v>
      </c>
      <c r="AI57" s="665">
        <f t="shared" si="52"/>
        <v>26033999.999999996</v>
      </c>
      <c r="AJ57" s="668">
        <f t="shared" si="5"/>
        <v>26033999.999999996</v>
      </c>
      <c r="AK57" s="668">
        <f t="shared" si="6"/>
        <v>39051000</v>
      </c>
      <c r="AL57" s="668">
        <f t="shared" si="7"/>
        <v>136678499.99999997</v>
      </c>
      <c r="AM57" s="760" t="s">
        <v>833</v>
      </c>
      <c r="AN57" s="272"/>
      <c r="AO57" s="753">
        <f t="shared" si="8"/>
        <v>200000000</v>
      </c>
      <c r="AP57" s="272"/>
      <c r="AQ57" s="272"/>
      <c r="AR57" s="272"/>
      <c r="AS57" s="272"/>
      <c r="AT57" s="272"/>
      <c r="AU57" s="272"/>
      <c r="AV57" s="272"/>
      <c r="AW57" s="272"/>
    </row>
    <row r="58" spans="1:49">
      <c r="A58" s="1358"/>
      <c r="B58" s="1319" t="s">
        <v>834</v>
      </c>
      <c r="C58" s="67" t="s">
        <v>835</v>
      </c>
      <c r="D58" s="347" t="s">
        <v>836</v>
      </c>
      <c r="E58" s="349"/>
      <c r="F58" s="664" t="s">
        <v>793</v>
      </c>
      <c r="G58" s="1315" t="s">
        <v>831</v>
      </c>
      <c r="H58" s="1395"/>
      <c r="I58" s="1395">
        <v>9.2999999999999999E-2</v>
      </c>
      <c r="J58" s="1395"/>
      <c r="K58" s="969">
        <v>258.59231999999997</v>
      </c>
      <c r="L58" s="701">
        <v>1414</v>
      </c>
      <c r="M58" s="708">
        <f t="shared" si="21"/>
        <v>3.8739726027397259</v>
      </c>
      <c r="N58" s="325">
        <v>45688</v>
      </c>
      <c r="O58" s="1133">
        <v>182.88</v>
      </c>
      <c r="P58" s="662"/>
      <c r="Q58" s="662" t="s">
        <v>742</v>
      </c>
      <c r="R58" s="662"/>
      <c r="S58" s="663"/>
      <c r="T58" s="673" t="s">
        <v>742</v>
      </c>
      <c r="U58" s="664">
        <v>1</v>
      </c>
      <c r="V58" s="1467">
        <f t="shared" si="2"/>
        <v>7315200</v>
      </c>
      <c r="W58" s="670">
        <v>6</v>
      </c>
      <c r="X58" s="1037" t="s">
        <v>503</v>
      </c>
      <c r="Y58" s="672" t="s">
        <v>744</v>
      </c>
      <c r="Z58" s="664" t="s">
        <v>515</v>
      </c>
      <c r="AA58" s="664" t="s">
        <v>515</v>
      </c>
      <c r="AB58" s="664" t="s">
        <v>515</v>
      </c>
      <c r="AC58" s="1210" t="s">
        <v>837</v>
      </c>
      <c r="AD58" s="667" t="s">
        <v>517</v>
      </c>
      <c r="AE58" s="669"/>
      <c r="AF58" s="594">
        <v>40000</v>
      </c>
      <c r="AG58" s="668">
        <f t="shared" si="51"/>
        <v>7315200</v>
      </c>
      <c r="AH58" s="1055">
        <v>5</v>
      </c>
      <c r="AI58" s="665">
        <f t="shared" si="52"/>
        <v>36576000</v>
      </c>
      <c r="AJ58" s="668">
        <f t="shared" si="5"/>
        <v>36576000</v>
      </c>
      <c r="AK58" s="668">
        <f t="shared" si="6"/>
        <v>54864000</v>
      </c>
      <c r="AL58" s="668">
        <f t="shared" si="7"/>
        <v>192024000</v>
      </c>
      <c r="AM58" s="760" t="s">
        <v>833</v>
      </c>
      <c r="AN58" s="272"/>
      <c r="AO58" s="753">
        <f t="shared" si="8"/>
        <v>200000000</v>
      </c>
      <c r="AP58" s="272"/>
      <c r="AQ58" s="272"/>
      <c r="AR58" s="272"/>
      <c r="AS58" s="272"/>
      <c r="AT58" s="272"/>
      <c r="AU58" s="272"/>
      <c r="AV58" s="272"/>
      <c r="AW58" s="272"/>
    </row>
    <row r="59" spans="1:49" ht="15.75" customHeight="1">
      <c r="A59" s="1358"/>
      <c r="B59" s="1319" t="s">
        <v>838</v>
      </c>
      <c r="C59" s="67" t="s">
        <v>839</v>
      </c>
      <c r="D59" s="347" t="s">
        <v>840</v>
      </c>
      <c r="E59" s="349"/>
      <c r="F59" s="664" t="s">
        <v>793</v>
      </c>
      <c r="G59" s="350" t="s">
        <v>523</v>
      </c>
      <c r="H59" s="1395"/>
      <c r="I59" s="1395">
        <v>9.2999999999999999E-2</v>
      </c>
      <c r="J59" s="1395"/>
      <c r="K59" s="969">
        <v>315.5061</v>
      </c>
      <c r="L59" s="701">
        <v>1470</v>
      </c>
      <c r="M59" s="708">
        <f t="shared" si="21"/>
        <v>4.0273972602739727</v>
      </c>
      <c r="N59" s="325">
        <v>45688</v>
      </c>
      <c r="O59" s="1133">
        <v>214.63</v>
      </c>
      <c r="P59" s="662"/>
      <c r="Q59" s="662" t="s">
        <v>742</v>
      </c>
      <c r="R59" s="662"/>
      <c r="S59" s="663"/>
      <c r="T59" s="673" t="s">
        <v>742</v>
      </c>
      <c r="U59" s="664">
        <v>1</v>
      </c>
      <c r="V59" s="1467">
        <f t="shared" si="2"/>
        <v>8585200</v>
      </c>
      <c r="W59" s="670">
        <v>6</v>
      </c>
      <c r="X59" s="1037" t="s">
        <v>841</v>
      </c>
      <c r="Y59" s="672" t="s">
        <v>744</v>
      </c>
      <c r="Z59" s="664" t="s">
        <v>515</v>
      </c>
      <c r="AA59" s="664" t="s">
        <v>515</v>
      </c>
      <c r="AB59" s="664" t="s">
        <v>515</v>
      </c>
      <c r="AC59" s="1210" t="s">
        <v>842</v>
      </c>
      <c r="AD59" s="667" t="s">
        <v>517</v>
      </c>
      <c r="AE59" s="669"/>
      <c r="AF59" s="594">
        <v>40000</v>
      </c>
      <c r="AG59" s="668">
        <f t="shared" si="51"/>
        <v>8585200</v>
      </c>
      <c r="AH59" s="1055">
        <v>5</v>
      </c>
      <c r="AI59" s="665">
        <f t="shared" si="52"/>
        <v>42926000</v>
      </c>
      <c r="AJ59" s="668">
        <f t="shared" si="5"/>
        <v>42926000</v>
      </c>
      <c r="AK59" s="668">
        <f t="shared" si="6"/>
        <v>64389000</v>
      </c>
      <c r="AL59" s="668">
        <f t="shared" si="7"/>
        <v>225361500</v>
      </c>
      <c r="AM59" s="760" t="s">
        <v>833</v>
      </c>
      <c r="AN59" s="272"/>
      <c r="AO59" s="753">
        <f t="shared" si="8"/>
        <v>200000000</v>
      </c>
      <c r="AP59" s="272"/>
      <c r="AQ59" s="272"/>
      <c r="AR59" s="272"/>
      <c r="AS59" s="272"/>
      <c r="AT59" s="272"/>
      <c r="AU59" s="272"/>
      <c r="AV59" s="272"/>
      <c r="AW59" s="272"/>
    </row>
    <row r="60" spans="1:49">
      <c r="A60" s="1440"/>
      <c r="B60" s="1319" t="s">
        <v>843</v>
      </c>
      <c r="C60" s="67" t="s">
        <v>844</v>
      </c>
      <c r="D60" s="355" t="s">
        <v>845</v>
      </c>
      <c r="E60" s="349"/>
      <c r="F60" s="664" t="s">
        <v>793</v>
      </c>
      <c r="G60" s="350" t="s">
        <v>583</v>
      </c>
      <c r="H60" s="1395"/>
      <c r="I60" s="1395"/>
      <c r="J60" s="1395"/>
      <c r="K60" s="969">
        <v>208.23936</v>
      </c>
      <c r="L60" s="703">
        <v>1464</v>
      </c>
      <c r="M60" s="708">
        <f>L60/365</f>
        <v>4.0109589041095894</v>
      </c>
      <c r="N60" s="325">
        <v>45688</v>
      </c>
      <c r="O60" s="1133">
        <v>142.24</v>
      </c>
      <c r="P60" s="662"/>
      <c r="Q60" s="662" t="s">
        <v>742</v>
      </c>
      <c r="R60" s="662"/>
      <c r="S60" s="663"/>
      <c r="T60" s="673" t="s">
        <v>742</v>
      </c>
      <c r="U60" s="664">
        <v>1</v>
      </c>
      <c r="V60" s="1467">
        <f>+O60*40000000/1000</f>
        <v>5689600</v>
      </c>
      <c r="W60" s="670">
        <v>6</v>
      </c>
      <c r="X60" s="1037" t="s">
        <v>541</v>
      </c>
      <c r="Y60" s="672" t="s">
        <v>744</v>
      </c>
      <c r="Z60" s="664" t="s">
        <v>515</v>
      </c>
      <c r="AA60" s="664" t="s">
        <v>515</v>
      </c>
      <c r="AB60" s="664" t="s">
        <v>515</v>
      </c>
      <c r="AC60" s="1210" t="s">
        <v>846</v>
      </c>
      <c r="AD60" s="667" t="s">
        <v>517</v>
      </c>
      <c r="AE60" s="669"/>
      <c r="AF60" s="594">
        <v>40000</v>
      </c>
      <c r="AG60" s="668">
        <f>40000000*O60/1000</f>
        <v>5689600</v>
      </c>
      <c r="AH60" s="1055">
        <v>5</v>
      </c>
      <c r="AI60" s="665">
        <f>AG60*AH60</f>
        <v>28448000</v>
      </c>
      <c r="AJ60" s="668">
        <f>200000000*O60/1000</f>
        <v>28448000</v>
      </c>
      <c r="AK60" s="668">
        <f>300000000*O60/1000</f>
        <v>42672000</v>
      </c>
      <c r="AL60" s="668">
        <f>1050000000*O60/1000</f>
        <v>149352000</v>
      </c>
      <c r="AM60" s="760" t="s">
        <v>700</v>
      </c>
      <c r="AN60" s="272"/>
      <c r="AO60" s="753">
        <f>(AJ60/O60)*1000</f>
        <v>200000000</v>
      </c>
      <c r="AP60" s="272"/>
      <c r="AQ60" s="272"/>
      <c r="AR60" s="272"/>
      <c r="AS60" s="272"/>
      <c r="AT60" s="272"/>
      <c r="AU60" s="272"/>
      <c r="AV60" s="272"/>
      <c r="AW60" s="272"/>
    </row>
    <row r="61" spans="1:49">
      <c r="A61" s="1358"/>
      <c r="B61" s="1319" t="s">
        <v>847</v>
      </c>
      <c r="C61" s="67" t="s">
        <v>848</v>
      </c>
      <c r="D61" s="355" t="s">
        <v>849</v>
      </c>
      <c r="E61" s="349"/>
      <c r="F61" s="664" t="s">
        <v>793</v>
      </c>
      <c r="G61" s="1164" t="s">
        <v>684</v>
      </c>
      <c r="H61" s="1395"/>
      <c r="I61" s="1395"/>
      <c r="J61" s="1395"/>
      <c r="K61" s="969">
        <v>319.89141000000001</v>
      </c>
      <c r="L61" s="703">
        <v>1473</v>
      </c>
      <c r="M61" s="708">
        <f>L61/365</f>
        <v>4.0356164383561648</v>
      </c>
      <c r="N61" s="325">
        <v>45702</v>
      </c>
      <c r="O61" s="1133">
        <v>217.17</v>
      </c>
      <c r="P61" s="662"/>
      <c r="Q61" s="662" t="s">
        <v>742</v>
      </c>
      <c r="R61" s="662"/>
      <c r="S61" s="663"/>
      <c r="T61" s="673" t="s">
        <v>742</v>
      </c>
      <c r="U61" s="664">
        <v>1</v>
      </c>
      <c r="V61" s="1467">
        <v>8686800</v>
      </c>
      <c r="W61" s="670">
        <v>6</v>
      </c>
      <c r="X61" s="1037" t="s">
        <v>541</v>
      </c>
      <c r="Y61" s="672" t="s">
        <v>744</v>
      </c>
      <c r="Z61" s="664" t="s">
        <v>515</v>
      </c>
      <c r="AA61" s="664" t="s">
        <v>515</v>
      </c>
      <c r="AB61" s="664" t="s">
        <v>515</v>
      </c>
      <c r="AC61" s="1210" t="s">
        <v>850</v>
      </c>
      <c r="AD61" s="667" t="s">
        <v>517</v>
      </c>
      <c r="AE61" s="669"/>
      <c r="AF61" s="594">
        <v>40000</v>
      </c>
      <c r="AG61" s="668">
        <v>8686800</v>
      </c>
      <c r="AH61" s="1055">
        <v>5</v>
      </c>
      <c r="AI61" s="665">
        <v>43434000</v>
      </c>
      <c r="AJ61" s="668">
        <v>43434000</v>
      </c>
      <c r="AK61" s="668">
        <v>65151000</v>
      </c>
      <c r="AL61" s="668">
        <v>228028500</v>
      </c>
      <c r="AM61" s="760" t="s">
        <v>700</v>
      </c>
      <c r="AN61" s="272"/>
      <c r="AO61" s="753">
        <v>200000000</v>
      </c>
      <c r="AP61" s="272"/>
      <c r="AQ61" s="272"/>
      <c r="AR61" s="272"/>
      <c r="AS61" s="272"/>
      <c r="AT61" s="272"/>
      <c r="AU61" s="272"/>
      <c r="AV61" s="272"/>
      <c r="AW61" s="272"/>
    </row>
    <row r="62" spans="1:49">
      <c r="A62" s="1437"/>
      <c r="B62" s="1319" t="s">
        <v>851</v>
      </c>
      <c r="C62" s="67" t="s">
        <v>852</v>
      </c>
      <c r="D62" s="355" t="s">
        <v>853</v>
      </c>
      <c r="E62" s="349"/>
      <c r="F62" s="664" t="s">
        <v>793</v>
      </c>
      <c r="G62" s="977" t="s">
        <v>831</v>
      </c>
      <c r="H62" s="1395"/>
      <c r="I62" s="1395"/>
      <c r="J62" s="1395"/>
      <c r="K62" s="969">
        <v>244.41911999999996</v>
      </c>
      <c r="L62" s="703">
        <v>1458</v>
      </c>
      <c r="M62" s="708">
        <f>L62/365</f>
        <v>3.9945205479452053</v>
      </c>
      <c r="N62" s="325">
        <v>45688</v>
      </c>
      <c r="O62" s="1133">
        <v>167.64</v>
      </c>
      <c r="P62" s="662"/>
      <c r="Q62" s="662" t="s">
        <v>742</v>
      </c>
      <c r="R62" s="662"/>
      <c r="S62" s="663"/>
      <c r="T62" s="673" t="s">
        <v>742</v>
      </c>
      <c r="U62" s="664">
        <v>1</v>
      </c>
      <c r="V62" s="1467">
        <f>+O62*40000000/1000</f>
        <v>6705599.9999999991</v>
      </c>
      <c r="W62" s="670">
        <v>6</v>
      </c>
      <c r="X62" s="1037" t="s">
        <v>503</v>
      </c>
      <c r="Y62" s="672" t="s">
        <v>744</v>
      </c>
      <c r="Z62" s="664" t="s">
        <v>515</v>
      </c>
      <c r="AA62" s="664" t="s">
        <v>515</v>
      </c>
      <c r="AB62" s="664" t="s">
        <v>515</v>
      </c>
      <c r="AC62" s="1210" t="s">
        <v>854</v>
      </c>
      <c r="AD62" s="667" t="s">
        <v>517</v>
      </c>
      <c r="AE62" s="669"/>
      <c r="AF62" s="594">
        <v>40000</v>
      </c>
      <c r="AG62" s="668">
        <f>40000000*O62/1000</f>
        <v>6705599.9999999991</v>
      </c>
      <c r="AH62" s="1055">
        <v>5</v>
      </c>
      <c r="AI62" s="665">
        <f>AG62*AH62</f>
        <v>33527999.999999996</v>
      </c>
      <c r="AJ62" s="668">
        <f>200000000*O62/1000</f>
        <v>33527999.999999996</v>
      </c>
      <c r="AK62" s="668">
        <f>300000000*O62/1000</f>
        <v>50291999.999999993</v>
      </c>
      <c r="AL62" s="668">
        <f>1050000000*O62/1000</f>
        <v>176022000</v>
      </c>
      <c r="AM62" s="760" t="s">
        <v>833</v>
      </c>
      <c r="AN62" s="272"/>
      <c r="AO62" s="753">
        <f>(AJ62/O62)*1000</f>
        <v>200000000</v>
      </c>
      <c r="AP62" s="272"/>
      <c r="AQ62" s="272"/>
      <c r="AR62" s="272"/>
      <c r="AS62" s="272"/>
      <c r="AT62" s="272"/>
      <c r="AU62" s="272"/>
      <c r="AV62" s="272"/>
      <c r="AW62" s="272"/>
    </row>
    <row r="63" spans="1:49">
      <c r="A63" s="1440"/>
      <c r="B63" s="1319" t="s">
        <v>855</v>
      </c>
      <c r="C63" s="67" t="s">
        <v>856</v>
      </c>
      <c r="D63" s="347" t="s">
        <v>857</v>
      </c>
      <c r="E63" s="349"/>
      <c r="F63" s="664" t="s">
        <v>793</v>
      </c>
      <c r="G63" s="350" t="s">
        <v>513</v>
      </c>
      <c r="H63" s="1395"/>
      <c r="I63" s="1395">
        <v>9.2999999999999999E-2</v>
      </c>
      <c r="J63" s="1395"/>
      <c r="K63" s="969">
        <v>856.90710000000001</v>
      </c>
      <c r="L63" s="701">
        <v>1470</v>
      </c>
      <c r="M63" s="708">
        <f t="shared" si="21"/>
        <v>4.0273972602739727</v>
      </c>
      <c r="N63" s="325">
        <v>45698</v>
      </c>
      <c r="O63" s="1133">
        <v>582.92999999999995</v>
      </c>
      <c r="P63" s="662"/>
      <c r="Q63" s="662" t="s">
        <v>742</v>
      </c>
      <c r="R63" s="662"/>
      <c r="S63" s="663"/>
      <c r="T63" s="673" t="s">
        <v>742</v>
      </c>
      <c r="U63" s="664">
        <v>1</v>
      </c>
      <c r="V63" s="1467">
        <f t="shared" si="2"/>
        <v>23317199.999999996</v>
      </c>
      <c r="W63" s="670">
        <v>6</v>
      </c>
      <c r="X63" s="1037" t="s">
        <v>541</v>
      </c>
      <c r="Y63" s="667" t="s">
        <v>744</v>
      </c>
      <c r="Z63" s="664" t="s">
        <v>515</v>
      </c>
      <c r="AA63" s="664" t="s">
        <v>515</v>
      </c>
      <c r="AB63" s="664" t="s">
        <v>515</v>
      </c>
      <c r="AC63" s="1210" t="s">
        <v>858</v>
      </c>
      <c r="AD63" s="667" t="s">
        <v>517</v>
      </c>
      <c r="AE63" s="669"/>
      <c r="AF63" s="594">
        <v>40000</v>
      </c>
      <c r="AG63" s="668">
        <f t="shared" si="51"/>
        <v>23317199.999999996</v>
      </c>
      <c r="AH63" s="1055">
        <v>5</v>
      </c>
      <c r="AI63" s="665">
        <f t="shared" si="52"/>
        <v>116585999.99999999</v>
      </c>
      <c r="AJ63" s="668">
        <f t="shared" si="5"/>
        <v>116585999.99999999</v>
      </c>
      <c r="AK63" s="668">
        <f t="shared" si="6"/>
        <v>174879000</v>
      </c>
      <c r="AL63" s="668">
        <f t="shared" si="7"/>
        <v>612076500</v>
      </c>
      <c r="AM63" s="760" t="s">
        <v>833</v>
      </c>
      <c r="AN63" s="272"/>
      <c r="AO63" s="753">
        <f t="shared" si="8"/>
        <v>200000000</v>
      </c>
      <c r="AP63" s="272"/>
      <c r="AQ63" s="272"/>
      <c r="AR63" s="272"/>
      <c r="AS63" s="272"/>
      <c r="AT63" s="272"/>
      <c r="AU63" s="272"/>
      <c r="AV63" s="272"/>
      <c r="AW63" s="272"/>
    </row>
    <row r="64" spans="1:49">
      <c r="A64" s="1440"/>
      <c r="B64" s="1319" t="s">
        <v>859</v>
      </c>
      <c r="C64" s="67" t="s">
        <v>860</v>
      </c>
      <c r="D64" s="355" t="s">
        <v>861</v>
      </c>
      <c r="E64" s="349"/>
      <c r="F64" s="664" t="s">
        <v>793</v>
      </c>
      <c r="G64" s="350" t="s">
        <v>583</v>
      </c>
      <c r="H64" s="1395"/>
      <c r="I64" s="1395">
        <v>9.2999999999999999E-2</v>
      </c>
      <c r="J64" s="1395"/>
      <c r="K64" s="969">
        <v>361.01365999999996</v>
      </c>
      <c r="L64" s="701">
        <v>1454</v>
      </c>
      <c r="M64" s="708">
        <f t="shared" si="21"/>
        <v>3.9835616438356163</v>
      </c>
      <c r="N64" s="325">
        <v>45734</v>
      </c>
      <c r="O64" s="1133">
        <v>248.29</v>
      </c>
      <c r="P64" s="662"/>
      <c r="Q64" s="662" t="s">
        <v>742</v>
      </c>
      <c r="R64" s="662"/>
      <c r="S64" s="663"/>
      <c r="T64" s="673" t="s">
        <v>742</v>
      </c>
      <c r="U64" s="664">
        <v>1</v>
      </c>
      <c r="V64" s="1467">
        <f t="shared" si="2"/>
        <v>9931600</v>
      </c>
      <c r="W64" s="670">
        <v>6</v>
      </c>
      <c r="X64" s="1037" t="s">
        <v>750</v>
      </c>
      <c r="Y64" s="667" t="s">
        <v>744</v>
      </c>
      <c r="Z64" s="664" t="s">
        <v>515</v>
      </c>
      <c r="AA64" s="664" t="s">
        <v>515</v>
      </c>
      <c r="AB64" s="664" t="s">
        <v>515</v>
      </c>
      <c r="AC64" s="1210" t="s">
        <v>862</v>
      </c>
      <c r="AD64" s="667" t="s">
        <v>517</v>
      </c>
      <c r="AE64" s="669"/>
      <c r="AF64" s="594">
        <v>40000</v>
      </c>
      <c r="AG64" s="668">
        <f t="shared" si="51"/>
        <v>9931600</v>
      </c>
      <c r="AH64" s="1055">
        <v>5</v>
      </c>
      <c r="AI64" s="665">
        <f t="shared" si="52"/>
        <v>49658000</v>
      </c>
      <c r="AJ64" s="668">
        <f t="shared" si="5"/>
        <v>49658000</v>
      </c>
      <c r="AK64" s="668">
        <f t="shared" si="6"/>
        <v>74487000</v>
      </c>
      <c r="AL64" s="668">
        <f t="shared" si="7"/>
        <v>260704500</v>
      </c>
      <c r="AM64" s="760" t="s">
        <v>833</v>
      </c>
      <c r="AN64" s="272"/>
      <c r="AO64" s="753">
        <f t="shared" ref="AO64:AO92" si="53">(AJ64/O64)*1000</f>
        <v>200000000</v>
      </c>
      <c r="AP64" s="272"/>
      <c r="AQ64" s="272"/>
      <c r="AR64" s="272"/>
      <c r="AS64" s="272"/>
      <c r="AT64" s="272"/>
      <c r="AU64" s="272"/>
      <c r="AV64" s="272"/>
      <c r="AW64" s="272"/>
    </row>
    <row r="65" spans="1:49" customFormat="1">
      <c r="A65" s="1440"/>
      <c r="B65" s="1319" t="s">
        <v>863</v>
      </c>
      <c r="C65" s="67" t="s">
        <v>864</v>
      </c>
      <c r="D65" s="355" t="s">
        <v>865</v>
      </c>
      <c r="E65" s="349"/>
      <c r="F65" s="664" t="s">
        <v>793</v>
      </c>
      <c r="G65" s="350" t="s">
        <v>583</v>
      </c>
      <c r="H65" s="1395"/>
      <c r="I65" s="1395">
        <v>9.2999999999999999E-2</v>
      </c>
      <c r="J65" s="1395"/>
      <c r="K65" s="969">
        <v>1719.7171600000001</v>
      </c>
      <c r="L65" s="701">
        <v>1412</v>
      </c>
      <c r="M65" s="708">
        <f t="shared" si="21"/>
        <v>3.8684931506849316</v>
      </c>
      <c r="N65" s="325">
        <v>45734</v>
      </c>
      <c r="O65" s="1133">
        <v>1217.93</v>
      </c>
      <c r="P65" s="662"/>
      <c r="Q65" s="662" t="s">
        <v>742</v>
      </c>
      <c r="R65" s="662"/>
      <c r="S65" s="663"/>
      <c r="T65" s="673" t="s">
        <v>742</v>
      </c>
      <c r="U65" s="664">
        <v>1</v>
      </c>
      <c r="V65" s="1467">
        <f t="shared" si="2"/>
        <v>48717200</v>
      </c>
      <c r="W65" s="670">
        <v>6</v>
      </c>
      <c r="X65" s="1037" t="s">
        <v>541</v>
      </c>
      <c r="Y65" s="667" t="s">
        <v>744</v>
      </c>
      <c r="Z65" s="664" t="s">
        <v>515</v>
      </c>
      <c r="AA65" s="664" t="s">
        <v>515</v>
      </c>
      <c r="AB65" s="664" t="s">
        <v>515</v>
      </c>
      <c r="AC65" s="1210" t="s">
        <v>866</v>
      </c>
      <c r="AD65" s="667" t="s">
        <v>517</v>
      </c>
      <c r="AE65" s="669"/>
      <c r="AF65" s="594">
        <v>40000</v>
      </c>
      <c r="AG65" s="668">
        <f t="shared" si="51"/>
        <v>48717200</v>
      </c>
      <c r="AH65" s="1055">
        <v>5</v>
      </c>
      <c r="AI65" s="665">
        <f t="shared" si="52"/>
        <v>243586000</v>
      </c>
      <c r="AJ65" s="668">
        <f t="shared" si="5"/>
        <v>243586000</v>
      </c>
      <c r="AK65" s="668">
        <f t="shared" ref="AK65:AK92" si="54">300000000*O65/1000</f>
        <v>365379000</v>
      </c>
      <c r="AL65" s="668">
        <f t="shared" ref="AL65:AL92" si="55">1050000000*O65/1000</f>
        <v>1278826500</v>
      </c>
      <c r="AM65" s="760" t="s">
        <v>833</v>
      </c>
      <c r="AO65" s="716">
        <f t="shared" si="53"/>
        <v>200000000</v>
      </c>
    </row>
    <row r="66" spans="1:49" customFormat="1" ht="16.5" customHeight="1">
      <c r="A66" s="1440"/>
      <c r="B66" s="1319" t="s">
        <v>867</v>
      </c>
      <c r="C66" s="67" t="s">
        <v>868</v>
      </c>
      <c r="D66" s="355" t="s">
        <v>869</v>
      </c>
      <c r="E66" s="349"/>
      <c r="F66" s="664" t="s">
        <v>793</v>
      </c>
      <c r="G66" s="350" t="s">
        <v>870</v>
      </c>
      <c r="H66" s="1395"/>
      <c r="I66" s="1395">
        <v>9.2999999999999999E-2</v>
      </c>
      <c r="J66" s="1395"/>
      <c r="K66" s="969">
        <v>289.35679999999996</v>
      </c>
      <c r="L66" s="701">
        <v>1424</v>
      </c>
      <c r="M66" s="708">
        <v>3.9013698630136986</v>
      </c>
      <c r="N66" s="325">
        <v>45734</v>
      </c>
      <c r="O66" s="1133">
        <v>203.2</v>
      </c>
      <c r="P66" s="662"/>
      <c r="Q66" s="662" t="s">
        <v>742</v>
      </c>
      <c r="R66" s="662"/>
      <c r="S66" s="663"/>
      <c r="T66" s="673" t="s">
        <v>742</v>
      </c>
      <c r="U66" s="664">
        <v>1</v>
      </c>
      <c r="V66" s="1467">
        <v>8128000</v>
      </c>
      <c r="W66" s="670">
        <v>6</v>
      </c>
      <c r="X66" s="1037" t="s">
        <v>750</v>
      </c>
      <c r="Y66" s="667" t="s">
        <v>744</v>
      </c>
      <c r="Z66" s="664" t="s">
        <v>515</v>
      </c>
      <c r="AA66" s="664" t="s">
        <v>515</v>
      </c>
      <c r="AB66" s="664" t="s">
        <v>515</v>
      </c>
      <c r="AC66" s="1210" t="s">
        <v>871</v>
      </c>
      <c r="AD66" s="667" t="s">
        <v>517</v>
      </c>
      <c r="AE66" s="669"/>
      <c r="AF66" s="594">
        <v>40000</v>
      </c>
      <c r="AG66" s="668">
        <v>8128000</v>
      </c>
      <c r="AH66" s="1055">
        <v>5</v>
      </c>
      <c r="AI66" s="665">
        <f>AG66*AH66</f>
        <v>40640000</v>
      </c>
      <c r="AJ66" s="668">
        <v>40640000</v>
      </c>
      <c r="AK66" s="668">
        <v>60960000</v>
      </c>
      <c r="AL66" s="668">
        <v>213360000</v>
      </c>
      <c r="AM66" s="760" t="s">
        <v>833</v>
      </c>
      <c r="AO66" s="716">
        <v>200000000</v>
      </c>
    </row>
    <row r="67" spans="1:49" ht="16.5" customHeight="1">
      <c r="A67" s="1440"/>
      <c r="B67" s="1319" t="s">
        <v>872</v>
      </c>
      <c r="C67" s="67" t="s">
        <v>873</v>
      </c>
      <c r="D67" s="355" t="s">
        <v>874</v>
      </c>
      <c r="E67" s="349" t="s">
        <v>875</v>
      </c>
      <c r="F67" s="664" t="s">
        <v>793</v>
      </c>
      <c r="G67" s="1315" t="s">
        <v>876</v>
      </c>
      <c r="H67" s="1395"/>
      <c r="I67" s="1395">
        <v>9.5000000000000001E-2</v>
      </c>
      <c r="J67" s="1395"/>
      <c r="K67" s="969">
        <v>2548.1762599999997</v>
      </c>
      <c r="L67" s="701">
        <v>1444</v>
      </c>
      <c r="M67" s="702">
        <v>3.956164383561644</v>
      </c>
      <c r="N67" s="325">
        <v>45588</v>
      </c>
      <c r="O67" s="1133">
        <v>1764.67</v>
      </c>
      <c r="P67" s="662"/>
      <c r="Q67" s="673" t="s">
        <v>742</v>
      </c>
      <c r="R67" s="662"/>
      <c r="S67" s="663"/>
      <c r="T67" s="661" t="s">
        <v>742</v>
      </c>
      <c r="U67" s="664">
        <v>1</v>
      </c>
      <c r="V67" s="1467">
        <v>70586800</v>
      </c>
      <c r="W67" s="670">
        <v>6</v>
      </c>
      <c r="X67" s="1035" t="s">
        <v>541</v>
      </c>
      <c r="Y67" s="672" t="s">
        <v>744</v>
      </c>
      <c r="Z67" s="664" t="s">
        <v>515</v>
      </c>
      <c r="AA67" s="664" t="s">
        <v>515</v>
      </c>
      <c r="AB67" s="664" t="s">
        <v>515</v>
      </c>
      <c r="AC67" s="1210" t="s">
        <v>877</v>
      </c>
      <c r="AD67" s="667" t="s">
        <v>517</v>
      </c>
      <c r="AE67" s="669">
        <v>15700</v>
      </c>
      <c r="AF67" s="594">
        <v>40000</v>
      </c>
      <c r="AG67" s="668">
        <v>66175125</v>
      </c>
      <c r="AH67" s="1394">
        <v>1</v>
      </c>
      <c r="AI67" s="1048">
        <v>126175125</v>
      </c>
      <c r="AJ67" s="668">
        <v>352934000</v>
      </c>
      <c r="AK67" s="668">
        <v>529401000</v>
      </c>
      <c r="AL67" s="668">
        <v>1852903500</v>
      </c>
      <c r="AM67" s="760"/>
      <c r="AN67" s="272"/>
      <c r="AO67" s="753">
        <v>200000000</v>
      </c>
      <c r="AP67" s="272"/>
      <c r="AQ67" s="272"/>
      <c r="AR67" s="272"/>
      <c r="AS67" s="272"/>
      <c r="AT67" s="272"/>
      <c r="AU67" s="272"/>
      <c r="AV67" s="272"/>
      <c r="AW67" s="272"/>
    </row>
    <row r="68" spans="1:49" ht="16.5" customHeight="1">
      <c r="A68" s="1440"/>
      <c r="B68" s="1575" t="s">
        <v>878</v>
      </c>
      <c r="C68" s="469" t="s">
        <v>879</v>
      </c>
      <c r="D68" s="193" t="s">
        <v>880</v>
      </c>
      <c r="E68" s="574" t="s">
        <v>881</v>
      </c>
      <c r="F68" s="682" t="s">
        <v>793</v>
      </c>
      <c r="G68" s="1284" t="s">
        <v>882</v>
      </c>
      <c r="H68" s="1433"/>
      <c r="I68" s="1433">
        <v>9.2999999999999999E-2</v>
      </c>
      <c r="J68" s="1433"/>
      <c r="K68" s="971">
        <v>622.75652999999988</v>
      </c>
      <c r="L68" s="1285">
        <v>1419</v>
      </c>
      <c r="M68" s="709">
        <f>L68/365</f>
        <v>3.8876712328767122</v>
      </c>
      <c r="N68" s="576">
        <v>45623</v>
      </c>
      <c r="O68" s="1158">
        <v>438.87</v>
      </c>
      <c r="P68" s="679"/>
      <c r="Q68" s="681" t="s">
        <v>742</v>
      </c>
      <c r="R68" s="679"/>
      <c r="S68" s="680"/>
      <c r="T68" s="681" t="s">
        <v>742</v>
      </c>
      <c r="U68" s="682">
        <v>1</v>
      </c>
      <c r="V68" s="1472">
        <f>+O68*40000000/1000</f>
        <v>17554800</v>
      </c>
      <c r="W68" s="684">
        <v>6</v>
      </c>
      <c r="X68" s="1039" t="s">
        <v>531</v>
      </c>
      <c r="Y68" s="689" t="s">
        <v>744</v>
      </c>
      <c r="Z68" s="682" t="s">
        <v>515</v>
      </c>
      <c r="AA68" s="682" t="s">
        <v>515</v>
      </c>
      <c r="AB68" s="682" t="s">
        <v>515</v>
      </c>
      <c r="AC68" s="1576" t="s">
        <v>883</v>
      </c>
      <c r="AD68" s="1577" t="s">
        <v>517</v>
      </c>
      <c r="AE68" s="687"/>
      <c r="AF68" s="1436">
        <v>40000</v>
      </c>
      <c r="AG68" s="686">
        <f>40000000*O68/1000</f>
        <v>17554800</v>
      </c>
      <c r="AH68" s="1058">
        <v>5</v>
      </c>
      <c r="AI68" s="1578">
        <f>AG68*AH68</f>
        <v>87774000</v>
      </c>
      <c r="AJ68" s="686">
        <f>200000000*O68/1000</f>
        <v>87774000</v>
      </c>
      <c r="AK68" s="686">
        <f>300000000*O68/1000</f>
        <v>131661000</v>
      </c>
      <c r="AL68" s="686">
        <f>1050000000*O68/1000</f>
        <v>460813500</v>
      </c>
      <c r="AM68" s="763"/>
      <c r="AN68" s="272"/>
      <c r="AO68" s="753">
        <f>(AJ68/O68)*1000</f>
        <v>200000000</v>
      </c>
      <c r="AP68" s="272"/>
      <c r="AQ68" s="272"/>
      <c r="AR68" s="272"/>
      <c r="AS68" s="272"/>
      <c r="AT68" s="272"/>
      <c r="AU68" s="272"/>
      <c r="AV68" s="272"/>
      <c r="AW68" s="272"/>
    </row>
    <row r="69" spans="1:49" customFormat="1" hidden="1" outlineLevel="1">
      <c r="A69" s="1444"/>
      <c r="B69" s="1320"/>
      <c r="C69" s="469"/>
      <c r="D69" s="193"/>
      <c r="E69" s="574"/>
      <c r="F69" s="682"/>
      <c r="G69" s="693"/>
      <c r="H69" s="657"/>
      <c r="I69" s="1004"/>
      <c r="J69" s="693"/>
      <c r="K69" s="1085"/>
      <c r="L69" s="1086"/>
      <c r="M69" s="709">
        <v>3.9013698630136986</v>
      </c>
      <c r="N69" s="576"/>
      <c r="O69" s="1158"/>
      <c r="P69" s="679"/>
      <c r="Q69" s="679"/>
      <c r="R69" s="679"/>
      <c r="S69" s="680"/>
      <c r="T69" s="681"/>
      <c r="U69" s="682"/>
      <c r="V69" s="1472"/>
      <c r="W69" s="684"/>
      <c r="X69" s="1039"/>
      <c r="Y69" s="685"/>
      <c r="Z69" s="682"/>
      <c r="AA69" s="682"/>
      <c r="AB69" s="682"/>
      <c r="AC69" s="1213"/>
      <c r="AD69" s="685"/>
      <c r="AE69" s="687"/>
      <c r="AF69" s="697"/>
      <c r="AG69" s="686"/>
      <c r="AH69" s="1058"/>
      <c r="AI69" s="683"/>
      <c r="AJ69" s="686"/>
      <c r="AK69" s="688"/>
      <c r="AL69" s="686"/>
      <c r="AM69" s="763"/>
      <c r="AO69" s="716"/>
    </row>
    <row r="70" spans="1:49" collapsed="1">
      <c r="A70" s="2618" t="str">
        <f>"DG Batch 4 - 8PJT "</f>
        <v xml:space="preserve">DG Batch 4 - 8PJT </v>
      </c>
      <c r="B70" s="1319" t="s">
        <v>884</v>
      </c>
      <c r="C70" s="67" t="s">
        <v>885</v>
      </c>
      <c r="D70" s="355" t="s">
        <v>886</v>
      </c>
      <c r="E70" s="349" t="s">
        <v>887</v>
      </c>
      <c r="F70" s="664" t="s">
        <v>793</v>
      </c>
      <c r="G70" s="350" t="s">
        <v>825</v>
      </c>
      <c r="H70" s="656" t="s">
        <v>698</v>
      </c>
      <c r="I70" s="656"/>
      <c r="J70" s="656"/>
      <c r="K70" s="969">
        <v>5749.4939999999997</v>
      </c>
      <c r="L70" s="703">
        <v>1403</v>
      </c>
      <c r="M70" s="708">
        <f t="shared" ref="M70:M79" si="56">L70/365</f>
        <v>3.8438356164383563</v>
      </c>
      <c r="N70" s="325">
        <v>45623</v>
      </c>
      <c r="O70" s="1133">
        <v>4098</v>
      </c>
      <c r="P70" s="662" t="s">
        <v>742</v>
      </c>
      <c r="Q70" s="662" t="s">
        <v>742</v>
      </c>
      <c r="R70" s="662"/>
      <c r="S70" s="663"/>
      <c r="T70" s="673" t="s">
        <v>742</v>
      </c>
      <c r="U70" s="664">
        <v>1</v>
      </c>
      <c r="V70" s="1467">
        <f>+O70*40000000/1000</f>
        <v>163920000</v>
      </c>
      <c r="W70" s="670">
        <v>6</v>
      </c>
      <c r="X70" s="1037" t="s">
        <v>556</v>
      </c>
      <c r="Y70" s="672" t="s">
        <v>744</v>
      </c>
      <c r="Z70" s="664" t="s">
        <v>515</v>
      </c>
      <c r="AA70" s="664" t="s">
        <v>515</v>
      </c>
      <c r="AB70" s="664" t="s">
        <v>515</v>
      </c>
      <c r="AC70" s="1210" t="s">
        <v>888</v>
      </c>
      <c r="AD70" s="667" t="s">
        <v>517</v>
      </c>
      <c r="AE70" s="669"/>
      <c r="AF70" s="594">
        <v>40000</v>
      </c>
      <c r="AG70" s="668">
        <f>40000000*O70/1000</f>
        <v>163920000</v>
      </c>
      <c r="AH70" s="1055">
        <v>5</v>
      </c>
      <c r="AI70" s="665">
        <f>AG70*AH70</f>
        <v>819600000</v>
      </c>
      <c r="AJ70" s="668">
        <f>200000000*O70/1000</f>
        <v>819600000</v>
      </c>
      <c r="AK70" s="678">
        <f>300000000*O70/1000</f>
        <v>1229400000</v>
      </c>
      <c r="AL70" s="668">
        <f>1050000000*O70/1000</f>
        <v>4302900000</v>
      </c>
      <c r="AM70" s="760"/>
      <c r="AN70" s="272"/>
      <c r="AO70" s="753">
        <f>(AJ70/O70)*1000</f>
        <v>200000000</v>
      </c>
      <c r="AP70" s="272"/>
      <c r="AQ70" s="272"/>
      <c r="AR70" s="272"/>
      <c r="AS70" s="272"/>
      <c r="AT70" s="272"/>
      <c r="AU70" s="272"/>
      <c r="AV70" s="272"/>
      <c r="AW70" s="272"/>
    </row>
    <row r="71" spans="1:49">
      <c r="A71" s="2619"/>
      <c r="B71" s="1319" t="s">
        <v>889</v>
      </c>
      <c r="C71" s="67" t="s">
        <v>890</v>
      </c>
      <c r="D71" s="355" t="s">
        <v>891</v>
      </c>
      <c r="E71" s="349" t="s">
        <v>892</v>
      </c>
      <c r="F71" s="664" t="s">
        <v>793</v>
      </c>
      <c r="G71" s="350" t="s">
        <v>540</v>
      </c>
      <c r="H71" s="656" t="s">
        <v>698</v>
      </c>
      <c r="I71" s="656"/>
      <c r="J71" s="656"/>
      <c r="K71" s="969">
        <v>275.73</v>
      </c>
      <c r="L71" s="703">
        <v>1414</v>
      </c>
      <c r="M71" s="708">
        <f t="shared" si="56"/>
        <v>3.8739726027397259</v>
      </c>
      <c r="N71" s="325">
        <v>45636</v>
      </c>
      <c r="O71" s="1133">
        <v>195</v>
      </c>
      <c r="P71" s="662" t="s">
        <v>742</v>
      </c>
      <c r="Q71" s="662" t="s">
        <v>742</v>
      </c>
      <c r="R71" s="662"/>
      <c r="S71" s="663"/>
      <c r="T71" s="673" t="s">
        <v>742</v>
      </c>
      <c r="U71" s="664">
        <v>1</v>
      </c>
      <c r="V71" s="1467">
        <f>+O71*40000000/1000</f>
        <v>7800000</v>
      </c>
      <c r="W71" s="670">
        <v>6</v>
      </c>
      <c r="X71" s="1037" t="s">
        <v>750</v>
      </c>
      <c r="Y71" s="672" t="s">
        <v>744</v>
      </c>
      <c r="Z71" s="664" t="s">
        <v>515</v>
      </c>
      <c r="AA71" s="664" t="s">
        <v>515</v>
      </c>
      <c r="AB71" s="664" t="s">
        <v>515</v>
      </c>
      <c r="AC71" s="1210" t="s">
        <v>893</v>
      </c>
      <c r="AD71" s="667" t="s">
        <v>517</v>
      </c>
      <c r="AE71" s="669"/>
      <c r="AF71" s="594">
        <v>40000</v>
      </c>
      <c r="AG71" s="668">
        <f>40000000*O71/1000</f>
        <v>7800000</v>
      </c>
      <c r="AH71" s="1055">
        <v>5</v>
      </c>
      <c r="AI71" s="665">
        <f>AG71*AH71</f>
        <v>39000000</v>
      </c>
      <c r="AJ71" s="668">
        <f>200000000*O71/1000</f>
        <v>39000000</v>
      </c>
      <c r="AK71" s="678">
        <f>300000000*O71/1000</f>
        <v>58500000</v>
      </c>
      <c r="AL71" s="668">
        <f>1050000000*O71/1000</f>
        <v>204750000</v>
      </c>
      <c r="AM71" s="760"/>
      <c r="AN71" s="272"/>
      <c r="AO71" s="753">
        <f>(AJ71/O71)*1000</f>
        <v>200000000</v>
      </c>
      <c r="AP71" s="272"/>
      <c r="AQ71" s="272"/>
      <c r="AR71" s="272"/>
      <c r="AS71" s="272"/>
      <c r="AT71" s="272"/>
      <c r="AU71" s="272"/>
      <c r="AV71" s="272"/>
      <c r="AW71" s="272"/>
    </row>
    <row r="72" spans="1:49">
      <c r="A72" s="2619"/>
      <c r="B72" s="1319" t="s">
        <v>894</v>
      </c>
      <c r="C72" s="67" t="s">
        <v>895</v>
      </c>
      <c r="D72" s="355" t="s">
        <v>896</v>
      </c>
      <c r="E72" s="349" t="s">
        <v>897</v>
      </c>
      <c r="F72" s="664" t="s">
        <v>793</v>
      </c>
      <c r="G72" s="350" t="s">
        <v>583</v>
      </c>
      <c r="H72" s="656" t="s">
        <v>698</v>
      </c>
      <c r="I72" s="656"/>
      <c r="J72" s="656"/>
      <c r="K72" s="969">
        <v>1765.8648000000001</v>
      </c>
      <c r="L72" s="703">
        <v>1374</v>
      </c>
      <c r="M72" s="708">
        <f t="shared" si="56"/>
        <v>3.7643835616438355</v>
      </c>
      <c r="N72" s="325">
        <v>45636</v>
      </c>
      <c r="O72" s="1133">
        <v>1285.2</v>
      </c>
      <c r="P72" s="662" t="s">
        <v>742</v>
      </c>
      <c r="Q72" s="662" t="s">
        <v>742</v>
      </c>
      <c r="R72" s="662"/>
      <c r="S72" s="663"/>
      <c r="T72" s="673" t="s">
        <v>742</v>
      </c>
      <c r="U72" s="664">
        <v>1</v>
      </c>
      <c r="V72" s="1467">
        <f>+O72*40000000/1000</f>
        <v>51408000</v>
      </c>
      <c r="W72" s="670">
        <v>6</v>
      </c>
      <c r="X72" s="1037" t="s">
        <v>503</v>
      </c>
      <c r="Y72" s="672" t="s">
        <v>744</v>
      </c>
      <c r="Z72" s="664" t="s">
        <v>515</v>
      </c>
      <c r="AA72" s="664" t="s">
        <v>515</v>
      </c>
      <c r="AB72" s="664" t="s">
        <v>515</v>
      </c>
      <c r="AC72" s="1210" t="s">
        <v>898</v>
      </c>
      <c r="AD72" s="667" t="s">
        <v>517</v>
      </c>
      <c r="AE72" s="669"/>
      <c r="AF72" s="594">
        <v>40000</v>
      </c>
      <c r="AG72" s="668">
        <f>40000000*O72/1000</f>
        <v>51408000</v>
      </c>
      <c r="AH72" s="1055">
        <v>5</v>
      </c>
      <c r="AI72" s="665">
        <f>AG72*AH72</f>
        <v>257040000</v>
      </c>
      <c r="AJ72" s="668">
        <f>200000000*O72/1000</f>
        <v>257040000</v>
      </c>
      <c r="AK72" s="678">
        <f>300000000*O72/1000</f>
        <v>385560000</v>
      </c>
      <c r="AL72" s="668">
        <f>1050000000*O72/1000</f>
        <v>1349460000</v>
      </c>
      <c r="AM72" s="760"/>
      <c r="AN72" s="272"/>
      <c r="AO72" s="753">
        <f>(AJ72/O72)*1000</f>
        <v>200000000</v>
      </c>
      <c r="AP72" s="272"/>
      <c r="AQ72" s="272"/>
      <c r="AR72" s="272"/>
      <c r="AS72" s="272"/>
      <c r="AT72" s="272"/>
      <c r="AU72" s="272"/>
      <c r="AV72" s="272"/>
      <c r="AW72" s="272"/>
    </row>
    <row r="73" spans="1:49">
      <c r="A73" s="1437">
        <f>SUM(O70:O79)</f>
        <v>18416.77</v>
      </c>
      <c r="B73" s="1319" t="s">
        <v>899</v>
      </c>
      <c r="C73" s="67" t="s">
        <v>900</v>
      </c>
      <c r="D73" s="355" t="s">
        <v>901</v>
      </c>
      <c r="E73" s="349"/>
      <c r="F73" s="664" t="s">
        <v>793</v>
      </c>
      <c r="G73" s="1164" t="s">
        <v>902</v>
      </c>
      <c r="H73" s="656" t="s">
        <v>742</v>
      </c>
      <c r="I73" s="656"/>
      <c r="J73" s="656"/>
      <c r="K73" s="969">
        <v>2397.3739999999998</v>
      </c>
      <c r="L73" s="703">
        <v>1439</v>
      </c>
      <c r="M73" s="708">
        <f t="shared" si="56"/>
        <v>3.9424657534246577</v>
      </c>
      <c r="N73" s="325">
        <v>45702</v>
      </c>
      <c r="O73" s="1133">
        <v>1666</v>
      </c>
      <c r="P73" s="662"/>
      <c r="Q73" s="662" t="s">
        <v>742</v>
      </c>
      <c r="R73" s="662"/>
      <c r="S73" s="663"/>
      <c r="T73" s="673" t="s">
        <v>742</v>
      </c>
      <c r="U73" s="664">
        <v>1</v>
      </c>
      <c r="V73" s="1467">
        <f>+O73*40000000/1000</f>
        <v>66640000</v>
      </c>
      <c r="W73" s="670">
        <v>6</v>
      </c>
      <c r="X73" s="1037" t="s">
        <v>541</v>
      </c>
      <c r="Y73" s="672" t="s">
        <v>744</v>
      </c>
      <c r="Z73" s="664" t="s">
        <v>515</v>
      </c>
      <c r="AA73" s="664" t="s">
        <v>515</v>
      </c>
      <c r="AB73" s="664" t="s">
        <v>515</v>
      </c>
      <c r="AC73" s="1210" t="s">
        <v>903</v>
      </c>
      <c r="AD73" s="667" t="s">
        <v>517</v>
      </c>
      <c r="AE73" s="669"/>
      <c r="AF73" s="594">
        <v>40000</v>
      </c>
      <c r="AG73" s="668">
        <f>40000000*O73/1000</f>
        <v>66640000</v>
      </c>
      <c r="AH73" s="1055">
        <v>5</v>
      </c>
      <c r="AI73" s="665">
        <f>AG73*AH73</f>
        <v>333200000</v>
      </c>
      <c r="AJ73" s="668">
        <f>200000000*O73/1000</f>
        <v>333200000</v>
      </c>
      <c r="AK73" s="678">
        <f>300000000*O73/1000</f>
        <v>499800000</v>
      </c>
      <c r="AL73" s="668">
        <f>1050000000*O73/1000</f>
        <v>1749300000</v>
      </c>
      <c r="AM73" s="760"/>
      <c r="AN73" s="272"/>
      <c r="AO73" s="753">
        <f>(AJ73/O73)*1000</f>
        <v>200000000</v>
      </c>
      <c r="AP73" s="272"/>
      <c r="AQ73" s="272"/>
      <c r="AR73" s="272"/>
      <c r="AS73" s="272"/>
      <c r="AT73" s="272"/>
      <c r="AU73" s="272"/>
      <c r="AV73" s="272"/>
      <c r="AW73" s="272"/>
    </row>
    <row r="74" spans="1:49">
      <c r="A74" s="1440"/>
      <c r="B74" s="1319" t="s">
        <v>904</v>
      </c>
      <c r="C74" s="67" t="s">
        <v>905</v>
      </c>
      <c r="D74" s="355" t="s">
        <v>906</v>
      </c>
      <c r="E74" s="349"/>
      <c r="F74" s="664" t="s">
        <v>793</v>
      </c>
      <c r="G74" s="1164" t="s">
        <v>907</v>
      </c>
      <c r="H74" s="656" t="s">
        <v>742</v>
      </c>
      <c r="I74" s="656"/>
      <c r="J74" s="656"/>
      <c r="K74" s="969">
        <v>2136.2403300000001</v>
      </c>
      <c r="L74" s="703">
        <v>1389</v>
      </c>
      <c r="M74" s="708">
        <f t="shared" si="56"/>
        <v>3.8054794520547945</v>
      </c>
      <c r="N74" s="325">
        <v>45742</v>
      </c>
      <c r="O74" s="1133">
        <v>1537.97</v>
      </c>
      <c r="P74" s="662"/>
      <c r="Q74" s="662" t="s">
        <v>742</v>
      </c>
      <c r="R74" s="662"/>
      <c r="S74" s="663"/>
      <c r="T74" s="673" t="s">
        <v>742</v>
      </c>
      <c r="U74" s="664">
        <v>1</v>
      </c>
      <c r="V74" s="1467"/>
      <c r="W74" s="670">
        <v>6</v>
      </c>
      <c r="X74" s="1037" t="s">
        <v>503</v>
      </c>
      <c r="Y74" s="672" t="s">
        <v>744</v>
      </c>
      <c r="Z74" s="664" t="s">
        <v>515</v>
      </c>
      <c r="AA74" s="664" t="s">
        <v>515</v>
      </c>
      <c r="AB74" s="664" t="s">
        <v>515</v>
      </c>
      <c r="AC74" s="1210" t="s">
        <v>908</v>
      </c>
      <c r="AD74" s="667" t="s">
        <v>517</v>
      </c>
      <c r="AE74" s="669"/>
      <c r="AF74" s="594">
        <v>40000</v>
      </c>
      <c r="AG74" s="668"/>
      <c r="AH74" s="1055">
        <v>5</v>
      </c>
      <c r="AI74" s="665"/>
      <c r="AJ74" s="668"/>
      <c r="AK74" s="678"/>
      <c r="AL74" s="668"/>
      <c r="AM74" s="760"/>
      <c r="AN74" s="272"/>
      <c r="AO74" s="753"/>
      <c r="AP74" s="272"/>
      <c r="AQ74" s="272"/>
      <c r="AR74" s="272"/>
      <c r="AS74" s="272"/>
      <c r="AT74" s="272"/>
      <c r="AU74" s="272"/>
      <c r="AV74" s="272"/>
      <c r="AW74" s="272"/>
    </row>
    <row r="75" spans="1:49">
      <c r="A75" s="1440"/>
      <c r="B75" s="1319" t="s">
        <v>909</v>
      </c>
      <c r="C75" s="67" t="s">
        <v>910</v>
      </c>
      <c r="D75" s="355" t="s">
        <v>911</v>
      </c>
      <c r="E75" s="349"/>
      <c r="F75" s="664" t="s">
        <v>793</v>
      </c>
      <c r="G75" s="1164" t="s">
        <v>907</v>
      </c>
      <c r="H75" s="656" t="s">
        <v>742</v>
      </c>
      <c r="I75" s="656"/>
      <c r="J75" s="656"/>
      <c r="K75" s="969">
        <v>2304.288</v>
      </c>
      <c r="L75" s="703">
        <v>1400</v>
      </c>
      <c r="M75" s="708">
        <f t="shared" si="56"/>
        <v>3.8356164383561642</v>
      </c>
      <c r="N75" s="325">
        <v>45742</v>
      </c>
      <c r="O75" s="1133">
        <v>1645.92</v>
      </c>
      <c r="P75" s="662"/>
      <c r="Q75" s="662" t="s">
        <v>742</v>
      </c>
      <c r="R75" s="662"/>
      <c r="S75" s="663"/>
      <c r="T75" s="673" t="s">
        <v>742</v>
      </c>
      <c r="U75" s="664">
        <v>1</v>
      </c>
      <c r="V75" s="1467"/>
      <c r="W75" s="670">
        <v>6</v>
      </c>
      <c r="X75" s="1037" t="s">
        <v>503</v>
      </c>
      <c r="Y75" s="672" t="s">
        <v>744</v>
      </c>
      <c r="Z75" s="664" t="s">
        <v>515</v>
      </c>
      <c r="AA75" s="664" t="s">
        <v>515</v>
      </c>
      <c r="AB75" s="664" t="s">
        <v>515</v>
      </c>
      <c r="AC75" s="1210" t="s">
        <v>912</v>
      </c>
      <c r="AD75" s="667" t="s">
        <v>517</v>
      </c>
      <c r="AE75" s="669"/>
      <c r="AF75" s="594">
        <v>40000</v>
      </c>
      <c r="AG75" s="668"/>
      <c r="AH75" s="1055">
        <v>5</v>
      </c>
      <c r="AI75" s="665"/>
      <c r="AJ75" s="668"/>
      <c r="AK75" s="678"/>
      <c r="AL75" s="668"/>
      <c r="AM75" s="760"/>
      <c r="AN75" s="272"/>
      <c r="AO75" s="753"/>
      <c r="AP75" s="272"/>
      <c r="AQ75" s="272"/>
      <c r="AR75" s="272"/>
      <c r="AS75" s="272"/>
      <c r="AT75" s="272"/>
      <c r="AU75" s="272"/>
      <c r="AV75" s="272"/>
      <c r="AW75" s="272"/>
    </row>
    <row r="76" spans="1:49">
      <c r="A76" s="1440"/>
      <c r="B76" s="1319" t="s">
        <v>913</v>
      </c>
      <c r="C76" s="67" t="s">
        <v>914</v>
      </c>
      <c r="D76" s="1434" t="s">
        <v>915</v>
      </c>
      <c r="E76" s="349"/>
      <c r="F76" s="664" t="s">
        <v>793</v>
      </c>
      <c r="G76" s="1164" t="s">
        <v>907</v>
      </c>
      <c r="H76" s="656" t="s">
        <v>698</v>
      </c>
      <c r="I76" s="656"/>
      <c r="J76" s="656"/>
      <c r="K76" s="969">
        <v>1535.9157749999999</v>
      </c>
      <c r="L76" s="703">
        <v>1427</v>
      </c>
      <c r="M76" s="708">
        <f t="shared" si="56"/>
        <v>3.9095890410958902</v>
      </c>
      <c r="N76" s="325">
        <v>45742</v>
      </c>
      <c r="O76" s="1133">
        <v>1076.325</v>
      </c>
      <c r="P76" s="662"/>
      <c r="Q76" s="662" t="s">
        <v>742</v>
      </c>
      <c r="R76" s="662"/>
      <c r="S76" s="663"/>
      <c r="T76" s="673" t="s">
        <v>742</v>
      </c>
      <c r="U76" s="664">
        <v>1</v>
      </c>
      <c r="V76" s="1467"/>
      <c r="W76" s="670">
        <v>6</v>
      </c>
      <c r="X76" s="1037" t="s">
        <v>750</v>
      </c>
      <c r="Y76" s="672" t="s">
        <v>744</v>
      </c>
      <c r="Z76" s="664" t="s">
        <v>575</v>
      </c>
      <c r="AA76" s="664" t="s">
        <v>515</v>
      </c>
      <c r="AB76" s="664" t="s">
        <v>515</v>
      </c>
      <c r="AC76" s="1210" t="s">
        <v>916</v>
      </c>
      <c r="AD76" s="667" t="s">
        <v>517</v>
      </c>
      <c r="AE76" s="669"/>
      <c r="AF76" s="594">
        <v>40000</v>
      </c>
      <c r="AG76" s="668"/>
      <c r="AH76" s="1055">
        <v>5</v>
      </c>
      <c r="AI76" s="665"/>
      <c r="AJ76" s="668"/>
      <c r="AK76" s="678"/>
      <c r="AL76" s="668"/>
      <c r="AM76" s="760"/>
      <c r="AN76" s="272"/>
      <c r="AO76" s="753"/>
      <c r="AP76" s="272"/>
      <c r="AQ76" s="272"/>
      <c r="AR76" s="272"/>
      <c r="AS76" s="272"/>
      <c r="AT76" s="272"/>
      <c r="AU76" s="272"/>
      <c r="AV76" s="272"/>
      <c r="AW76" s="272"/>
    </row>
    <row r="77" spans="1:49" customFormat="1" hidden="1" outlineLevel="1">
      <c r="A77" s="1440"/>
      <c r="B77" s="1396" t="s">
        <v>917</v>
      </c>
      <c r="C77" s="67" t="s">
        <v>918</v>
      </c>
      <c r="D77" s="1324" t="s">
        <v>919</v>
      </c>
      <c r="E77" s="349"/>
      <c r="F77" s="664" t="s">
        <v>920</v>
      </c>
      <c r="G77" s="350" t="s">
        <v>742</v>
      </c>
      <c r="H77" s="1395" t="s">
        <v>742</v>
      </c>
      <c r="I77" s="1395"/>
      <c r="J77" s="1395"/>
      <c r="K77" s="969" t="s">
        <v>742</v>
      </c>
      <c r="L77" s="701"/>
      <c r="M77" s="708">
        <f t="shared" ref="M77:M78" si="57">L77/365</f>
        <v>0</v>
      </c>
      <c r="N77" s="325">
        <v>45747</v>
      </c>
      <c r="O77" s="1133">
        <v>920.96</v>
      </c>
      <c r="P77" s="662"/>
      <c r="Q77" s="662" t="s">
        <v>742</v>
      </c>
      <c r="R77" s="662"/>
      <c r="S77" s="663"/>
      <c r="T77" s="673" t="s">
        <v>742</v>
      </c>
      <c r="U77" s="664">
        <v>1</v>
      </c>
      <c r="V77" s="1467"/>
      <c r="W77" s="670">
        <v>6</v>
      </c>
      <c r="X77" s="1037" t="s">
        <v>541</v>
      </c>
      <c r="Y77" s="667" t="s">
        <v>744</v>
      </c>
      <c r="Z77" s="664" t="s">
        <v>575</v>
      </c>
      <c r="AA77" s="664" t="s">
        <v>515</v>
      </c>
      <c r="AB77" s="664" t="s">
        <v>515</v>
      </c>
      <c r="AC77" s="1210"/>
      <c r="AD77" s="667" t="s">
        <v>679</v>
      </c>
      <c r="AE77" s="669"/>
      <c r="AF77" s="594">
        <v>40000</v>
      </c>
      <c r="AG77" s="668"/>
      <c r="AH77" s="1055">
        <v>5</v>
      </c>
      <c r="AI77" s="665"/>
      <c r="AJ77" s="668"/>
      <c r="AK77" s="668"/>
      <c r="AL77" s="668"/>
      <c r="AM77" s="760"/>
      <c r="AO77" s="716"/>
    </row>
    <row r="78" spans="1:49" customFormat="1" hidden="1" outlineLevel="1">
      <c r="A78" s="1440"/>
      <c r="B78" s="1432" t="s">
        <v>921</v>
      </c>
      <c r="C78" s="193" t="s">
        <v>844</v>
      </c>
      <c r="D78" s="1323" t="s">
        <v>922</v>
      </c>
      <c r="E78" s="574"/>
      <c r="F78" s="682" t="s">
        <v>920</v>
      </c>
      <c r="G78" s="1284" t="s">
        <v>742</v>
      </c>
      <c r="H78" s="1433">
        <v>8.9300000000000004E-2</v>
      </c>
      <c r="I78" s="1433">
        <v>9.5600000000000004E-2</v>
      </c>
      <c r="J78" s="1433">
        <v>9.6000000000000002E-2</v>
      </c>
      <c r="K78" s="971">
        <v>1711.9</v>
      </c>
      <c r="L78" s="1285">
        <v>1379</v>
      </c>
      <c r="M78" s="710">
        <f t="shared" si="57"/>
        <v>3.7780821917808218</v>
      </c>
      <c r="N78" s="576">
        <v>45747</v>
      </c>
      <c r="O78" s="1158">
        <v>1240.96</v>
      </c>
      <c r="P78" s="679"/>
      <c r="Q78" s="679" t="s">
        <v>742</v>
      </c>
      <c r="R78" s="679"/>
      <c r="S78" s="680"/>
      <c r="T78" s="681" t="s">
        <v>742</v>
      </c>
      <c r="U78" s="682">
        <v>1</v>
      </c>
      <c r="V78" s="1472"/>
      <c r="W78" s="684">
        <v>6</v>
      </c>
      <c r="X78" s="1040" t="s">
        <v>541</v>
      </c>
      <c r="Y78" s="685" t="s">
        <v>744</v>
      </c>
      <c r="Z78" s="682" t="s">
        <v>515</v>
      </c>
      <c r="AA78" s="682" t="s">
        <v>515</v>
      </c>
      <c r="AB78" s="682" t="s">
        <v>515</v>
      </c>
      <c r="AC78" s="1213"/>
      <c r="AD78" s="685" t="s">
        <v>679</v>
      </c>
      <c r="AE78" s="687"/>
      <c r="AF78" s="1326">
        <v>40000</v>
      </c>
      <c r="AG78" s="1327"/>
      <c r="AH78" s="1328">
        <v>5</v>
      </c>
      <c r="AI78" s="1329"/>
      <c r="AJ78" s="1327"/>
      <c r="AK78" s="1330"/>
      <c r="AL78" s="1327"/>
      <c r="AM78" s="763"/>
      <c r="AO78" s="716"/>
    </row>
    <row r="79" spans="1:49" collapsed="1">
      <c r="A79" s="1444"/>
      <c r="B79" s="1022" t="s">
        <v>923</v>
      </c>
      <c r="C79" s="469" t="s">
        <v>924</v>
      </c>
      <c r="D79" s="193" t="s">
        <v>925</v>
      </c>
      <c r="E79" s="574"/>
      <c r="F79" s="682"/>
      <c r="G79" s="1435" t="s">
        <v>926</v>
      </c>
      <c r="H79" s="658">
        <v>8.43E-2</v>
      </c>
      <c r="I79" s="658">
        <v>9.1999999999999998E-2</v>
      </c>
      <c r="J79" s="658">
        <v>9.2999999999999999E-2</v>
      </c>
      <c r="K79" s="971">
        <v>6588.8533450000004</v>
      </c>
      <c r="L79" s="704">
        <v>1387</v>
      </c>
      <c r="M79" s="710">
        <f t="shared" si="56"/>
        <v>3.8</v>
      </c>
      <c r="N79" s="576">
        <v>45751</v>
      </c>
      <c r="O79" s="1158">
        <v>4750.4350000000004</v>
      </c>
      <c r="P79" s="679"/>
      <c r="Q79" s="679" t="s">
        <v>742</v>
      </c>
      <c r="R79" s="679"/>
      <c r="S79" s="680"/>
      <c r="T79" s="681" t="s">
        <v>742</v>
      </c>
      <c r="U79" s="682">
        <v>1</v>
      </c>
      <c r="V79" s="1472"/>
      <c r="W79" s="684"/>
      <c r="X79" s="1040" t="s">
        <v>503</v>
      </c>
      <c r="Y79" s="689" t="s">
        <v>744</v>
      </c>
      <c r="Z79" s="682" t="s">
        <v>515</v>
      </c>
      <c r="AA79" s="682" t="s">
        <v>515</v>
      </c>
      <c r="AB79" s="682" t="s">
        <v>515</v>
      </c>
      <c r="AC79" s="1213" t="s">
        <v>927</v>
      </c>
      <c r="AD79" s="685" t="s">
        <v>517</v>
      </c>
      <c r="AE79" s="687"/>
      <c r="AF79" s="1436">
        <v>40000</v>
      </c>
      <c r="AG79" s="686">
        <f>+AF79*O79</f>
        <v>190017400.00000003</v>
      </c>
      <c r="AH79" s="1058">
        <v>5</v>
      </c>
      <c r="AI79" s="683">
        <f>+AG79*AH79</f>
        <v>950087000.00000012</v>
      </c>
      <c r="AJ79" s="1327">
        <f>200000000*O79/1000</f>
        <v>950087000.00000012</v>
      </c>
      <c r="AK79" s="1330">
        <f>300000000*O79/1000</f>
        <v>1425130500</v>
      </c>
      <c r="AL79" s="1327">
        <f>1050000000*O79/1000</f>
        <v>4987956750</v>
      </c>
      <c r="AM79" s="763"/>
      <c r="AN79" s="272"/>
      <c r="AO79" s="753"/>
      <c r="AP79" s="272"/>
      <c r="AQ79" s="272"/>
      <c r="AR79" s="272"/>
      <c r="AS79" s="272"/>
      <c r="AT79" s="272"/>
      <c r="AU79" s="272"/>
      <c r="AV79" s="272"/>
      <c r="AW79" s="272"/>
    </row>
    <row r="80" spans="1:49">
      <c r="A80" s="1440"/>
      <c r="B80" s="1319" t="s">
        <v>928</v>
      </c>
      <c r="C80" s="67"/>
      <c r="D80" s="355" t="s">
        <v>929</v>
      </c>
      <c r="E80" s="349" t="s">
        <v>930</v>
      </c>
      <c r="F80" s="664" t="s">
        <v>793</v>
      </c>
      <c r="G80" s="350" t="s">
        <v>931</v>
      </c>
      <c r="H80" s="656" t="s">
        <v>698</v>
      </c>
      <c r="I80" s="656"/>
      <c r="J80" s="656"/>
      <c r="K80" s="969">
        <v>470.95</v>
      </c>
      <c r="L80" s="703">
        <v>1438</v>
      </c>
      <c r="M80" s="708">
        <f t="shared" ref="M80:M90" si="58">L80/365</f>
        <v>3.9397260273972603</v>
      </c>
      <c r="N80" s="325">
        <v>45636</v>
      </c>
      <c r="O80" s="1133">
        <v>330.6</v>
      </c>
      <c r="P80" s="662" t="s">
        <v>742</v>
      </c>
      <c r="Q80" s="662" t="s">
        <v>742</v>
      </c>
      <c r="R80" s="662"/>
      <c r="S80" s="663"/>
      <c r="T80" s="673" t="s">
        <v>742</v>
      </c>
      <c r="U80" s="664">
        <v>1</v>
      </c>
      <c r="V80" s="1467">
        <f>+O80*40000000/1000</f>
        <v>13224000</v>
      </c>
      <c r="W80" s="670">
        <v>6</v>
      </c>
      <c r="X80" s="1037" t="s">
        <v>556</v>
      </c>
      <c r="Y80" s="672" t="s">
        <v>744</v>
      </c>
      <c r="Z80" s="664" t="s">
        <v>515</v>
      </c>
      <c r="AA80" s="664" t="s">
        <v>515</v>
      </c>
      <c r="AB80" s="664" t="s">
        <v>515</v>
      </c>
      <c r="AC80" s="1210" t="s">
        <v>932</v>
      </c>
      <c r="AD80" s="667" t="s">
        <v>517</v>
      </c>
      <c r="AE80" s="669"/>
      <c r="AF80" s="594">
        <v>40000</v>
      </c>
      <c r="AG80" s="668">
        <f>40000000*O80/1000</f>
        <v>13224000</v>
      </c>
      <c r="AH80" s="1055">
        <v>5</v>
      </c>
      <c r="AI80" s="665">
        <f>AG80*AH80</f>
        <v>66120000</v>
      </c>
      <c r="AJ80" s="668">
        <f>200000000*O80/1000</f>
        <v>66120000.000000007</v>
      </c>
      <c r="AK80" s="678">
        <f>300000000*O80/1000</f>
        <v>99180000</v>
      </c>
      <c r="AL80" s="668">
        <f>1050000000*O80/1000</f>
        <v>347130000</v>
      </c>
      <c r="AM80" s="760"/>
      <c r="AN80" s="272"/>
      <c r="AO80" s="753">
        <f>(AJ80/O80)*1000</f>
        <v>200000000</v>
      </c>
      <c r="AP80" s="272"/>
      <c r="AQ80" s="272"/>
      <c r="AR80" s="272"/>
      <c r="AS80" s="272"/>
      <c r="AT80" s="272"/>
      <c r="AU80" s="272"/>
      <c r="AV80" s="272"/>
      <c r="AW80" s="272"/>
    </row>
    <row r="81" spans="1:49">
      <c r="A81" s="1440"/>
      <c r="B81" s="1319" t="s">
        <v>933</v>
      </c>
      <c r="C81" s="67" t="s">
        <v>934</v>
      </c>
      <c r="D81" s="355" t="s">
        <v>935</v>
      </c>
      <c r="E81" s="349" t="s">
        <v>936</v>
      </c>
      <c r="F81" s="664" t="s">
        <v>793</v>
      </c>
      <c r="G81" s="350" t="s">
        <v>931</v>
      </c>
      <c r="H81" s="656" t="s">
        <v>698</v>
      </c>
      <c r="I81" s="656"/>
      <c r="J81" s="656"/>
      <c r="K81" s="1321">
        <v>1419.5</v>
      </c>
      <c r="L81" s="1322">
        <v>1408</v>
      </c>
      <c r="M81" s="708">
        <f t="shared" si="58"/>
        <v>3.8575342465753426</v>
      </c>
      <c r="N81" s="325">
        <v>45636</v>
      </c>
      <c r="O81" s="1133">
        <v>618.6</v>
      </c>
      <c r="P81" s="662" t="s">
        <v>742</v>
      </c>
      <c r="Q81" s="662" t="s">
        <v>742</v>
      </c>
      <c r="R81" s="662"/>
      <c r="S81" s="663"/>
      <c r="T81" s="673" t="s">
        <v>742</v>
      </c>
      <c r="U81" s="664">
        <v>1</v>
      </c>
      <c r="V81" s="1467">
        <f>+O81*40000000/1000</f>
        <v>24744000</v>
      </c>
      <c r="W81" s="670">
        <v>6</v>
      </c>
      <c r="X81" s="1037" t="s">
        <v>503</v>
      </c>
      <c r="Y81" s="672" t="s">
        <v>744</v>
      </c>
      <c r="Z81" s="664" t="s">
        <v>515</v>
      </c>
      <c r="AA81" s="664" t="s">
        <v>515</v>
      </c>
      <c r="AB81" s="664" t="s">
        <v>515</v>
      </c>
      <c r="AC81" s="1210" t="s">
        <v>937</v>
      </c>
      <c r="AD81" s="667" t="s">
        <v>517</v>
      </c>
      <c r="AE81" s="669"/>
      <c r="AF81" s="594">
        <v>40000</v>
      </c>
      <c r="AG81" s="668">
        <f>40000000*O81/1000</f>
        <v>24744000</v>
      </c>
      <c r="AH81" s="1055">
        <v>5</v>
      </c>
      <c r="AI81" s="665">
        <f>AG81*AH81</f>
        <v>123720000</v>
      </c>
      <c r="AJ81" s="668">
        <f>200000000*O81/1000</f>
        <v>123720000</v>
      </c>
      <c r="AK81" s="678">
        <f>300000000*O81/1000</f>
        <v>185580000</v>
      </c>
      <c r="AL81" s="668">
        <f>1050000000*O81/1000</f>
        <v>649530000</v>
      </c>
      <c r="AM81" s="760"/>
      <c r="AN81" s="272"/>
      <c r="AO81" s="753">
        <f>(AJ81/O81)*1000</f>
        <v>200000000</v>
      </c>
      <c r="AP81" s="272"/>
      <c r="AQ81" s="272"/>
      <c r="AR81" s="272"/>
      <c r="AS81" s="272"/>
      <c r="AT81" s="272"/>
      <c r="AU81" s="272"/>
      <c r="AV81" s="272"/>
      <c r="AW81" s="272"/>
    </row>
    <row r="82" spans="1:49">
      <c r="A82" s="1440"/>
      <c r="B82" s="1319" t="s">
        <v>938</v>
      </c>
      <c r="C82" s="67" t="s">
        <v>939</v>
      </c>
      <c r="D82" s="355" t="s">
        <v>940</v>
      </c>
      <c r="E82" s="349" t="s">
        <v>941</v>
      </c>
      <c r="F82" s="664" t="s">
        <v>793</v>
      </c>
      <c r="G82" s="350" t="s">
        <v>931</v>
      </c>
      <c r="H82" s="656" t="s">
        <v>698</v>
      </c>
      <c r="I82" s="656"/>
      <c r="J82" s="656"/>
      <c r="K82" s="1321">
        <v>1419.5</v>
      </c>
      <c r="L82" s="1322">
        <v>1408</v>
      </c>
      <c r="M82" s="708">
        <f t="shared" si="58"/>
        <v>3.8575342465753426</v>
      </c>
      <c r="N82" s="325">
        <v>45623</v>
      </c>
      <c r="O82" s="1133">
        <v>393.6</v>
      </c>
      <c r="P82" s="662" t="s">
        <v>742</v>
      </c>
      <c r="Q82" s="662" t="s">
        <v>742</v>
      </c>
      <c r="R82" s="662"/>
      <c r="S82" s="663"/>
      <c r="T82" s="673" t="s">
        <v>742</v>
      </c>
      <c r="U82" s="664">
        <v>1</v>
      </c>
      <c r="V82" s="1467">
        <f>+O82*40000000/1000</f>
        <v>15744000</v>
      </c>
      <c r="W82" s="670">
        <v>6</v>
      </c>
      <c r="X82" s="1037" t="s">
        <v>503</v>
      </c>
      <c r="Y82" s="672" t="s">
        <v>744</v>
      </c>
      <c r="Z82" s="664" t="s">
        <v>515</v>
      </c>
      <c r="AA82" s="664" t="s">
        <v>515</v>
      </c>
      <c r="AB82" s="664" t="s">
        <v>515</v>
      </c>
      <c r="AC82" s="1210" t="s">
        <v>937</v>
      </c>
      <c r="AD82" s="667" t="s">
        <v>517</v>
      </c>
      <c r="AE82" s="669"/>
      <c r="AF82" s="594">
        <v>40000</v>
      </c>
      <c r="AG82" s="668">
        <f>40000000*O82/1000</f>
        <v>15744000</v>
      </c>
      <c r="AH82" s="1055">
        <v>5</v>
      </c>
      <c r="AI82" s="665">
        <f>AG82*AH82</f>
        <v>78720000</v>
      </c>
      <c r="AJ82" s="668">
        <f>200000000*O82/1000</f>
        <v>78720000</v>
      </c>
      <c r="AK82" s="678">
        <f>300000000*O82/1000</f>
        <v>118080000</v>
      </c>
      <c r="AL82" s="668">
        <f>1050000000*O82/1000</f>
        <v>413280000</v>
      </c>
      <c r="AM82" s="760"/>
      <c r="AN82" s="272"/>
      <c r="AO82" s="753">
        <f>(AJ82/O82)*1000</f>
        <v>200000000</v>
      </c>
      <c r="AP82" s="272"/>
      <c r="AQ82" s="272"/>
      <c r="AR82" s="272"/>
      <c r="AS82" s="272"/>
      <c r="AT82" s="272"/>
      <c r="AU82" s="272"/>
      <c r="AV82" s="272"/>
      <c r="AW82" s="272"/>
    </row>
    <row r="83" spans="1:49">
      <c r="A83" s="1440"/>
      <c r="B83" s="1319" t="s">
        <v>942</v>
      </c>
      <c r="C83" s="67" t="s">
        <v>943</v>
      </c>
      <c r="D83" s="355" t="s">
        <v>944</v>
      </c>
      <c r="E83" s="349" t="s">
        <v>945</v>
      </c>
      <c r="F83" s="664" t="s">
        <v>793</v>
      </c>
      <c r="G83" s="350" t="s">
        <v>931</v>
      </c>
      <c r="H83" s="656" t="s">
        <v>698</v>
      </c>
      <c r="I83" s="656"/>
      <c r="J83" s="656"/>
      <c r="K83" s="969">
        <v>2032</v>
      </c>
      <c r="L83" s="703">
        <v>1378</v>
      </c>
      <c r="M83" s="708">
        <f t="shared" si="58"/>
        <v>3.7753424657534245</v>
      </c>
      <c r="N83" s="325">
        <v>45636</v>
      </c>
      <c r="O83" s="1133">
        <v>1473.6</v>
      </c>
      <c r="P83" s="662" t="s">
        <v>742</v>
      </c>
      <c r="Q83" s="662" t="s">
        <v>742</v>
      </c>
      <c r="R83" s="662"/>
      <c r="S83" s="663"/>
      <c r="T83" s="673" t="s">
        <v>742</v>
      </c>
      <c r="U83" s="664">
        <v>1</v>
      </c>
      <c r="V83" s="1467">
        <f>+O83*40000000/1000</f>
        <v>58944000</v>
      </c>
      <c r="W83" s="670">
        <v>6</v>
      </c>
      <c r="X83" s="1037" t="s">
        <v>503</v>
      </c>
      <c r="Y83" s="672" t="s">
        <v>744</v>
      </c>
      <c r="Z83" s="664" t="s">
        <v>515</v>
      </c>
      <c r="AA83" s="664" t="s">
        <v>515</v>
      </c>
      <c r="AB83" s="664" t="s">
        <v>515</v>
      </c>
      <c r="AC83" s="1210" t="s">
        <v>946</v>
      </c>
      <c r="AD83" s="667" t="s">
        <v>517</v>
      </c>
      <c r="AE83" s="669"/>
      <c r="AF83" s="594">
        <v>40000</v>
      </c>
      <c r="AG83" s="668">
        <f>40000000*O83/1000</f>
        <v>58944000</v>
      </c>
      <c r="AH83" s="1055">
        <v>5</v>
      </c>
      <c r="AI83" s="665">
        <f>AG83*AH83</f>
        <v>294720000</v>
      </c>
      <c r="AJ83" s="668">
        <f>200000000*O83/1000</f>
        <v>294720000</v>
      </c>
      <c r="AK83" s="678">
        <f>300000000*O83/1000</f>
        <v>442080000</v>
      </c>
      <c r="AL83" s="668">
        <f>1050000000*O83/1000</f>
        <v>1547280000</v>
      </c>
      <c r="AM83" s="760"/>
      <c r="AN83" s="272"/>
      <c r="AO83" s="753">
        <f>(AJ83/O83)*1000</f>
        <v>200000000</v>
      </c>
      <c r="AP83" s="272"/>
      <c r="AQ83" s="272"/>
      <c r="AR83" s="272"/>
      <c r="AS83" s="272"/>
      <c r="AT83" s="272"/>
      <c r="AU83" s="272"/>
      <c r="AV83" s="272"/>
      <c r="AW83" s="272"/>
    </row>
    <row r="84" spans="1:49">
      <c r="A84" s="1440" t="str">
        <f>"DG Batch 5 - 11PJT "</f>
        <v xml:space="preserve">DG Batch 5 - 11PJT </v>
      </c>
      <c r="B84" s="1319" t="s">
        <v>947</v>
      </c>
      <c r="C84" s="67" t="s">
        <v>948</v>
      </c>
      <c r="D84" s="355" t="s">
        <v>949</v>
      </c>
      <c r="E84" s="349"/>
      <c r="F84" s="664" t="s">
        <v>793</v>
      </c>
      <c r="G84" s="1164" t="s">
        <v>950</v>
      </c>
      <c r="H84" s="656" t="s">
        <v>742</v>
      </c>
      <c r="I84" s="656"/>
      <c r="J84" s="656"/>
      <c r="K84" s="969">
        <v>386.82</v>
      </c>
      <c r="L84" s="703">
        <v>1433</v>
      </c>
      <c r="M84" s="708">
        <f t="shared" si="58"/>
        <v>3.9260273972602739</v>
      </c>
      <c r="N84" s="325">
        <v>45742</v>
      </c>
      <c r="O84" s="1133">
        <v>269.875</v>
      </c>
      <c r="P84" s="662"/>
      <c r="Q84" s="662" t="s">
        <v>742</v>
      </c>
      <c r="R84" s="662"/>
      <c r="S84" s="663"/>
      <c r="T84" s="673"/>
      <c r="U84" s="664">
        <v>1</v>
      </c>
      <c r="V84" s="1467"/>
      <c r="W84" s="670">
        <v>6</v>
      </c>
      <c r="X84" s="1035" t="s">
        <v>531</v>
      </c>
      <c r="Y84" s="672" t="s">
        <v>744</v>
      </c>
      <c r="Z84" s="664" t="s">
        <v>515</v>
      </c>
      <c r="AA84" s="664" t="s">
        <v>515</v>
      </c>
      <c r="AB84" s="664" t="s">
        <v>515</v>
      </c>
      <c r="AC84" s="1210" t="s">
        <v>951</v>
      </c>
      <c r="AD84" s="667" t="s">
        <v>517</v>
      </c>
      <c r="AE84" s="669"/>
      <c r="AF84" s="594">
        <v>40000</v>
      </c>
      <c r="AG84" s="668"/>
      <c r="AH84" s="1055">
        <v>5</v>
      </c>
      <c r="AI84" s="665"/>
      <c r="AJ84" s="668"/>
      <c r="AK84" s="678"/>
      <c r="AL84" s="668"/>
      <c r="AM84" s="760"/>
      <c r="AN84" s="272"/>
      <c r="AO84" s="753"/>
      <c r="AP84" s="272"/>
      <c r="AQ84" s="272"/>
      <c r="AR84" s="272"/>
      <c r="AS84" s="272"/>
      <c r="AT84" s="272"/>
      <c r="AU84" s="272"/>
      <c r="AV84" s="272"/>
      <c r="AW84" s="272"/>
    </row>
    <row r="85" spans="1:49">
      <c r="A85" s="1440"/>
      <c r="B85" s="1319" t="s">
        <v>952</v>
      </c>
      <c r="C85" s="67" t="s">
        <v>953</v>
      </c>
      <c r="D85" s="355" t="s">
        <v>954</v>
      </c>
      <c r="E85" s="349"/>
      <c r="F85" s="664" t="s">
        <v>793</v>
      </c>
      <c r="G85" s="1164" t="s">
        <v>950</v>
      </c>
      <c r="H85" s="656" t="s">
        <v>742</v>
      </c>
      <c r="I85" s="656"/>
      <c r="J85" s="656"/>
      <c r="K85" s="969">
        <v>950.64</v>
      </c>
      <c r="L85" s="703">
        <v>1444</v>
      </c>
      <c r="M85" s="708">
        <f t="shared" si="58"/>
        <v>3.956164383561644</v>
      </c>
      <c r="N85" s="325">
        <v>45742</v>
      </c>
      <c r="O85" s="1133">
        <v>657.22500000000002</v>
      </c>
      <c r="P85" s="662"/>
      <c r="Q85" s="662" t="s">
        <v>742</v>
      </c>
      <c r="R85" s="662"/>
      <c r="S85" s="663"/>
      <c r="T85" s="673"/>
      <c r="U85" s="664">
        <v>1</v>
      </c>
      <c r="V85" s="1467"/>
      <c r="W85" s="670">
        <v>6</v>
      </c>
      <c r="X85" s="1035" t="s">
        <v>531</v>
      </c>
      <c r="Y85" s="672" t="s">
        <v>744</v>
      </c>
      <c r="Z85" s="664" t="s">
        <v>515</v>
      </c>
      <c r="AA85" s="664" t="s">
        <v>515</v>
      </c>
      <c r="AB85" s="664" t="s">
        <v>515</v>
      </c>
      <c r="AC85" s="1210" t="s">
        <v>955</v>
      </c>
      <c r="AD85" s="667" t="s">
        <v>517</v>
      </c>
      <c r="AE85" s="669"/>
      <c r="AF85" s="594">
        <v>40000</v>
      </c>
      <c r="AG85" s="668"/>
      <c r="AH85" s="1055">
        <v>5</v>
      </c>
      <c r="AI85" s="665"/>
      <c r="AJ85" s="668"/>
      <c r="AK85" s="678"/>
      <c r="AL85" s="668"/>
      <c r="AM85" s="760"/>
      <c r="AN85" s="272"/>
      <c r="AO85" s="753"/>
      <c r="AP85" s="272"/>
      <c r="AQ85" s="272"/>
      <c r="AR85" s="272"/>
      <c r="AS85" s="272"/>
      <c r="AT85" s="272"/>
      <c r="AU85" s="272"/>
      <c r="AV85" s="272"/>
      <c r="AW85" s="272"/>
    </row>
    <row r="86" spans="1:49">
      <c r="A86" s="1437">
        <f>SUM(O80:O90)</f>
        <v>26509.715</v>
      </c>
      <c r="B86" s="1319" t="s">
        <v>956</v>
      </c>
      <c r="C86" s="67" t="s">
        <v>957</v>
      </c>
      <c r="D86" s="355" t="s">
        <v>958</v>
      </c>
      <c r="E86" s="349"/>
      <c r="F86" s="664" t="s">
        <v>793</v>
      </c>
      <c r="G86" s="1164" t="s">
        <v>651</v>
      </c>
      <c r="H86" s="656" t="s">
        <v>742</v>
      </c>
      <c r="I86" s="656"/>
      <c r="J86" s="656"/>
      <c r="K86" s="969">
        <v>863.83</v>
      </c>
      <c r="L86" s="703">
        <v>1447</v>
      </c>
      <c r="M86" s="708">
        <f t="shared" si="58"/>
        <v>3.9643835616438357</v>
      </c>
      <c r="N86" s="325">
        <v>45742</v>
      </c>
      <c r="O86" s="1133">
        <v>598.16999999999996</v>
      </c>
      <c r="P86" s="662"/>
      <c r="Q86" s="662" t="s">
        <v>742</v>
      </c>
      <c r="R86" s="662"/>
      <c r="S86" s="663"/>
      <c r="T86" s="673"/>
      <c r="U86" s="664">
        <v>1</v>
      </c>
      <c r="V86" s="1467"/>
      <c r="W86" s="670">
        <v>6</v>
      </c>
      <c r="X86" s="1035" t="s">
        <v>531</v>
      </c>
      <c r="Y86" s="672" t="s">
        <v>744</v>
      </c>
      <c r="Z86" s="664" t="s">
        <v>515</v>
      </c>
      <c r="AA86" s="664" t="s">
        <v>515</v>
      </c>
      <c r="AB86" s="664" t="s">
        <v>515</v>
      </c>
      <c r="AC86" s="1210" t="s">
        <v>955</v>
      </c>
      <c r="AD86" s="667" t="s">
        <v>517</v>
      </c>
      <c r="AE86" s="669"/>
      <c r="AF86" s="594">
        <v>40000</v>
      </c>
      <c r="AG86" s="668"/>
      <c r="AH86" s="1055">
        <v>5</v>
      </c>
      <c r="AI86" s="665"/>
      <c r="AJ86" s="668"/>
      <c r="AK86" s="678"/>
      <c r="AL86" s="668"/>
      <c r="AM86" s="760"/>
      <c r="AN86" s="272"/>
      <c r="AO86" s="753"/>
      <c r="AP86" s="272"/>
      <c r="AQ86" s="272"/>
      <c r="AR86" s="272"/>
      <c r="AS86" s="272"/>
      <c r="AT86" s="272"/>
      <c r="AU86" s="272"/>
      <c r="AV86" s="272"/>
      <c r="AW86" s="272"/>
    </row>
    <row r="87" spans="1:49">
      <c r="A87" s="1440"/>
      <c r="B87" s="1319" t="s">
        <v>959</v>
      </c>
      <c r="C87" s="67" t="s">
        <v>960</v>
      </c>
      <c r="D87" s="355" t="s">
        <v>961</v>
      </c>
      <c r="E87" s="349"/>
      <c r="F87" s="664" t="s">
        <v>793</v>
      </c>
      <c r="G87" s="1164" t="s">
        <v>962</v>
      </c>
      <c r="H87" s="656" t="s">
        <v>742</v>
      </c>
      <c r="I87" s="656"/>
      <c r="J87" s="656"/>
      <c r="K87" s="969">
        <v>12594</v>
      </c>
      <c r="L87" s="703">
        <v>1407</v>
      </c>
      <c r="M87" s="708">
        <f t="shared" si="58"/>
        <v>3.8547945205479452</v>
      </c>
      <c r="N87" s="325">
        <v>45742</v>
      </c>
      <c r="O87" s="1133">
        <v>8953.5</v>
      </c>
      <c r="P87" s="662"/>
      <c r="Q87" s="662" t="s">
        <v>742</v>
      </c>
      <c r="R87" s="662"/>
      <c r="S87" s="663"/>
      <c r="T87" s="673"/>
      <c r="U87" s="664">
        <v>1</v>
      </c>
      <c r="V87" s="1467"/>
      <c r="W87" s="670">
        <v>6</v>
      </c>
      <c r="X87" s="1037" t="s">
        <v>503</v>
      </c>
      <c r="Y87" s="672" t="s">
        <v>744</v>
      </c>
      <c r="Z87" s="664" t="s">
        <v>515</v>
      </c>
      <c r="AA87" s="664" t="s">
        <v>515</v>
      </c>
      <c r="AB87" s="664" t="s">
        <v>515</v>
      </c>
      <c r="AC87" s="1210" t="s">
        <v>963</v>
      </c>
      <c r="AD87" s="667" t="s">
        <v>517</v>
      </c>
      <c r="AE87" s="669"/>
      <c r="AF87" s="594">
        <v>40000</v>
      </c>
      <c r="AG87" s="668"/>
      <c r="AH87" s="1055">
        <v>5</v>
      </c>
      <c r="AI87" s="665"/>
      <c r="AJ87" s="668"/>
      <c r="AK87" s="678"/>
      <c r="AL87" s="668"/>
      <c r="AM87" s="760"/>
      <c r="AN87" s="272"/>
      <c r="AO87" s="753"/>
      <c r="AP87" s="272"/>
      <c r="AQ87" s="272"/>
      <c r="AR87" s="272"/>
      <c r="AS87" s="272"/>
      <c r="AT87" s="272"/>
      <c r="AU87" s="272"/>
      <c r="AV87" s="272"/>
      <c r="AW87" s="272"/>
    </row>
    <row r="88" spans="1:49">
      <c r="A88" s="1440"/>
      <c r="B88" s="1319" t="s">
        <v>964</v>
      </c>
      <c r="C88" s="67" t="s">
        <v>965</v>
      </c>
      <c r="D88" s="355" t="s">
        <v>966</v>
      </c>
      <c r="E88" s="349"/>
      <c r="F88" s="664" t="s">
        <v>793</v>
      </c>
      <c r="G88" s="1164" t="s">
        <v>684</v>
      </c>
      <c r="H88" s="656" t="s">
        <v>742</v>
      </c>
      <c r="I88" s="656"/>
      <c r="J88" s="656"/>
      <c r="K88" s="969">
        <v>5265.8</v>
      </c>
      <c r="L88" s="703">
        <v>1388</v>
      </c>
      <c r="M88" s="708">
        <f t="shared" si="58"/>
        <v>3.8027397260273972</v>
      </c>
      <c r="N88" s="325">
        <v>45742</v>
      </c>
      <c r="O88" s="1133">
        <v>3794.125</v>
      </c>
      <c r="P88" s="662"/>
      <c r="Q88" s="662" t="s">
        <v>742</v>
      </c>
      <c r="R88" s="662"/>
      <c r="S88" s="663"/>
      <c r="T88" s="673"/>
      <c r="U88" s="664">
        <v>1</v>
      </c>
      <c r="V88" s="1467"/>
      <c r="W88" s="670">
        <v>6</v>
      </c>
      <c r="X88" s="1037" t="s">
        <v>503</v>
      </c>
      <c r="Y88" s="672" t="s">
        <v>744</v>
      </c>
      <c r="Z88" s="664" t="s">
        <v>515</v>
      </c>
      <c r="AA88" s="664" t="s">
        <v>515</v>
      </c>
      <c r="AB88" s="664" t="s">
        <v>515</v>
      </c>
      <c r="AC88" s="1210" t="s">
        <v>967</v>
      </c>
      <c r="AD88" s="667" t="s">
        <v>517</v>
      </c>
      <c r="AE88" s="669"/>
      <c r="AF88" s="594">
        <v>40000</v>
      </c>
      <c r="AG88" s="668"/>
      <c r="AH88" s="1055">
        <v>5</v>
      </c>
      <c r="AI88" s="665"/>
      <c r="AJ88" s="668"/>
      <c r="AK88" s="678"/>
      <c r="AL88" s="668"/>
      <c r="AM88" s="760"/>
      <c r="AN88" s="272"/>
      <c r="AO88" s="753"/>
      <c r="AP88" s="272"/>
      <c r="AQ88" s="272"/>
      <c r="AR88" s="272"/>
      <c r="AS88" s="272"/>
      <c r="AT88" s="272"/>
      <c r="AU88" s="272"/>
      <c r="AV88" s="272"/>
      <c r="AW88" s="272"/>
    </row>
    <row r="89" spans="1:49">
      <c r="A89" s="1440"/>
      <c r="B89" s="1319" t="s">
        <v>968</v>
      </c>
      <c r="C89" s="67" t="s">
        <v>969</v>
      </c>
      <c r="D89" s="355" t="s">
        <v>970</v>
      </c>
      <c r="E89" s="349"/>
      <c r="F89" s="664" t="s">
        <v>793</v>
      </c>
      <c r="G89" s="1164" t="s">
        <v>638</v>
      </c>
      <c r="H89" s="656" t="s">
        <v>742</v>
      </c>
      <c r="I89" s="656"/>
      <c r="J89" s="656"/>
      <c r="K89" s="969">
        <v>13029</v>
      </c>
      <c r="L89" s="703">
        <v>1410</v>
      </c>
      <c r="M89" s="708">
        <f t="shared" si="58"/>
        <v>3.8630136986301369</v>
      </c>
      <c r="N89" s="325">
        <v>45742</v>
      </c>
      <c r="O89" s="1133">
        <v>9240.52</v>
      </c>
      <c r="P89" s="662"/>
      <c r="Q89" s="662" t="s">
        <v>742</v>
      </c>
      <c r="R89" s="662"/>
      <c r="S89" s="663"/>
      <c r="T89" s="673"/>
      <c r="U89" s="664">
        <v>1</v>
      </c>
      <c r="V89" s="1467"/>
      <c r="W89" s="670">
        <v>6</v>
      </c>
      <c r="X89" s="1037" t="s">
        <v>503</v>
      </c>
      <c r="Y89" s="672" t="s">
        <v>744</v>
      </c>
      <c r="Z89" s="664" t="s">
        <v>515</v>
      </c>
      <c r="AA89" s="664" t="s">
        <v>515</v>
      </c>
      <c r="AB89" s="664" t="s">
        <v>515</v>
      </c>
      <c r="AC89" s="1210" t="s">
        <v>971</v>
      </c>
      <c r="AD89" s="667" t="s">
        <v>517</v>
      </c>
      <c r="AE89" s="669"/>
      <c r="AF89" s="594">
        <v>40000</v>
      </c>
      <c r="AG89" s="668"/>
      <c r="AH89" s="1055">
        <v>5</v>
      </c>
      <c r="AI89" s="665"/>
      <c r="AJ89" s="668"/>
      <c r="AK89" s="678"/>
      <c r="AL89" s="668"/>
      <c r="AM89" s="760"/>
      <c r="AN89" s="272"/>
      <c r="AO89" s="753"/>
      <c r="AP89" s="272"/>
      <c r="AQ89" s="272"/>
      <c r="AR89" s="272"/>
      <c r="AS89" s="272"/>
      <c r="AT89" s="272"/>
      <c r="AU89" s="272"/>
      <c r="AV89" s="272"/>
      <c r="AW89" s="272"/>
    </row>
    <row r="90" spans="1:49">
      <c r="A90" s="1444"/>
      <c r="B90" s="1320" t="s">
        <v>972</v>
      </c>
      <c r="C90" s="469" t="s">
        <v>973</v>
      </c>
      <c r="D90" s="193" t="s">
        <v>974</v>
      </c>
      <c r="E90" s="574"/>
      <c r="F90" s="682" t="s">
        <v>793</v>
      </c>
      <c r="G90" s="693" t="s">
        <v>975</v>
      </c>
      <c r="H90" s="658" t="s">
        <v>742</v>
      </c>
      <c r="I90" s="658"/>
      <c r="J90" s="658"/>
      <c r="K90" s="971">
        <v>256.77999999999997</v>
      </c>
      <c r="L90" s="704">
        <v>1433</v>
      </c>
      <c r="M90" s="710">
        <f t="shared" si="58"/>
        <v>3.9260273972602739</v>
      </c>
      <c r="N90" s="576">
        <v>45742</v>
      </c>
      <c r="O90" s="1158">
        <v>179.9</v>
      </c>
      <c r="P90" s="679"/>
      <c r="Q90" s="679" t="s">
        <v>742</v>
      </c>
      <c r="R90" s="679"/>
      <c r="S90" s="680"/>
      <c r="T90" s="681"/>
      <c r="U90" s="682">
        <v>1</v>
      </c>
      <c r="V90" s="1472"/>
      <c r="W90" s="684">
        <v>6</v>
      </c>
      <c r="X90" s="1040" t="s">
        <v>503</v>
      </c>
      <c r="Y90" s="689" t="s">
        <v>744</v>
      </c>
      <c r="Z90" s="682" t="s">
        <v>515</v>
      </c>
      <c r="AA90" s="682" t="s">
        <v>515</v>
      </c>
      <c r="AB90" s="682" t="s">
        <v>515</v>
      </c>
      <c r="AC90" s="1213" t="s">
        <v>976</v>
      </c>
      <c r="AD90" s="685" t="s">
        <v>517</v>
      </c>
      <c r="AE90" s="687"/>
      <c r="AF90" s="697">
        <v>40000</v>
      </c>
      <c r="AG90" s="686"/>
      <c r="AH90" s="1058">
        <v>5</v>
      </c>
      <c r="AI90" s="683"/>
      <c r="AJ90" s="686"/>
      <c r="AK90" s="688"/>
      <c r="AL90" s="686"/>
      <c r="AM90" s="763"/>
      <c r="AN90"/>
      <c r="AO90" s="716"/>
      <c r="AP90"/>
      <c r="AQ90"/>
      <c r="AR90"/>
      <c r="AS90"/>
      <c r="AT90"/>
      <c r="AU90"/>
      <c r="AV90"/>
      <c r="AW90"/>
    </row>
    <row r="91" spans="1:49" ht="16.5" customHeight="1">
      <c r="A91" s="1440"/>
      <c r="B91" s="1319" t="s">
        <v>977</v>
      </c>
      <c r="C91" s="67" t="s">
        <v>978</v>
      </c>
      <c r="D91" s="355" t="s">
        <v>979</v>
      </c>
      <c r="E91" s="349" t="s">
        <v>980</v>
      </c>
      <c r="F91" s="664" t="s">
        <v>793</v>
      </c>
      <c r="G91" s="978" t="s">
        <v>981</v>
      </c>
      <c r="H91" s="656" t="s">
        <v>698</v>
      </c>
      <c r="I91" s="656"/>
      <c r="J91" s="656"/>
      <c r="K91" s="969">
        <v>870035.1</v>
      </c>
      <c r="L91" s="703">
        <v>1448</v>
      </c>
      <c r="M91" s="708">
        <f t="shared" si="21"/>
        <v>3.967123287671233</v>
      </c>
      <c r="N91" s="325">
        <v>45588</v>
      </c>
      <c r="O91" s="1133">
        <v>675.64</v>
      </c>
      <c r="P91" s="662" t="s">
        <v>742</v>
      </c>
      <c r="Q91" s="673" t="s">
        <v>742</v>
      </c>
      <c r="R91" s="662"/>
      <c r="S91" s="663"/>
      <c r="T91" s="673" t="s">
        <v>742</v>
      </c>
      <c r="U91" s="664">
        <v>1</v>
      </c>
      <c r="V91" s="1467">
        <f t="shared" ref="V91:V92" si="59">+O91*40000000/1000</f>
        <v>27025600</v>
      </c>
      <c r="W91" s="670">
        <v>6</v>
      </c>
      <c r="X91" s="1037" t="s">
        <v>541</v>
      </c>
      <c r="Y91" s="672" t="s">
        <v>744</v>
      </c>
      <c r="Z91" s="664" t="s">
        <v>515</v>
      </c>
      <c r="AA91" s="664" t="s">
        <v>515</v>
      </c>
      <c r="AB91" s="664" t="s">
        <v>515</v>
      </c>
      <c r="AC91" s="1210" t="s">
        <v>982</v>
      </c>
      <c r="AD91" s="667" t="s">
        <v>517</v>
      </c>
      <c r="AE91" s="669">
        <v>11090</v>
      </c>
      <c r="AF91" s="594">
        <v>40000</v>
      </c>
      <c r="AG91" s="668">
        <f t="shared" si="51"/>
        <v>27025600</v>
      </c>
      <c r="AH91" s="1055">
        <v>5</v>
      </c>
      <c r="AI91" s="665">
        <f t="shared" si="52"/>
        <v>135128000</v>
      </c>
      <c r="AJ91" s="668">
        <f t="shared" ref="AJ91:AJ92" si="60">200000000*O91/1000</f>
        <v>135128000</v>
      </c>
      <c r="AK91" s="678">
        <f t="shared" si="54"/>
        <v>202692000</v>
      </c>
      <c r="AL91" s="668">
        <f t="shared" si="55"/>
        <v>709422000</v>
      </c>
      <c r="AM91" s="760"/>
      <c r="AN91" s="272"/>
      <c r="AO91" s="753">
        <f t="shared" si="53"/>
        <v>200000000</v>
      </c>
      <c r="AP91" s="272"/>
      <c r="AQ91" s="272"/>
      <c r="AR91" s="272"/>
      <c r="AS91" s="272"/>
      <c r="AT91" s="272"/>
      <c r="AU91" s="272"/>
      <c r="AV91" s="272"/>
      <c r="AW91" s="272"/>
    </row>
    <row r="92" spans="1:49" ht="16.5" customHeight="1">
      <c r="A92" s="1440"/>
      <c r="B92" s="1319" t="s">
        <v>983</v>
      </c>
      <c r="C92" s="67" t="s">
        <v>984</v>
      </c>
      <c r="D92" s="355" t="s">
        <v>985</v>
      </c>
      <c r="E92" s="349" t="s">
        <v>986</v>
      </c>
      <c r="F92" s="664" t="s">
        <v>793</v>
      </c>
      <c r="G92" s="978" t="s">
        <v>987</v>
      </c>
      <c r="H92" s="656" t="s">
        <v>698</v>
      </c>
      <c r="I92" s="656"/>
      <c r="J92" s="656"/>
      <c r="K92" s="969">
        <v>2104765.5</v>
      </c>
      <c r="L92" s="703">
        <v>1443</v>
      </c>
      <c r="M92" s="708">
        <f t="shared" si="21"/>
        <v>3.9534246575342467</v>
      </c>
      <c r="N92" s="325">
        <v>45588</v>
      </c>
      <c r="O92" s="1133">
        <v>1634.49</v>
      </c>
      <c r="P92" s="662" t="s">
        <v>742</v>
      </c>
      <c r="Q92" s="673" t="s">
        <v>742</v>
      </c>
      <c r="R92" s="662"/>
      <c r="S92" s="663"/>
      <c r="T92" s="673" t="s">
        <v>742</v>
      </c>
      <c r="U92" s="664">
        <v>1</v>
      </c>
      <c r="V92" s="1467">
        <f t="shared" si="59"/>
        <v>65379600</v>
      </c>
      <c r="W92" s="670">
        <v>6</v>
      </c>
      <c r="X92" s="1037" t="s">
        <v>541</v>
      </c>
      <c r="Y92" s="672" t="s">
        <v>744</v>
      </c>
      <c r="Z92" s="664" t="s">
        <v>515</v>
      </c>
      <c r="AA92" s="664" t="s">
        <v>515</v>
      </c>
      <c r="AB92" s="664" t="s">
        <v>515</v>
      </c>
      <c r="AC92" s="1210" t="s">
        <v>982</v>
      </c>
      <c r="AD92" s="667" t="s">
        <v>517</v>
      </c>
      <c r="AE92" s="669">
        <v>4260</v>
      </c>
      <c r="AF92" s="594">
        <v>40000</v>
      </c>
      <c r="AG92" s="668">
        <f t="shared" si="51"/>
        <v>65379600</v>
      </c>
      <c r="AH92" s="1055">
        <v>5</v>
      </c>
      <c r="AI92" s="665">
        <f t="shared" si="52"/>
        <v>326898000</v>
      </c>
      <c r="AJ92" s="668">
        <f t="shared" si="60"/>
        <v>326898000</v>
      </c>
      <c r="AK92" s="678">
        <f t="shared" si="54"/>
        <v>490347000</v>
      </c>
      <c r="AL92" s="668">
        <f t="shared" si="55"/>
        <v>1716214500</v>
      </c>
      <c r="AM92" s="760"/>
      <c r="AN92" s="272"/>
      <c r="AO92" s="753">
        <f t="shared" si="53"/>
        <v>200000000</v>
      </c>
      <c r="AP92" s="272"/>
      <c r="AQ92" s="272"/>
      <c r="AR92" s="272"/>
      <c r="AS92" s="272"/>
      <c r="AT92" s="272"/>
      <c r="AU92" s="272"/>
      <c r="AV92" s="272"/>
      <c r="AW92" s="272"/>
    </row>
    <row r="93" spans="1:49">
      <c r="A93" s="1440"/>
      <c r="B93" s="1319" t="s">
        <v>988</v>
      </c>
      <c r="C93" s="67" t="s">
        <v>989</v>
      </c>
      <c r="D93" s="355" t="s">
        <v>990</v>
      </c>
      <c r="E93" s="349" t="s">
        <v>991</v>
      </c>
      <c r="F93" s="664" t="s">
        <v>793</v>
      </c>
      <c r="G93" s="350" t="s">
        <v>992</v>
      </c>
      <c r="H93" s="656" t="s">
        <v>698</v>
      </c>
      <c r="I93" s="656"/>
      <c r="J93" s="656"/>
      <c r="K93" s="969">
        <v>1339396.2</v>
      </c>
      <c r="L93" s="703">
        <v>1428</v>
      </c>
      <c r="M93" s="708">
        <f t="shared" si="21"/>
        <v>3.9123287671232876</v>
      </c>
      <c r="N93" s="325">
        <v>45609</v>
      </c>
      <c r="O93" s="1133">
        <v>1040.1300000000001</v>
      </c>
      <c r="P93" s="662" t="s">
        <v>742</v>
      </c>
      <c r="Q93" s="673" t="s">
        <v>742</v>
      </c>
      <c r="R93" s="662"/>
      <c r="S93" s="663"/>
      <c r="T93" s="673" t="s">
        <v>742</v>
      </c>
      <c r="U93" s="664">
        <v>1</v>
      </c>
      <c r="V93" s="1467">
        <f t="shared" ref="V93:V119" si="61">+O93*40000000/1000</f>
        <v>41605200.000000007</v>
      </c>
      <c r="W93" s="670">
        <v>6</v>
      </c>
      <c r="X93" s="1035" t="s">
        <v>531</v>
      </c>
      <c r="Y93" s="672" t="s">
        <v>744</v>
      </c>
      <c r="Z93" s="664" t="s">
        <v>515</v>
      </c>
      <c r="AA93" s="664" t="s">
        <v>515</v>
      </c>
      <c r="AB93" s="664" t="s">
        <v>515</v>
      </c>
      <c r="AC93" s="1210" t="s">
        <v>993</v>
      </c>
      <c r="AD93" s="667" t="s">
        <v>517</v>
      </c>
      <c r="AE93" s="669"/>
      <c r="AF93" s="594">
        <v>40000</v>
      </c>
      <c r="AG93" s="668">
        <f t="shared" ref="AG93:AG119" si="62">40000000*O93/1000</f>
        <v>41605200.000000007</v>
      </c>
      <c r="AH93" s="1055">
        <v>5</v>
      </c>
      <c r="AI93" s="665">
        <f t="shared" ref="AI93:AI119" si="63">AG93*AH93</f>
        <v>208026000.00000003</v>
      </c>
      <c r="AJ93" s="668">
        <f t="shared" ref="AJ93:AJ119" si="64">200000000*O93/1000</f>
        <v>208026000.00000003</v>
      </c>
      <c r="AK93" s="678">
        <f t="shared" ref="AK93:AK119" si="65">300000000*O93/1000</f>
        <v>312039000.00000006</v>
      </c>
      <c r="AL93" s="668">
        <f t="shared" ref="AL93:AL119" si="66">1050000000*O93/1000</f>
        <v>1092136500.0000002</v>
      </c>
      <c r="AM93" s="760"/>
      <c r="AN93" s="272"/>
      <c r="AO93" s="753">
        <f t="shared" ref="AO93:AO119" si="67">(AJ93/O93)*1000</f>
        <v>200000000</v>
      </c>
      <c r="AP93" s="272"/>
      <c r="AQ93" s="272"/>
      <c r="AR93" s="272"/>
      <c r="AS93" s="272"/>
      <c r="AT93" s="272"/>
      <c r="AU93" s="272"/>
      <c r="AV93" s="272"/>
      <c r="AW93" s="272"/>
    </row>
    <row r="94" spans="1:49">
      <c r="A94" s="1440"/>
      <c r="B94" s="1319" t="s">
        <v>994</v>
      </c>
      <c r="C94" s="67" t="s">
        <v>995</v>
      </c>
      <c r="D94" s="355" t="s">
        <v>996</v>
      </c>
      <c r="E94" s="349" t="s">
        <v>997</v>
      </c>
      <c r="F94" s="664" t="s">
        <v>793</v>
      </c>
      <c r="G94" s="977" t="s">
        <v>831</v>
      </c>
      <c r="H94" s="656" t="s">
        <v>698</v>
      </c>
      <c r="I94" s="656"/>
      <c r="J94" s="656"/>
      <c r="K94" s="969">
        <v>510194.7</v>
      </c>
      <c r="L94" s="703">
        <v>1452</v>
      </c>
      <c r="M94" s="708">
        <f t="shared" si="21"/>
        <v>3.978082191780822</v>
      </c>
      <c r="N94" s="325">
        <v>45609</v>
      </c>
      <c r="O94" s="1133">
        <v>396.2</v>
      </c>
      <c r="P94" s="662" t="s">
        <v>742</v>
      </c>
      <c r="Q94" s="662" t="s">
        <v>742</v>
      </c>
      <c r="R94" s="662"/>
      <c r="S94" s="663"/>
      <c r="T94" s="673" t="s">
        <v>742</v>
      </c>
      <c r="U94" s="664">
        <v>1</v>
      </c>
      <c r="V94" s="1467">
        <f t="shared" si="61"/>
        <v>15848000</v>
      </c>
      <c r="W94" s="670">
        <v>6</v>
      </c>
      <c r="X94" s="1037" t="s">
        <v>541</v>
      </c>
      <c r="Y94" s="672" t="s">
        <v>744</v>
      </c>
      <c r="Z94" s="664" t="s">
        <v>515</v>
      </c>
      <c r="AA94" s="664" t="s">
        <v>515</v>
      </c>
      <c r="AB94" s="664" t="s">
        <v>515</v>
      </c>
      <c r="AC94" s="1210" t="s">
        <v>998</v>
      </c>
      <c r="AD94" s="667" t="s">
        <v>517</v>
      </c>
      <c r="AE94" s="669"/>
      <c r="AF94" s="594">
        <v>40000</v>
      </c>
      <c r="AG94" s="668">
        <f t="shared" si="62"/>
        <v>15848000</v>
      </c>
      <c r="AH94" s="1055">
        <v>5</v>
      </c>
      <c r="AI94" s="665">
        <f t="shared" si="63"/>
        <v>79240000</v>
      </c>
      <c r="AJ94" s="668">
        <f t="shared" si="64"/>
        <v>79240000</v>
      </c>
      <c r="AK94" s="678">
        <f t="shared" si="65"/>
        <v>118860000</v>
      </c>
      <c r="AL94" s="668">
        <f t="shared" si="66"/>
        <v>416010000</v>
      </c>
      <c r="AM94" s="760"/>
      <c r="AN94" s="272"/>
      <c r="AO94" s="753">
        <f t="shared" si="67"/>
        <v>200000000</v>
      </c>
      <c r="AP94" s="272"/>
      <c r="AQ94" s="272"/>
      <c r="AR94" s="272"/>
      <c r="AS94" s="272"/>
      <c r="AT94" s="272"/>
      <c r="AU94" s="272"/>
      <c r="AV94" s="272"/>
      <c r="AW94" s="272"/>
    </row>
    <row r="95" spans="1:49">
      <c r="A95" s="1440"/>
      <c r="B95" s="1319" t="s">
        <v>999</v>
      </c>
      <c r="C95" s="67" t="s">
        <v>1000</v>
      </c>
      <c r="D95" s="355" t="s">
        <v>1001</v>
      </c>
      <c r="E95" s="349" t="s">
        <v>1002</v>
      </c>
      <c r="F95" s="664" t="s">
        <v>793</v>
      </c>
      <c r="G95" s="350" t="s">
        <v>1003</v>
      </c>
      <c r="H95" s="656" t="s">
        <v>698</v>
      </c>
      <c r="I95" s="656"/>
      <c r="J95" s="656"/>
      <c r="K95" s="969">
        <v>409675.2</v>
      </c>
      <c r="L95" s="703">
        <v>1444</v>
      </c>
      <c r="M95" s="708">
        <f t="shared" si="21"/>
        <v>3.956164383561644</v>
      </c>
      <c r="N95" s="325">
        <v>45615</v>
      </c>
      <c r="O95" s="1133">
        <v>318.13499999999999</v>
      </c>
      <c r="P95" s="662" t="s">
        <v>742</v>
      </c>
      <c r="Q95" s="673" t="s">
        <v>742</v>
      </c>
      <c r="R95" s="662"/>
      <c r="S95" s="663"/>
      <c r="T95" s="673" t="s">
        <v>742</v>
      </c>
      <c r="U95" s="664">
        <v>1</v>
      </c>
      <c r="V95" s="1467">
        <f t="shared" si="61"/>
        <v>12725400</v>
      </c>
      <c r="W95" s="670">
        <v>6</v>
      </c>
      <c r="X95" s="1035" t="s">
        <v>750</v>
      </c>
      <c r="Y95" s="672" t="s">
        <v>744</v>
      </c>
      <c r="Z95" s="664" t="s">
        <v>515</v>
      </c>
      <c r="AA95" s="664" t="s">
        <v>515</v>
      </c>
      <c r="AB95" s="664" t="s">
        <v>515</v>
      </c>
      <c r="AC95" s="1210" t="s">
        <v>1004</v>
      </c>
      <c r="AD95" s="667" t="s">
        <v>517</v>
      </c>
      <c r="AE95" s="669"/>
      <c r="AF95" s="594">
        <v>40000</v>
      </c>
      <c r="AG95" s="668">
        <f t="shared" si="62"/>
        <v>12725400</v>
      </c>
      <c r="AH95" s="1055">
        <v>5</v>
      </c>
      <c r="AI95" s="665">
        <f t="shared" si="63"/>
        <v>63627000</v>
      </c>
      <c r="AJ95" s="668">
        <f t="shared" si="64"/>
        <v>63627000</v>
      </c>
      <c r="AK95" s="678">
        <f t="shared" si="65"/>
        <v>95440500</v>
      </c>
      <c r="AL95" s="668">
        <f t="shared" si="66"/>
        <v>334041750</v>
      </c>
      <c r="AM95" s="760"/>
      <c r="AN95" s="272"/>
      <c r="AO95" s="753">
        <f t="shared" si="67"/>
        <v>200000000</v>
      </c>
      <c r="AP95" s="272"/>
      <c r="AQ95" s="272"/>
      <c r="AR95" s="272"/>
      <c r="AS95" s="272"/>
      <c r="AT95" s="272"/>
      <c r="AU95" s="272"/>
      <c r="AV95" s="272"/>
      <c r="AW95" s="272"/>
    </row>
    <row r="96" spans="1:49">
      <c r="A96" s="1440"/>
      <c r="B96" s="1319" t="s">
        <v>1005</v>
      </c>
      <c r="C96" s="67" t="s">
        <v>1006</v>
      </c>
      <c r="D96" s="355" t="s">
        <v>1007</v>
      </c>
      <c r="E96" s="349" t="s">
        <v>1008</v>
      </c>
      <c r="F96" s="664" t="s">
        <v>793</v>
      </c>
      <c r="G96" s="350" t="s">
        <v>825</v>
      </c>
      <c r="H96" s="656" t="s">
        <v>698</v>
      </c>
      <c r="I96" s="656"/>
      <c r="J96" s="656"/>
      <c r="K96" s="969">
        <v>1083461.8999999999</v>
      </c>
      <c r="L96" s="703">
        <v>1457</v>
      </c>
      <c r="M96" s="708">
        <f t="shared" si="21"/>
        <v>3.9917808219178084</v>
      </c>
      <c r="N96" s="325">
        <v>45615</v>
      </c>
      <c r="O96" s="1133">
        <v>841.375</v>
      </c>
      <c r="P96" s="662" t="s">
        <v>742</v>
      </c>
      <c r="Q96" s="673" t="s">
        <v>742</v>
      </c>
      <c r="R96" s="662"/>
      <c r="S96" s="663"/>
      <c r="T96" s="673" t="s">
        <v>742</v>
      </c>
      <c r="U96" s="664">
        <v>1</v>
      </c>
      <c r="V96" s="1467">
        <f t="shared" si="61"/>
        <v>33655000</v>
      </c>
      <c r="W96" s="670">
        <v>6</v>
      </c>
      <c r="X96" s="1035" t="s">
        <v>541</v>
      </c>
      <c r="Y96" s="672" t="s">
        <v>744</v>
      </c>
      <c r="Z96" s="664" t="s">
        <v>515</v>
      </c>
      <c r="AA96" s="664" t="s">
        <v>515</v>
      </c>
      <c r="AB96" s="664" t="s">
        <v>515</v>
      </c>
      <c r="AC96" s="1210" t="s">
        <v>1009</v>
      </c>
      <c r="AD96" s="667" t="s">
        <v>517</v>
      </c>
      <c r="AE96" s="669"/>
      <c r="AF96" s="594">
        <v>40000</v>
      </c>
      <c r="AG96" s="668">
        <f t="shared" si="62"/>
        <v>33655000</v>
      </c>
      <c r="AH96" s="1055">
        <v>5</v>
      </c>
      <c r="AI96" s="665">
        <f t="shared" si="63"/>
        <v>168275000</v>
      </c>
      <c r="AJ96" s="668">
        <f t="shared" si="64"/>
        <v>168275000</v>
      </c>
      <c r="AK96" s="678">
        <f t="shared" si="65"/>
        <v>252412500</v>
      </c>
      <c r="AL96" s="668">
        <f t="shared" si="66"/>
        <v>883443750</v>
      </c>
      <c r="AM96" s="760"/>
      <c r="AN96" s="272"/>
      <c r="AO96" s="753">
        <f t="shared" si="67"/>
        <v>200000000</v>
      </c>
      <c r="AP96" s="272"/>
      <c r="AQ96" s="272"/>
      <c r="AR96" s="272"/>
      <c r="AS96" s="272"/>
      <c r="AT96" s="272"/>
      <c r="AU96" s="272"/>
      <c r="AV96" s="272"/>
      <c r="AW96" s="272"/>
    </row>
    <row r="97" spans="1:49">
      <c r="A97" s="1440"/>
      <c r="B97" s="1319" t="s">
        <v>1010</v>
      </c>
      <c r="C97" s="67" t="s">
        <v>1011</v>
      </c>
      <c r="D97" s="355" t="s">
        <v>1012</v>
      </c>
      <c r="E97" s="349" t="s">
        <v>1013</v>
      </c>
      <c r="F97" s="664" t="s">
        <v>793</v>
      </c>
      <c r="G97" s="977" t="s">
        <v>831</v>
      </c>
      <c r="H97" s="656" t="s">
        <v>698</v>
      </c>
      <c r="I97" s="656"/>
      <c r="J97" s="656"/>
      <c r="K97" s="969">
        <v>537223.9</v>
      </c>
      <c r="L97" s="703">
        <v>1451</v>
      </c>
      <c r="M97" s="708">
        <f t="shared" si="21"/>
        <v>3.9753424657534246</v>
      </c>
      <c r="N97" s="325">
        <v>45615</v>
      </c>
      <c r="O97" s="1133">
        <v>417.19</v>
      </c>
      <c r="P97" s="662" t="s">
        <v>742</v>
      </c>
      <c r="Q97" s="662" t="s">
        <v>742</v>
      </c>
      <c r="R97" s="662"/>
      <c r="S97" s="663"/>
      <c r="T97" s="673" t="s">
        <v>742</v>
      </c>
      <c r="U97" s="664">
        <v>1</v>
      </c>
      <c r="V97" s="1467">
        <f t="shared" si="61"/>
        <v>16687600</v>
      </c>
      <c r="W97" s="670">
        <v>6</v>
      </c>
      <c r="X97" s="1037" t="s">
        <v>541</v>
      </c>
      <c r="Y97" s="672" t="s">
        <v>744</v>
      </c>
      <c r="Z97" s="664" t="s">
        <v>515</v>
      </c>
      <c r="AA97" s="664" t="s">
        <v>515</v>
      </c>
      <c r="AB97" s="664" t="s">
        <v>515</v>
      </c>
      <c r="AC97" s="1210" t="s">
        <v>1014</v>
      </c>
      <c r="AD97" s="667" t="s">
        <v>517</v>
      </c>
      <c r="AE97" s="669"/>
      <c r="AF97" s="594">
        <v>40000</v>
      </c>
      <c r="AG97" s="668">
        <f t="shared" si="62"/>
        <v>16687600</v>
      </c>
      <c r="AH97" s="1055">
        <v>5</v>
      </c>
      <c r="AI97" s="665">
        <f t="shared" si="63"/>
        <v>83438000</v>
      </c>
      <c r="AJ97" s="668">
        <f t="shared" si="64"/>
        <v>83438000</v>
      </c>
      <c r="AK97" s="678">
        <f t="shared" si="65"/>
        <v>125157000</v>
      </c>
      <c r="AL97" s="668">
        <f t="shared" si="66"/>
        <v>438049500</v>
      </c>
      <c r="AM97" s="760"/>
      <c r="AN97" s="272"/>
      <c r="AO97" s="753">
        <f t="shared" si="67"/>
        <v>200000000</v>
      </c>
      <c r="AP97" s="272"/>
      <c r="AQ97" s="272"/>
      <c r="AR97" s="272"/>
      <c r="AS97" s="272"/>
      <c r="AT97" s="272"/>
      <c r="AU97" s="272"/>
      <c r="AV97" s="272"/>
      <c r="AW97" s="272"/>
    </row>
    <row r="98" spans="1:49">
      <c r="A98" s="1440"/>
      <c r="B98" s="1319" t="s">
        <v>1015</v>
      </c>
      <c r="C98" s="67" t="s">
        <v>1016</v>
      </c>
      <c r="D98" s="355" t="s">
        <v>1017</v>
      </c>
      <c r="E98" s="349" t="s">
        <v>1018</v>
      </c>
      <c r="F98" s="664" t="s">
        <v>793</v>
      </c>
      <c r="G98" s="350" t="s">
        <v>870</v>
      </c>
      <c r="H98" s="656" t="s">
        <v>698</v>
      </c>
      <c r="I98" s="656"/>
      <c r="J98" s="656"/>
      <c r="K98" s="969">
        <v>537223.9</v>
      </c>
      <c r="L98" s="703">
        <v>1463</v>
      </c>
      <c r="M98" s="708">
        <f t="shared" si="21"/>
        <v>4.0082191780821921</v>
      </c>
      <c r="N98" s="325">
        <v>45615</v>
      </c>
      <c r="O98" s="1133">
        <v>417.19</v>
      </c>
      <c r="P98" s="662" t="s">
        <v>742</v>
      </c>
      <c r="Q98" s="662" t="s">
        <v>742</v>
      </c>
      <c r="R98" s="662"/>
      <c r="S98" s="663"/>
      <c r="T98" s="673" t="s">
        <v>742</v>
      </c>
      <c r="U98" s="664">
        <v>1</v>
      </c>
      <c r="V98" s="1467">
        <f t="shared" si="61"/>
        <v>16687600</v>
      </c>
      <c r="W98" s="670">
        <v>6</v>
      </c>
      <c r="X98" s="1037" t="s">
        <v>541</v>
      </c>
      <c r="Y98" s="672" t="s">
        <v>744</v>
      </c>
      <c r="Z98" s="664" t="s">
        <v>515</v>
      </c>
      <c r="AA98" s="664" t="s">
        <v>515</v>
      </c>
      <c r="AB98" s="664" t="s">
        <v>515</v>
      </c>
      <c r="AC98" s="1210" t="s">
        <v>1019</v>
      </c>
      <c r="AD98" s="667" t="s">
        <v>517</v>
      </c>
      <c r="AE98" s="669"/>
      <c r="AF98" s="594">
        <v>40000</v>
      </c>
      <c r="AG98" s="668">
        <f t="shared" si="62"/>
        <v>16687600</v>
      </c>
      <c r="AH98" s="1055">
        <v>5</v>
      </c>
      <c r="AI98" s="665">
        <f t="shared" si="63"/>
        <v>83438000</v>
      </c>
      <c r="AJ98" s="668">
        <f t="shared" si="64"/>
        <v>83438000</v>
      </c>
      <c r="AK98" s="678">
        <f t="shared" si="65"/>
        <v>125157000</v>
      </c>
      <c r="AL98" s="668">
        <f t="shared" si="66"/>
        <v>438049500</v>
      </c>
      <c r="AM98" s="760"/>
      <c r="AN98" s="272"/>
      <c r="AO98" s="753">
        <f t="shared" si="67"/>
        <v>200000000</v>
      </c>
      <c r="AP98" s="272"/>
      <c r="AQ98" s="272"/>
      <c r="AR98" s="272"/>
      <c r="AS98" s="272"/>
      <c r="AT98" s="272"/>
      <c r="AU98" s="272"/>
      <c r="AV98" s="272"/>
      <c r="AW98" s="272"/>
    </row>
    <row r="99" spans="1:49">
      <c r="A99" s="1440"/>
      <c r="B99" s="1319" t="s">
        <v>1020</v>
      </c>
      <c r="C99" s="67" t="s">
        <v>1021</v>
      </c>
      <c r="D99" s="355" t="s">
        <v>1022</v>
      </c>
      <c r="E99" s="349" t="s">
        <v>1023</v>
      </c>
      <c r="F99" s="664" t="s">
        <v>793</v>
      </c>
      <c r="G99" s="350" t="s">
        <v>1003</v>
      </c>
      <c r="H99" s="656" t="s">
        <v>698</v>
      </c>
      <c r="I99" s="656"/>
      <c r="J99" s="656"/>
      <c r="K99" s="969">
        <v>690964.8</v>
      </c>
      <c r="L99" s="703">
        <v>1393</v>
      </c>
      <c r="M99" s="708">
        <f t="shared" si="21"/>
        <v>3.8164383561643835</v>
      </c>
      <c r="N99" s="325">
        <v>45615</v>
      </c>
      <c r="O99" s="1133">
        <v>536.57500000000005</v>
      </c>
      <c r="P99" s="662" t="s">
        <v>742</v>
      </c>
      <c r="Q99" s="662" t="s">
        <v>742</v>
      </c>
      <c r="R99" s="662"/>
      <c r="S99" s="663"/>
      <c r="T99" s="673" t="s">
        <v>742</v>
      </c>
      <c r="U99" s="664">
        <v>1</v>
      </c>
      <c r="V99" s="1467">
        <f t="shared" si="61"/>
        <v>21463000</v>
      </c>
      <c r="W99" s="670">
        <v>6</v>
      </c>
      <c r="X99" s="1037" t="s">
        <v>541</v>
      </c>
      <c r="Y99" s="672" t="s">
        <v>744</v>
      </c>
      <c r="Z99" s="664" t="s">
        <v>515</v>
      </c>
      <c r="AA99" s="664" t="s">
        <v>515</v>
      </c>
      <c r="AB99" s="664" t="s">
        <v>515</v>
      </c>
      <c r="AC99" s="1210" t="s">
        <v>1024</v>
      </c>
      <c r="AD99" s="667" t="s">
        <v>517</v>
      </c>
      <c r="AE99" s="669"/>
      <c r="AF99" s="594">
        <v>40000</v>
      </c>
      <c r="AG99" s="668">
        <f t="shared" si="62"/>
        <v>21463000</v>
      </c>
      <c r="AH99" s="1055">
        <v>5</v>
      </c>
      <c r="AI99" s="665">
        <f t="shared" si="63"/>
        <v>107315000</v>
      </c>
      <c r="AJ99" s="668">
        <f t="shared" si="64"/>
        <v>107315000.00000001</v>
      </c>
      <c r="AK99" s="678">
        <f t="shared" si="65"/>
        <v>160972500</v>
      </c>
      <c r="AL99" s="668">
        <f t="shared" si="66"/>
        <v>563403750</v>
      </c>
      <c r="AM99" s="760"/>
      <c r="AN99" s="272"/>
      <c r="AO99" s="753">
        <f t="shared" si="67"/>
        <v>200000000</v>
      </c>
      <c r="AP99" s="272"/>
      <c r="AQ99" s="272"/>
      <c r="AR99" s="272"/>
      <c r="AS99" s="272"/>
      <c r="AT99" s="272"/>
      <c r="AU99" s="272"/>
      <c r="AV99" s="272"/>
      <c r="AW99" s="272"/>
    </row>
    <row r="100" spans="1:49">
      <c r="A100" s="1440"/>
      <c r="B100" s="1319" t="s">
        <v>1025</v>
      </c>
      <c r="C100" s="67" t="s">
        <v>1026</v>
      </c>
      <c r="D100" s="355" t="s">
        <v>1027</v>
      </c>
      <c r="E100" s="349" t="s">
        <v>1028</v>
      </c>
      <c r="F100" s="664" t="s">
        <v>793</v>
      </c>
      <c r="G100" s="350" t="s">
        <v>931</v>
      </c>
      <c r="H100" s="656" t="s">
        <v>698</v>
      </c>
      <c r="I100" s="656"/>
      <c r="J100" s="656"/>
      <c r="K100" s="969">
        <v>1395000</v>
      </c>
      <c r="L100" s="703">
        <v>1438</v>
      </c>
      <c r="M100" s="708">
        <f t="shared" si="21"/>
        <v>3.9397260273972603</v>
      </c>
      <c r="N100" s="325">
        <v>45615</v>
      </c>
      <c r="O100" s="1133">
        <v>1083.31</v>
      </c>
      <c r="P100" s="662" t="s">
        <v>742</v>
      </c>
      <c r="Q100" s="662" t="s">
        <v>742</v>
      </c>
      <c r="R100" s="662"/>
      <c r="S100" s="663"/>
      <c r="T100" s="673" t="s">
        <v>742</v>
      </c>
      <c r="U100" s="664">
        <v>1</v>
      </c>
      <c r="V100" s="1467">
        <f t="shared" si="61"/>
        <v>43332400</v>
      </c>
      <c r="W100" s="670">
        <v>6</v>
      </c>
      <c r="X100" s="1037" t="s">
        <v>541</v>
      </c>
      <c r="Y100" s="672" t="s">
        <v>744</v>
      </c>
      <c r="Z100" s="664" t="s">
        <v>515</v>
      </c>
      <c r="AA100" s="664" t="s">
        <v>515</v>
      </c>
      <c r="AB100" s="664" t="s">
        <v>515</v>
      </c>
      <c r="AC100" s="1210" t="s">
        <v>1029</v>
      </c>
      <c r="AD100" s="667" t="s">
        <v>517</v>
      </c>
      <c r="AE100" s="669"/>
      <c r="AF100" s="594">
        <v>40000</v>
      </c>
      <c r="AG100" s="668">
        <f t="shared" si="62"/>
        <v>43332400</v>
      </c>
      <c r="AH100" s="1055">
        <v>5</v>
      </c>
      <c r="AI100" s="665">
        <f t="shared" si="63"/>
        <v>216662000</v>
      </c>
      <c r="AJ100" s="668">
        <f t="shared" si="64"/>
        <v>216662000</v>
      </c>
      <c r="AK100" s="678">
        <f t="shared" si="65"/>
        <v>324993000</v>
      </c>
      <c r="AL100" s="668">
        <f t="shared" si="66"/>
        <v>1137475500</v>
      </c>
      <c r="AM100" s="760" t="s">
        <v>1030</v>
      </c>
      <c r="AN100" s="272"/>
      <c r="AO100" s="753">
        <f t="shared" si="67"/>
        <v>200000000</v>
      </c>
      <c r="AP100" s="272"/>
      <c r="AQ100" s="272"/>
      <c r="AR100" s="272"/>
      <c r="AS100" s="272"/>
      <c r="AT100" s="272"/>
      <c r="AU100" s="272"/>
      <c r="AV100" s="272"/>
      <c r="AW100" s="272"/>
    </row>
    <row r="101" spans="1:49">
      <c r="A101" s="1440"/>
      <c r="B101" s="1319" t="s">
        <v>1031</v>
      </c>
      <c r="C101" s="67" t="s">
        <v>1032</v>
      </c>
      <c r="D101" s="355" t="s">
        <v>1033</v>
      </c>
      <c r="E101" s="349" t="s">
        <v>1034</v>
      </c>
      <c r="F101" s="664" t="s">
        <v>793</v>
      </c>
      <c r="G101" s="350" t="s">
        <v>931</v>
      </c>
      <c r="H101" s="656" t="s">
        <v>698</v>
      </c>
      <c r="I101" s="656"/>
      <c r="J101" s="656"/>
      <c r="K101" s="969">
        <v>4938921.3</v>
      </c>
      <c r="L101" s="703">
        <v>1411</v>
      </c>
      <c r="M101" s="708">
        <f t="shared" si="21"/>
        <v>3.8657534246575342</v>
      </c>
      <c r="N101" s="325">
        <v>45615</v>
      </c>
      <c r="O101" s="1133">
        <v>3835.4</v>
      </c>
      <c r="P101" s="662" t="s">
        <v>742</v>
      </c>
      <c r="Q101" s="662" t="s">
        <v>742</v>
      </c>
      <c r="R101" s="662"/>
      <c r="S101" s="663"/>
      <c r="T101" s="673" t="s">
        <v>742</v>
      </c>
      <c r="U101" s="664">
        <v>1</v>
      </c>
      <c r="V101" s="1467">
        <f t="shared" si="61"/>
        <v>153416000</v>
      </c>
      <c r="W101" s="670">
        <v>6</v>
      </c>
      <c r="X101" s="1037" t="s">
        <v>541</v>
      </c>
      <c r="Y101" s="672" t="s">
        <v>744</v>
      </c>
      <c r="Z101" s="664" t="s">
        <v>515</v>
      </c>
      <c r="AA101" s="664" t="s">
        <v>515</v>
      </c>
      <c r="AB101" s="664" t="s">
        <v>515</v>
      </c>
      <c r="AC101" s="1210" t="s">
        <v>1035</v>
      </c>
      <c r="AD101" s="667" t="s">
        <v>517</v>
      </c>
      <c r="AE101" s="669"/>
      <c r="AF101" s="594">
        <v>40000</v>
      </c>
      <c r="AG101" s="668">
        <f t="shared" si="62"/>
        <v>153416000</v>
      </c>
      <c r="AH101" s="1055">
        <v>5</v>
      </c>
      <c r="AI101" s="665">
        <f t="shared" si="63"/>
        <v>767080000</v>
      </c>
      <c r="AJ101" s="668">
        <f t="shared" si="64"/>
        <v>767080000</v>
      </c>
      <c r="AK101" s="678">
        <f t="shared" si="65"/>
        <v>1150620000</v>
      </c>
      <c r="AL101" s="668">
        <f t="shared" si="66"/>
        <v>4027170000</v>
      </c>
      <c r="AM101" s="760" t="s">
        <v>1030</v>
      </c>
      <c r="AN101" s="272"/>
      <c r="AO101" s="753">
        <f t="shared" si="67"/>
        <v>200000000</v>
      </c>
      <c r="AP101" s="272"/>
      <c r="AQ101" s="272"/>
      <c r="AR101" s="272"/>
      <c r="AS101" s="272"/>
      <c r="AT101" s="272"/>
      <c r="AU101" s="272"/>
      <c r="AV101" s="272"/>
      <c r="AW101" s="272"/>
    </row>
    <row r="102" spans="1:49">
      <c r="A102" s="1440"/>
      <c r="B102" s="1319" t="s">
        <v>1036</v>
      </c>
      <c r="C102" s="67" t="s">
        <v>1037</v>
      </c>
      <c r="D102" s="355" t="s">
        <v>1038</v>
      </c>
      <c r="E102" s="349" t="s">
        <v>1039</v>
      </c>
      <c r="F102" s="664" t="s">
        <v>793</v>
      </c>
      <c r="G102" s="350" t="s">
        <v>931</v>
      </c>
      <c r="H102" s="656" t="s">
        <v>698</v>
      </c>
      <c r="I102" s="656"/>
      <c r="J102" s="656"/>
      <c r="K102" s="969">
        <v>2318192.2000000002</v>
      </c>
      <c r="L102" s="703">
        <v>1447</v>
      </c>
      <c r="M102" s="708">
        <f t="shared" si="21"/>
        <v>3.9643835616438357</v>
      </c>
      <c r="N102" s="325">
        <v>45615</v>
      </c>
      <c r="O102" s="1133">
        <v>1800.2249999999999</v>
      </c>
      <c r="P102" s="662" t="s">
        <v>742</v>
      </c>
      <c r="Q102" s="662" t="s">
        <v>742</v>
      </c>
      <c r="R102" s="662"/>
      <c r="S102" s="663"/>
      <c r="T102" s="673" t="s">
        <v>742</v>
      </c>
      <c r="U102" s="664">
        <v>1</v>
      </c>
      <c r="V102" s="1467">
        <f t="shared" si="61"/>
        <v>72009000</v>
      </c>
      <c r="W102" s="670">
        <v>6</v>
      </c>
      <c r="X102" s="1037" t="s">
        <v>541</v>
      </c>
      <c r="Y102" s="672" t="s">
        <v>744</v>
      </c>
      <c r="Z102" s="664" t="s">
        <v>515</v>
      </c>
      <c r="AA102" s="664" t="s">
        <v>515</v>
      </c>
      <c r="AB102" s="664" t="s">
        <v>515</v>
      </c>
      <c r="AC102" s="1210" t="s">
        <v>1040</v>
      </c>
      <c r="AD102" s="667" t="s">
        <v>517</v>
      </c>
      <c r="AE102" s="669"/>
      <c r="AF102" s="594">
        <v>40000</v>
      </c>
      <c r="AG102" s="668">
        <f t="shared" si="62"/>
        <v>72009000</v>
      </c>
      <c r="AH102" s="1055">
        <v>5</v>
      </c>
      <c r="AI102" s="665">
        <f t="shared" si="63"/>
        <v>360045000</v>
      </c>
      <c r="AJ102" s="668">
        <f t="shared" si="64"/>
        <v>360045000</v>
      </c>
      <c r="AK102" s="678">
        <f t="shared" si="65"/>
        <v>540067500</v>
      </c>
      <c r="AL102" s="668">
        <f t="shared" si="66"/>
        <v>1890236250</v>
      </c>
      <c r="AM102" s="760" t="s">
        <v>1030</v>
      </c>
      <c r="AN102" s="272"/>
      <c r="AO102" s="753">
        <f t="shared" si="67"/>
        <v>200000000</v>
      </c>
      <c r="AP102" s="272"/>
      <c r="AQ102" s="272"/>
      <c r="AR102" s="272"/>
      <c r="AS102" s="272"/>
      <c r="AT102" s="272"/>
      <c r="AU102" s="272"/>
      <c r="AV102" s="272"/>
      <c r="AW102" s="272"/>
    </row>
    <row r="103" spans="1:49">
      <c r="A103" s="1440"/>
      <c r="B103" s="1319" t="s">
        <v>1041</v>
      </c>
      <c r="C103" s="67" t="s">
        <v>1042</v>
      </c>
      <c r="D103" s="355" t="s">
        <v>1043</v>
      </c>
      <c r="E103" s="349" t="s">
        <v>1044</v>
      </c>
      <c r="F103" s="664" t="s">
        <v>793</v>
      </c>
      <c r="G103" s="350" t="s">
        <v>931</v>
      </c>
      <c r="H103" s="656" t="s">
        <v>698</v>
      </c>
      <c r="I103" s="656"/>
      <c r="J103" s="656"/>
      <c r="K103" s="969">
        <v>1756424.3</v>
      </c>
      <c r="L103" s="703">
        <v>1442</v>
      </c>
      <c r="M103" s="708">
        <f t="shared" si="21"/>
        <v>3.9506849315068493</v>
      </c>
      <c r="N103" s="325">
        <v>45615</v>
      </c>
      <c r="O103" s="1133">
        <v>1363.98</v>
      </c>
      <c r="P103" s="662" t="s">
        <v>742</v>
      </c>
      <c r="Q103" s="662" t="s">
        <v>742</v>
      </c>
      <c r="R103" s="662"/>
      <c r="S103" s="663"/>
      <c r="T103" s="673" t="s">
        <v>742</v>
      </c>
      <c r="U103" s="664">
        <v>1</v>
      </c>
      <c r="V103" s="1467">
        <f t="shared" si="61"/>
        <v>54559200</v>
      </c>
      <c r="W103" s="670">
        <v>6</v>
      </c>
      <c r="X103" s="1037" t="s">
        <v>524</v>
      </c>
      <c r="Y103" s="672" t="s">
        <v>744</v>
      </c>
      <c r="Z103" s="664" t="s">
        <v>515</v>
      </c>
      <c r="AA103" s="664" t="s">
        <v>515</v>
      </c>
      <c r="AB103" s="664" t="s">
        <v>515</v>
      </c>
      <c r="AC103" s="1210" t="s">
        <v>1045</v>
      </c>
      <c r="AD103" s="667" t="s">
        <v>517</v>
      </c>
      <c r="AE103" s="669"/>
      <c r="AF103" s="594">
        <v>40000</v>
      </c>
      <c r="AG103" s="668">
        <f t="shared" si="62"/>
        <v>54559200</v>
      </c>
      <c r="AH103" s="1055">
        <v>5</v>
      </c>
      <c r="AI103" s="665">
        <f t="shared" si="63"/>
        <v>272796000</v>
      </c>
      <c r="AJ103" s="668">
        <f t="shared" si="64"/>
        <v>272796000</v>
      </c>
      <c r="AK103" s="678">
        <f t="shared" si="65"/>
        <v>409194000</v>
      </c>
      <c r="AL103" s="668">
        <f t="shared" si="66"/>
        <v>1432179000</v>
      </c>
      <c r="AM103" s="760" t="s">
        <v>1030</v>
      </c>
      <c r="AN103" s="272"/>
      <c r="AO103" s="753">
        <f t="shared" si="67"/>
        <v>200000000</v>
      </c>
      <c r="AP103" s="272"/>
      <c r="AQ103" s="272"/>
      <c r="AR103" s="272"/>
      <c r="AS103" s="272"/>
      <c r="AT103" s="272"/>
      <c r="AU103" s="272"/>
      <c r="AV103" s="272"/>
      <c r="AW103" s="272"/>
    </row>
    <row r="104" spans="1:49">
      <c r="A104" s="1440"/>
      <c r="B104" s="1319" t="s">
        <v>1046</v>
      </c>
      <c r="C104" s="67" t="s">
        <v>1047</v>
      </c>
      <c r="D104" s="347" t="s">
        <v>1048</v>
      </c>
      <c r="E104" s="349" t="s">
        <v>1049</v>
      </c>
      <c r="F104" s="664" t="s">
        <v>793</v>
      </c>
      <c r="G104" s="350" t="s">
        <v>931</v>
      </c>
      <c r="H104" s="656" t="s">
        <v>698</v>
      </c>
      <c r="I104" s="656"/>
      <c r="J104" s="656"/>
      <c r="K104" s="969">
        <v>1726987</v>
      </c>
      <c r="L104" s="703">
        <v>1427</v>
      </c>
      <c r="M104" s="708">
        <f t="shared" si="21"/>
        <v>3.9095890410958902</v>
      </c>
      <c r="N104" s="325">
        <v>45615</v>
      </c>
      <c r="O104" s="1133">
        <v>1341.12</v>
      </c>
      <c r="P104" s="662" t="s">
        <v>742</v>
      </c>
      <c r="Q104" s="662" t="s">
        <v>742</v>
      </c>
      <c r="R104" s="662"/>
      <c r="S104" s="663"/>
      <c r="T104" s="673" t="s">
        <v>742</v>
      </c>
      <c r="U104" s="664">
        <v>1</v>
      </c>
      <c r="V104" s="1467">
        <f t="shared" si="61"/>
        <v>53644799.999999993</v>
      </c>
      <c r="W104" s="670">
        <v>6</v>
      </c>
      <c r="X104" s="1037" t="s">
        <v>556</v>
      </c>
      <c r="Y104" s="672" t="s">
        <v>744</v>
      </c>
      <c r="Z104" s="664" t="s">
        <v>515</v>
      </c>
      <c r="AA104" s="664" t="s">
        <v>515</v>
      </c>
      <c r="AB104" s="664" t="s">
        <v>515</v>
      </c>
      <c r="AC104" s="1210" t="s">
        <v>1050</v>
      </c>
      <c r="AD104" s="667" t="s">
        <v>517</v>
      </c>
      <c r="AE104" s="669"/>
      <c r="AF104" s="594">
        <v>40000</v>
      </c>
      <c r="AG104" s="668">
        <f t="shared" si="62"/>
        <v>53644799.999999993</v>
      </c>
      <c r="AH104" s="1055">
        <v>5</v>
      </c>
      <c r="AI104" s="665">
        <f t="shared" si="63"/>
        <v>268223999.99999997</v>
      </c>
      <c r="AJ104" s="668">
        <f t="shared" si="64"/>
        <v>268223999.99999997</v>
      </c>
      <c r="AK104" s="678">
        <f t="shared" si="65"/>
        <v>402335999.99999994</v>
      </c>
      <c r="AL104" s="668">
        <f t="shared" si="66"/>
        <v>1408176000</v>
      </c>
      <c r="AM104" s="760" t="s">
        <v>1030</v>
      </c>
      <c r="AN104" s="272"/>
      <c r="AO104" s="753">
        <f t="shared" si="67"/>
        <v>200000000</v>
      </c>
      <c r="AP104" s="272"/>
      <c r="AQ104" s="272"/>
      <c r="AR104" s="272"/>
      <c r="AS104" s="272"/>
      <c r="AT104" s="272"/>
      <c r="AU104" s="272"/>
      <c r="AV104" s="272"/>
      <c r="AW104" s="272"/>
    </row>
    <row r="105" spans="1:49">
      <c r="A105" s="1440"/>
      <c r="B105" s="1319" t="s">
        <v>1051</v>
      </c>
      <c r="C105" s="67" t="s">
        <v>1052</v>
      </c>
      <c r="D105" s="355" t="s">
        <v>1053</v>
      </c>
      <c r="E105" s="349" t="s">
        <v>1054</v>
      </c>
      <c r="F105" s="664" t="s">
        <v>793</v>
      </c>
      <c r="G105" s="350" t="s">
        <v>931</v>
      </c>
      <c r="H105" s="656" t="s">
        <v>698</v>
      </c>
      <c r="I105" s="656"/>
      <c r="J105" s="656"/>
      <c r="K105" s="969">
        <v>523329.4</v>
      </c>
      <c r="L105" s="703">
        <v>1369</v>
      </c>
      <c r="M105" s="708">
        <f t="shared" si="21"/>
        <v>3.7506849315068491</v>
      </c>
      <c r="N105" s="325">
        <v>45615</v>
      </c>
      <c r="O105" s="1133">
        <v>406.4</v>
      </c>
      <c r="P105" s="662" t="s">
        <v>742</v>
      </c>
      <c r="Q105" s="662" t="s">
        <v>742</v>
      </c>
      <c r="R105" s="662"/>
      <c r="S105" s="663"/>
      <c r="T105" s="673" t="s">
        <v>742</v>
      </c>
      <c r="U105" s="664">
        <v>1</v>
      </c>
      <c r="V105" s="1467">
        <f t="shared" si="61"/>
        <v>16256000</v>
      </c>
      <c r="W105" s="670">
        <v>6</v>
      </c>
      <c r="X105" s="1037" t="s">
        <v>556</v>
      </c>
      <c r="Y105" s="672" t="s">
        <v>744</v>
      </c>
      <c r="Z105" s="664" t="s">
        <v>515</v>
      </c>
      <c r="AA105" s="664" t="s">
        <v>515</v>
      </c>
      <c r="AB105" s="664" t="s">
        <v>515</v>
      </c>
      <c r="AC105" s="1210" t="s">
        <v>1055</v>
      </c>
      <c r="AD105" s="667" t="s">
        <v>517</v>
      </c>
      <c r="AE105" s="669"/>
      <c r="AF105" s="594">
        <v>40000</v>
      </c>
      <c r="AG105" s="668">
        <f t="shared" si="62"/>
        <v>16256000</v>
      </c>
      <c r="AH105" s="1055">
        <v>5</v>
      </c>
      <c r="AI105" s="665">
        <f t="shared" si="63"/>
        <v>81280000</v>
      </c>
      <c r="AJ105" s="668">
        <f t="shared" si="64"/>
        <v>81280000</v>
      </c>
      <c r="AK105" s="678">
        <f t="shared" si="65"/>
        <v>121920000</v>
      </c>
      <c r="AL105" s="668">
        <f t="shared" si="66"/>
        <v>426720000</v>
      </c>
      <c r="AM105" s="760" t="s">
        <v>1030</v>
      </c>
      <c r="AN105" s="272"/>
      <c r="AO105" s="753">
        <f t="shared" si="67"/>
        <v>200000000</v>
      </c>
      <c r="AP105" s="272"/>
      <c r="AQ105" s="272"/>
      <c r="AR105" s="272"/>
      <c r="AS105" s="272"/>
      <c r="AT105" s="272"/>
      <c r="AU105" s="272"/>
      <c r="AV105" s="272"/>
      <c r="AW105" s="272"/>
    </row>
    <row r="106" spans="1:49">
      <c r="A106" s="1440"/>
      <c r="B106" s="1319" t="s">
        <v>1056</v>
      </c>
      <c r="C106" s="67" t="s">
        <v>1057</v>
      </c>
      <c r="D106" s="355" t="s">
        <v>1058</v>
      </c>
      <c r="E106" s="349" t="s">
        <v>1059</v>
      </c>
      <c r="F106" s="664" t="s">
        <v>793</v>
      </c>
      <c r="G106" s="350" t="s">
        <v>931</v>
      </c>
      <c r="H106" s="656" t="s">
        <v>698</v>
      </c>
      <c r="I106" s="656"/>
      <c r="J106" s="656"/>
      <c r="K106" s="969">
        <v>5413.8860000000004</v>
      </c>
      <c r="L106" s="703">
        <v>1455</v>
      </c>
      <c r="M106" s="708">
        <f t="shared" si="21"/>
        <v>3.9863013698630136</v>
      </c>
      <c r="N106" s="325">
        <v>45615</v>
      </c>
      <c r="O106" s="1133">
        <v>1036.32</v>
      </c>
      <c r="P106" s="662" t="s">
        <v>742</v>
      </c>
      <c r="Q106" s="662" t="s">
        <v>742</v>
      </c>
      <c r="R106" s="662"/>
      <c r="S106" s="663"/>
      <c r="T106" s="673" t="s">
        <v>742</v>
      </c>
      <c r="U106" s="664">
        <v>1</v>
      </c>
      <c r="V106" s="1467">
        <f t="shared" si="61"/>
        <v>41452800</v>
      </c>
      <c r="W106" s="670">
        <v>6</v>
      </c>
      <c r="X106" s="1037" t="s">
        <v>1060</v>
      </c>
      <c r="Y106" s="672" t="s">
        <v>744</v>
      </c>
      <c r="Z106" s="664" t="s">
        <v>515</v>
      </c>
      <c r="AA106" s="664" t="s">
        <v>515</v>
      </c>
      <c r="AB106" s="664" t="s">
        <v>515</v>
      </c>
      <c r="AC106" s="1210" t="s">
        <v>1061</v>
      </c>
      <c r="AD106" s="667" t="s">
        <v>517</v>
      </c>
      <c r="AE106" s="669"/>
      <c r="AF106" s="594">
        <v>40000</v>
      </c>
      <c r="AG106" s="668">
        <f t="shared" si="62"/>
        <v>41452800</v>
      </c>
      <c r="AH106" s="1055">
        <v>5</v>
      </c>
      <c r="AI106" s="665">
        <f t="shared" si="63"/>
        <v>207264000</v>
      </c>
      <c r="AJ106" s="668">
        <f t="shared" si="64"/>
        <v>207264000</v>
      </c>
      <c r="AK106" s="678">
        <f t="shared" si="65"/>
        <v>310896000</v>
      </c>
      <c r="AL106" s="668">
        <f t="shared" si="66"/>
        <v>1088135999.9999998</v>
      </c>
      <c r="AM106" s="760" t="s">
        <v>1030</v>
      </c>
      <c r="AN106" s="272"/>
      <c r="AO106" s="753">
        <f t="shared" si="67"/>
        <v>200000000</v>
      </c>
      <c r="AP106" s="272"/>
      <c r="AQ106" s="272"/>
      <c r="AR106" s="272"/>
      <c r="AS106" s="272"/>
      <c r="AT106" s="272"/>
      <c r="AU106" s="272"/>
      <c r="AV106" s="272"/>
      <c r="AW106" s="272"/>
    </row>
    <row r="107" spans="1:49">
      <c r="A107" s="1440"/>
      <c r="B107" s="1319" t="s">
        <v>1062</v>
      </c>
      <c r="C107" s="67" t="s">
        <v>1063</v>
      </c>
      <c r="D107" s="355" t="s">
        <v>1064</v>
      </c>
      <c r="E107" s="349" t="s">
        <v>1065</v>
      </c>
      <c r="F107" s="664" t="s">
        <v>793</v>
      </c>
      <c r="G107" s="350" t="s">
        <v>931</v>
      </c>
      <c r="H107" s="656" t="s">
        <v>698</v>
      </c>
      <c r="I107" s="656"/>
      <c r="J107" s="656"/>
      <c r="K107" s="969">
        <v>681963.6</v>
      </c>
      <c r="L107" s="703">
        <v>1402</v>
      </c>
      <c r="M107" s="708">
        <f t="shared" si="21"/>
        <v>3.8410958904109589</v>
      </c>
      <c r="N107" s="325">
        <v>45615</v>
      </c>
      <c r="O107" s="1133">
        <v>529.59</v>
      </c>
      <c r="P107" s="662" t="s">
        <v>742</v>
      </c>
      <c r="Q107" s="662" t="s">
        <v>742</v>
      </c>
      <c r="R107" s="662"/>
      <c r="S107" s="663"/>
      <c r="T107" s="673" t="s">
        <v>742</v>
      </c>
      <c r="U107" s="664">
        <v>1</v>
      </c>
      <c r="V107" s="1467">
        <f t="shared" si="61"/>
        <v>21183600</v>
      </c>
      <c r="W107" s="670">
        <v>6</v>
      </c>
      <c r="X107" s="1037" t="s">
        <v>1066</v>
      </c>
      <c r="Y107" s="672" t="s">
        <v>744</v>
      </c>
      <c r="Z107" s="664" t="s">
        <v>515</v>
      </c>
      <c r="AA107" s="664" t="s">
        <v>515</v>
      </c>
      <c r="AB107" s="664" t="s">
        <v>515</v>
      </c>
      <c r="AC107" s="1210" t="s">
        <v>1067</v>
      </c>
      <c r="AD107" s="667" t="s">
        <v>517</v>
      </c>
      <c r="AE107" s="669"/>
      <c r="AF107" s="594">
        <v>40000</v>
      </c>
      <c r="AG107" s="668">
        <f t="shared" si="62"/>
        <v>21183600</v>
      </c>
      <c r="AH107" s="1055">
        <v>5</v>
      </c>
      <c r="AI107" s="665">
        <f t="shared" si="63"/>
        <v>105918000</v>
      </c>
      <c r="AJ107" s="668">
        <f t="shared" si="64"/>
        <v>105918000</v>
      </c>
      <c r="AK107" s="678">
        <f t="shared" si="65"/>
        <v>158877000</v>
      </c>
      <c r="AL107" s="668">
        <f t="shared" si="66"/>
        <v>556069500</v>
      </c>
      <c r="AM107" s="760" t="s">
        <v>1030</v>
      </c>
      <c r="AN107" s="272"/>
      <c r="AO107" s="753">
        <f t="shared" si="67"/>
        <v>200000000</v>
      </c>
      <c r="AP107" s="272"/>
      <c r="AQ107" s="272"/>
      <c r="AR107" s="272"/>
      <c r="AS107" s="272"/>
      <c r="AT107" s="272"/>
      <c r="AU107" s="272"/>
      <c r="AV107" s="272"/>
      <c r="AW107" s="272"/>
    </row>
    <row r="108" spans="1:49" ht="25.5" customHeight="1">
      <c r="A108" s="1440" t="str">
        <f>"DG Batch 6 - 40PJT"</f>
        <v>DG Batch 6 - 40PJT</v>
      </c>
      <c r="B108" s="1319" t="s">
        <v>1068</v>
      </c>
      <c r="C108" s="67" t="s">
        <v>1069</v>
      </c>
      <c r="D108" s="355" t="s">
        <v>1070</v>
      </c>
      <c r="E108" s="349" t="s">
        <v>1071</v>
      </c>
      <c r="F108" s="664" t="s">
        <v>793</v>
      </c>
      <c r="G108" s="350" t="s">
        <v>931</v>
      </c>
      <c r="H108" s="656" t="s">
        <v>698</v>
      </c>
      <c r="I108" s="656"/>
      <c r="J108" s="656"/>
      <c r="K108" s="969">
        <v>1334490</v>
      </c>
      <c r="L108" s="703">
        <v>1437</v>
      </c>
      <c r="M108" s="708">
        <f t="shared" si="21"/>
        <v>3.9369863013698629</v>
      </c>
      <c r="N108" s="325">
        <v>45615</v>
      </c>
      <c r="O108" s="1133">
        <v>1036.32</v>
      </c>
      <c r="P108" s="662" t="s">
        <v>742</v>
      </c>
      <c r="Q108" s="662">
        <v>46174</v>
      </c>
      <c r="R108" s="662"/>
      <c r="S108" s="663"/>
      <c r="T108" s="673">
        <f>+EDATE(Q108,6)</f>
        <v>46357</v>
      </c>
      <c r="U108" s="664">
        <v>1</v>
      </c>
      <c r="V108" s="1467">
        <f t="shared" si="61"/>
        <v>41452800</v>
      </c>
      <c r="W108" s="670">
        <v>6</v>
      </c>
      <c r="X108" s="1037" t="s">
        <v>567</v>
      </c>
      <c r="Y108" s="672" t="s">
        <v>744</v>
      </c>
      <c r="Z108" s="664" t="s">
        <v>515</v>
      </c>
      <c r="AA108" s="664" t="s">
        <v>515</v>
      </c>
      <c r="AB108" s="664" t="s">
        <v>515</v>
      </c>
      <c r="AC108" s="1210" t="s">
        <v>1072</v>
      </c>
      <c r="AD108" s="667" t="s">
        <v>517</v>
      </c>
      <c r="AE108" s="669"/>
      <c r="AF108" s="594">
        <v>40000</v>
      </c>
      <c r="AG108" s="668">
        <f t="shared" si="62"/>
        <v>41452800</v>
      </c>
      <c r="AH108" s="1055">
        <v>5</v>
      </c>
      <c r="AI108" s="665">
        <f t="shared" si="63"/>
        <v>207264000</v>
      </c>
      <c r="AJ108" s="668">
        <f t="shared" si="64"/>
        <v>207264000</v>
      </c>
      <c r="AK108" s="678">
        <f t="shared" si="65"/>
        <v>310896000</v>
      </c>
      <c r="AL108" s="668">
        <f t="shared" si="66"/>
        <v>1088135999.9999998</v>
      </c>
      <c r="AM108" s="760" t="s">
        <v>1030</v>
      </c>
      <c r="AN108" s="272"/>
      <c r="AO108" s="753">
        <f t="shared" si="67"/>
        <v>200000000</v>
      </c>
      <c r="AP108" s="272"/>
      <c r="AQ108" s="272"/>
      <c r="AR108" s="272"/>
      <c r="AS108" s="272"/>
      <c r="AT108" s="272"/>
      <c r="AU108" s="272"/>
      <c r="AV108" s="272"/>
      <c r="AW108" s="272"/>
    </row>
    <row r="109" spans="1:49" s="1331" customFormat="1">
      <c r="A109" s="1440"/>
      <c r="B109" s="1430" t="s">
        <v>1073</v>
      </c>
      <c r="C109" s="1398" t="s">
        <v>1074</v>
      </c>
      <c r="D109" s="1398" t="s">
        <v>1075</v>
      </c>
      <c r="E109" s="1398" t="s">
        <v>1076</v>
      </c>
      <c r="F109" s="1411" t="s">
        <v>793</v>
      </c>
      <c r="G109" s="1401" t="s">
        <v>624</v>
      </c>
      <c r="H109" s="1402" t="s">
        <v>698</v>
      </c>
      <c r="I109" s="1402"/>
      <c r="J109" s="1402"/>
      <c r="K109" s="1403">
        <v>14643951.800000001</v>
      </c>
      <c r="L109" s="1427">
        <v>1386</v>
      </c>
      <c r="M109" s="1405">
        <f t="shared" si="21"/>
        <v>3.7972602739726029</v>
      </c>
      <c r="N109" s="1406">
        <v>45623</v>
      </c>
      <c r="O109" s="1407">
        <v>11372</v>
      </c>
      <c r="P109" s="1408" t="s">
        <v>742</v>
      </c>
      <c r="Q109" s="1408" t="s">
        <v>742</v>
      </c>
      <c r="R109" s="1408"/>
      <c r="S109" s="1410"/>
      <c r="T109" s="1428" t="s">
        <v>742</v>
      </c>
      <c r="U109" s="1411">
        <v>1</v>
      </c>
      <c r="V109" s="1468">
        <f t="shared" si="61"/>
        <v>454880000</v>
      </c>
      <c r="W109" s="1413">
        <v>6</v>
      </c>
      <c r="X109" s="1400" t="s">
        <v>531</v>
      </c>
      <c r="Y109" s="1411"/>
      <c r="Z109" s="1411" t="s">
        <v>515</v>
      </c>
      <c r="AA109" s="1411" t="s">
        <v>515</v>
      </c>
      <c r="AB109" s="1411" t="s">
        <v>515</v>
      </c>
      <c r="AC109" s="1431" t="s">
        <v>1077</v>
      </c>
      <c r="AD109" s="1409" t="s">
        <v>517</v>
      </c>
      <c r="AE109" s="1415"/>
      <c r="AF109" s="1416">
        <v>40000</v>
      </c>
      <c r="AG109" s="1417">
        <f t="shared" si="62"/>
        <v>454880000</v>
      </c>
      <c r="AH109" s="1418">
        <v>5</v>
      </c>
      <c r="AI109" s="1412">
        <f t="shared" si="63"/>
        <v>2274400000</v>
      </c>
      <c r="AJ109" s="1417">
        <f t="shared" si="64"/>
        <v>2274400000</v>
      </c>
      <c r="AK109" s="1429">
        <f t="shared" si="65"/>
        <v>3411600000</v>
      </c>
      <c r="AL109" s="1417">
        <f t="shared" si="66"/>
        <v>11940600000</v>
      </c>
      <c r="AM109" s="1420" t="s">
        <v>1078</v>
      </c>
      <c r="AO109" s="1332">
        <f t="shared" si="67"/>
        <v>200000000</v>
      </c>
    </row>
    <row r="110" spans="1:49">
      <c r="A110" s="1437">
        <f>SUM(O91:O108,O110:O115,O117:P130)</f>
        <v>33800.179999999993</v>
      </c>
      <c r="B110" s="1319" t="s">
        <v>1079</v>
      </c>
      <c r="C110" s="67" t="s">
        <v>1080</v>
      </c>
      <c r="D110" s="355" t="s">
        <v>1081</v>
      </c>
      <c r="E110" s="349" t="s">
        <v>1082</v>
      </c>
      <c r="F110" s="664" t="s">
        <v>793</v>
      </c>
      <c r="G110" s="1447" t="s">
        <v>831</v>
      </c>
      <c r="H110" s="656" t="s">
        <v>698</v>
      </c>
      <c r="I110" s="656"/>
      <c r="J110" s="656"/>
      <c r="K110" s="969">
        <v>280478.3</v>
      </c>
      <c r="L110" s="703">
        <v>1457</v>
      </c>
      <c r="M110" s="708">
        <f t="shared" si="21"/>
        <v>3.9917808219178084</v>
      </c>
      <c r="N110" s="325">
        <v>45623</v>
      </c>
      <c r="O110" s="1133">
        <v>217.80500000000001</v>
      </c>
      <c r="P110" s="662" t="s">
        <v>742</v>
      </c>
      <c r="Q110" s="662" t="s">
        <v>742</v>
      </c>
      <c r="R110" s="662"/>
      <c r="S110" s="663"/>
      <c r="T110" s="673" t="s">
        <v>742</v>
      </c>
      <c r="U110" s="664">
        <v>1</v>
      </c>
      <c r="V110" s="1467">
        <f t="shared" si="61"/>
        <v>8712200</v>
      </c>
      <c r="W110" s="670">
        <v>6</v>
      </c>
      <c r="X110" s="1037" t="s">
        <v>541</v>
      </c>
      <c r="Y110" s="672" t="s">
        <v>744</v>
      </c>
      <c r="Z110" s="664" t="s">
        <v>515</v>
      </c>
      <c r="AA110" s="664" t="s">
        <v>515</v>
      </c>
      <c r="AB110" s="664" t="s">
        <v>515</v>
      </c>
      <c r="AC110" s="1210" t="s">
        <v>1083</v>
      </c>
      <c r="AD110" s="667" t="s">
        <v>517</v>
      </c>
      <c r="AE110" s="669"/>
      <c r="AF110" s="594">
        <v>40000</v>
      </c>
      <c r="AG110" s="668">
        <f t="shared" si="62"/>
        <v>8712200</v>
      </c>
      <c r="AH110" s="1055">
        <v>5</v>
      </c>
      <c r="AI110" s="665">
        <f t="shared" si="63"/>
        <v>43561000</v>
      </c>
      <c r="AJ110" s="668">
        <f t="shared" si="64"/>
        <v>43561000</v>
      </c>
      <c r="AK110" s="678">
        <f t="shared" si="65"/>
        <v>65341500</v>
      </c>
      <c r="AL110" s="668">
        <f t="shared" si="66"/>
        <v>228695250</v>
      </c>
      <c r="AM110" s="760"/>
      <c r="AN110" s="272"/>
      <c r="AO110" s="753">
        <f t="shared" si="67"/>
        <v>200000000</v>
      </c>
      <c r="AP110" s="272"/>
      <c r="AQ110" s="272"/>
      <c r="AR110" s="272"/>
      <c r="AS110" s="272"/>
      <c r="AT110" s="272"/>
      <c r="AU110" s="272"/>
      <c r="AV110" s="272"/>
      <c r="AW110" s="272"/>
    </row>
    <row r="111" spans="1:49">
      <c r="A111" s="1440"/>
      <c r="B111" s="1319" t="s">
        <v>1084</v>
      </c>
      <c r="C111" s="67" t="s">
        <v>1085</v>
      </c>
      <c r="D111" s="355" t="s">
        <v>1086</v>
      </c>
      <c r="E111" s="349" t="s">
        <v>1087</v>
      </c>
      <c r="F111" s="664" t="s">
        <v>793</v>
      </c>
      <c r="G111" s="350" t="s">
        <v>882</v>
      </c>
      <c r="H111" s="656" t="s">
        <v>698</v>
      </c>
      <c r="I111" s="656"/>
      <c r="J111" s="656"/>
      <c r="K111" s="969">
        <v>341799.5</v>
      </c>
      <c r="L111" s="703">
        <v>1469</v>
      </c>
      <c r="M111" s="708">
        <f t="shared" si="21"/>
        <v>4.0246575342465754</v>
      </c>
      <c r="N111" s="325">
        <v>45623</v>
      </c>
      <c r="O111" s="1133">
        <v>265.43</v>
      </c>
      <c r="P111" s="662" t="s">
        <v>742</v>
      </c>
      <c r="Q111" s="662" t="s">
        <v>742</v>
      </c>
      <c r="R111" s="662"/>
      <c r="S111" s="663"/>
      <c r="T111" s="673" t="s">
        <v>742</v>
      </c>
      <c r="U111" s="664">
        <v>1</v>
      </c>
      <c r="V111" s="1467">
        <f t="shared" si="61"/>
        <v>10617200</v>
      </c>
      <c r="W111" s="670">
        <v>6</v>
      </c>
      <c r="X111" s="1037" t="s">
        <v>541</v>
      </c>
      <c r="Y111" s="672" t="s">
        <v>744</v>
      </c>
      <c r="Z111" s="664" t="s">
        <v>515</v>
      </c>
      <c r="AA111" s="664" t="s">
        <v>515</v>
      </c>
      <c r="AB111" s="664" t="s">
        <v>515</v>
      </c>
      <c r="AC111" s="1210" t="s">
        <v>1083</v>
      </c>
      <c r="AD111" s="667" t="s">
        <v>517</v>
      </c>
      <c r="AE111" s="669"/>
      <c r="AF111" s="594">
        <v>40000</v>
      </c>
      <c r="AG111" s="668">
        <f t="shared" si="62"/>
        <v>10617200</v>
      </c>
      <c r="AH111" s="1055">
        <v>5</v>
      </c>
      <c r="AI111" s="665">
        <f t="shared" si="63"/>
        <v>53086000</v>
      </c>
      <c r="AJ111" s="668">
        <f t="shared" si="64"/>
        <v>53086000</v>
      </c>
      <c r="AK111" s="678">
        <f t="shared" si="65"/>
        <v>79629000</v>
      </c>
      <c r="AL111" s="668">
        <f t="shared" si="66"/>
        <v>278701500</v>
      </c>
      <c r="AM111" s="760"/>
      <c r="AN111" s="272"/>
      <c r="AO111" s="753">
        <f t="shared" si="67"/>
        <v>200000000</v>
      </c>
      <c r="AP111" s="272"/>
      <c r="AQ111" s="272"/>
      <c r="AR111" s="272"/>
      <c r="AS111" s="272"/>
      <c r="AT111" s="272"/>
      <c r="AU111" s="272"/>
      <c r="AV111" s="272"/>
      <c r="AW111" s="272"/>
    </row>
    <row r="112" spans="1:49">
      <c r="A112" s="1440"/>
      <c r="B112" s="1319" t="s">
        <v>1088</v>
      </c>
      <c r="C112" s="67" t="s">
        <v>1089</v>
      </c>
      <c r="D112" s="355" t="s">
        <v>1090</v>
      </c>
      <c r="E112" s="349" t="s">
        <v>1091</v>
      </c>
      <c r="F112" s="664" t="s">
        <v>793</v>
      </c>
      <c r="G112" s="350" t="s">
        <v>513</v>
      </c>
      <c r="H112" s="656" t="s">
        <v>698</v>
      </c>
      <c r="I112" s="656"/>
      <c r="J112" s="656"/>
      <c r="K112" s="969">
        <v>152916.79999999999</v>
      </c>
      <c r="L112" s="703">
        <v>1451</v>
      </c>
      <c r="M112" s="708">
        <f t="shared" si="21"/>
        <v>3.9753424657534246</v>
      </c>
      <c r="N112" s="325">
        <v>45623</v>
      </c>
      <c r="O112" s="1133">
        <v>118.745</v>
      </c>
      <c r="P112" s="662" t="s">
        <v>742</v>
      </c>
      <c r="Q112" s="662" t="s">
        <v>742</v>
      </c>
      <c r="R112" s="662"/>
      <c r="S112" s="663"/>
      <c r="T112" s="673" t="s">
        <v>742</v>
      </c>
      <c r="U112" s="664">
        <v>1</v>
      </c>
      <c r="V112" s="1467">
        <f t="shared" si="61"/>
        <v>4749800</v>
      </c>
      <c r="W112" s="670">
        <v>6</v>
      </c>
      <c r="X112" s="1037" t="s">
        <v>541</v>
      </c>
      <c r="Y112" s="672" t="s">
        <v>744</v>
      </c>
      <c r="Z112" s="664" t="s">
        <v>515</v>
      </c>
      <c r="AA112" s="664" t="s">
        <v>515</v>
      </c>
      <c r="AB112" s="664" t="s">
        <v>515</v>
      </c>
      <c r="AC112" s="1210" t="s">
        <v>1092</v>
      </c>
      <c r="AD112" s="667" t="s">
        <v>517</v>
      </c>
      <c r="AE112" s="669"/>
      <c r="AF112" s="594">
        <v>40000</v>
      </c>
      <c r="AG112" s="668">
        <f t="shared" si="62"/>
        <v>4749800</v>
      </c>
      <c r="AH112" s="1055">
        <v>5</v>
      </c>
      <c r="AI112" s="665">
        <f t="shared" si="63"/>
        <v>23749000</v>
      </c>
      <c r="AJ112" s="668">
        <f t="shared" si="64"/>
        <v>23749000</v>
      </c>
      <c r="AK112" s="678">
        <f t="shared" si="65"/>
        <v>35623500</v>
      </c>
      <c r="AL112" s="668">
        <f t="shared" si="66"/>
        <v>124682250</v>
      </c>
      <c r="AM112" s="760"/>
      <c r="AN112" s="272"/>
      <c r="AO112" s="753">
        <f t="shared" si="67"/>
        <v>200000000</v>
      </c>
      <c r="AP112" s="272"/>
      <c r="AQ112" s="272"/>
      <c r="AR112" s="272"/>
      <c r="AS112" s="272"/>
      <c r="AT112" s="272"/>
      <c r="AU112" s="272"/>
      <c r="AV112" s="272"/>
      <c r="AW112" s="272"/>
    </row>
    <row r="113" spans="1:49" ht="16.5" customHeight="1">
      <c r="A113" s="1440"/>
      <c r="B113" s="1319" t="s">
        <v>1093</v>
      </c>
      <c r="C113" s="67" t="s">
        <v>1094</v>
      </c>
      <c r="D113" s="355" t="s">
        <v>1095</v>
      </c>
      <c r="E113" s="349" t="s">
        <v>1096</v>
      </c>
      <c r="F113" s="664" t="s">
        <v>793</v>
      </c>
      <c r="G113" s="350" t="s">
        <v>513</v>
      </c>
      <c r="H113" s="656" t="s">
        <v>698</v>
      </c>
      <c r="I113" s="656"/>
      <c r="J113" s="656"/>
      <c r="K113" s="969">
        <v>521694</v>
      </c>
      <c r="L113" s="703">
        <v>1449</v>
      </c>
      <c r="M113" s="708">
        <f t="shared" si="21"/>
        <v>3.9698630136986299</v>
      </c>
      <c r="N113" s="325">
        <v>45623</v>
      </c>
      <c r="O113" s="1133">
        <v>405.13</v>
      </c>
      <c r="P113" s="662" t="s">
        <v>742</v>
      </c>
      <c r="Q113" s="662" t="s">
        <v>742</v>
      </c>
      <c r="R113" s="662"/>
      <c r="S113" s="663"/>
      <c r="T113" s="673" t="s">
        <v>742</v>
      </c>
      <c r="U113" s="664">
        <v>1</v>
      </c>
      <c r="V113" s="1467">
        <f t="shared" si="61"/>
        <v>16205200</v>
      </c>
      <c r="W113" s="670">
        <v>6</v>
      </c>
      <c r="X113" s="1037" t="s">
        <v>541</v>
      </c>
      <c r="Y113" s="672" t="s">
        <v>744</v>
      </c>
      <c r="Z113" s="664" t="s">
        <v>515</v>
      </c>
      <c r="AA113" s="664" t="s">
        <v>515</v>
      </c>
      <c r="AB113" s="664" t="s">
        <v>515</v>
      </c>
      <c r="AC113" s="1210" t="s">
        <v>1092</v>
      </c>
      <c r="AD113" s="667" t="s">
        <v>517</v>
      </c>
      <c r="AE113" s="669"/>
      <c r="AF113" s="594">
        <v>40000</v>
      </c>
      <c r="AG113" s="668">
        <f t="shared" si="62"/>
        <v>16205200</v>
      </c>
      <c r="AH113" s="1055">
        <v>5</v>
      </c>
      <c r="AI113" s="665">
        <f t="shared" si="63"/>
        <v>81026000</v>
      </c>
      <c r="AJ113" s="668">
        <f t="shared" si="64"/>
        <v>81026000</v>
      </c>
      <c r="AK113" s="678">
        <f t="shared" si="65"/>
        <v>121539000</v>
      </c>
      <c r="AL113" s="668">
        <f t="shared" si="66"/>
        <v>425386500</v>
      </c>
      <c r="AM113" s="760"/>
      <c r="AN113" s="272"/>
      <c r="AO113" s="753">
        <f t="shared" si="67"/>
        <v>200000000</v>
      </c>
      <c r="AP113" s="272"/>
      <c r="AQ113" s="272"/>
      <c r="AR113" s="272"/>
      <c r="AS113" s="272"/>
      <c r="AT113" s="272"/>
      <c r="AU113" s="272"/>
      <c r="AV113" s="272"/>
      <c r="AW113" s="272"/>
    </row>
    <row r="114" spans="1:49">
      <c r="A114" s="1440"/>
      <c r="B114" s="1319" t="s">
        <v>1097</v>
      </c>
      <c r="C114" s="67" t="s">
        <v>1098</v>
      </c>
      <c r="D114" s="355" t="s">
        <v>1099</v>
      </c>
      <c r="E114" s="349" t="s">
        <v>1100</v>
      </c>
      <c r="F114" s="664" t="s">
        <v>793</v>
      </c>
      <c r="G114" s="1035" t="s">
        <v>1101</v>
      </c>
      <c r="H114" s="656" t="s">
        <v>698</v>
      </c>
      <c r="I114" s="656"/>
      <c r="J114" s="656"/>
      <c r="K114" s="969">
        <v>5189138.2</v>
      </c>
      <c r="L114" s="703">
        <v>1377</v>
      </c>
      <c r="M114" s="708">
        <f t="shared" si="21"/>
        <v>3.7726027397260276</v>
      </c>
      <c r="N114" s="325">
        <v>45623</v>
      </c>
      <c r="O114" s="1133">
        <v>4029.71</v>
      </c>
      <c r="P114" s="662" t="s">
        <v>742</v>
      </c>
      <c r="Q114" s="662" t="s">
        <v>742</v>
      </c>
      <c r="R114" s="662"/>
      <c r="S114" s="663"/>
      <c r="T114" s="673" t="s">
        <v>742</v>
      </c>
      <c r="U114" s="664">
        <v>1</v>
      </c>
      <c r="V114" s="1467">
        <f t="shared" si="61"/>
        <v>161188400</v>
      </c>
      <c r="W114" s="670">
        <v>6</v>
      </c>
      <c r="X114" s="1037" t="s">
        <v>541</v>
      </c>
      <c r="Y114" s="672" t="s">
        <v>744</v>
      </c>
      <c r="Z114" s="664" t="s">
        <v>515</v>
      </c>
      <c r="AA114" s="664" t="s">
        <v>515</v>
      </c>
      <c r="AB114" s="664" t="s">
        <v>515</v>
      </c>
      <c r="AC114" s="1210" t="s">
        <v>1102</v>
      </c>
      <c r="AD114" s="667" t="s">
        <v>517</v>
      </c>
      <c r="AE114" s="669"/>
      <c r="AF114" s="668">
        <v>40000</v>
      </c>
      <c r="AG114" s="668">
        <f t="shared" si="62"/>
        <v>161188400</v>
      </c>
      <c r="AH114" s="1055">
        <v>5</v>
      </c>
      <c r="AI114" s="665">
        <f t="shared" si="63"/>
        <v>805942000</v>
      </c>
      <c r="AJ114" s="668">
        <f t="shared" si="64"/>
        <v>805942000</v>
      </c>
      <c r="AK114" s="678">
        <f t="shared" si="65"/>
        <v>1208913000</v>
      </c>
      <c r="AL114" s="668">
        <f t="shared" si="66"/>
        <v>4231195500</v>
      </c>
      <c r="AM114" s="760"/>
      <c r="AN114" s="272"/>
      <c r="AO114" s="753">
        <f t="shared" si="67"/>
        <v>200000000</v>
      </c>
      <c r="AP114" s="272"/>
      <c r="AQ114" s="272"/>
      <c r="AR114" s="272"/>
      <c r="AS114" s="272"/>
      <c r="AT114" s="272"/>
      <c r="AU114" s="272"/>
      <c r="AV114" s="272"/>
      <c r="AW114" s="272"/>
    </row>
    <row r="115" spans="1:49" ht="16.5" customHeight="1">
      <c r="A115" s="1440"/>
      <c r="B115" s="1319" t="s">
        <v>1103</v>
      </c>
      <c r="C115" s="67" t="s">
        <v>1104</v>
      </c>
      <c r="D115" s="355" t="s">
        <v>1105</v>
      </c>
      <c r="E115" s="349" t="s">
        <v>1106</v>
      </c>
      <c r="F115" s="664" t="s">
        <v>793</v>
      </c>
      <c r="G115" s="350" t="s">
        <v>624</v>
      </c>
      <c r="H115" s="656" t="s">
        <v>698</v>
      </c>
      <c r="I115" s="656"/>
      <c r="J115" s="656"/>
      <c r="K115" s="969">
        <v>1702.5</v>
      </c>
      <c r="L115" s="703">
        <v>1391</v>
      </c>
      <c r="M115" s="708">
        <f t="shared" si="21"/>
        <v>3.8109589041095893</v>
      </c>
      <c r="N115" s="325">
        <v>45623</v>
      </c>
      <c r="O115" s="1133">
        <v>1224.5999999999999</v>
      </c>
      <c r="P115" s="662" t="s">
        <v>742</v>
      </c>
      <c r="Q115" s="662" t="s">
        <v>742</v>
      </c>
      <c r="R115" s="662"/>
      <c r="S115" s="663"/>
      <c r="T115" s="673" t="s">
        <v>742</v>
      </c>
      <c r="U115" s="664">
        <v>1</v>
      </c>
      <c r="V115" s="1467">
        <f t="shared" si="61"/>
        <v>48984000</v>
      </c>
      <c r="W115" s="670">
        <v>6</v>
      </c>
      <c r="X115" s="1037" t="s">
        <v>556</v>
      </c>
      <c r="Y115" s="672" t="s">
        <v>744</v>
      </c>
      <c r="Z115" s="664" t="s">
        <v>515</v>
      </c>
      <c r="AA115" s="664" t="s">
        <v>515</v>
      </c>
      <c r="AB115" s="664" t="s">
        <v>515</v>
      </c>
      <c r="AC115" s="1210" t="s">
        <v>1107</v>
      </c>
      <c r="AD115" s="667" t="s">
        <v>517</v>
      </c>
      <c r="AE115" s="669"/>
      <c r="AF115" s="594">
        <v>40000</v>
      </c>
      <c r="AG115" s="668">
        <f t="shared" si="62"/>
        <v>48984000</v>
      </c>
      <c r="AH115" s="1055">
        <v>5</v>
      </c>
      <c r="AI115" s="665">
        <f t="shared" si="63"/>
        <v>244920000</v>
      </c>
      <c r="AJ115" s="668">
        <f t="shared" si="64"/>
        <v>244919999.99999997</v>
      </c>
      <c r="AK115" s="678">
        <f t="shared" si="65"/>
        <v>367380000</v>
      </c>
      <c r="AL115" s="668">
        <f t="shared" si="66"/>
        <v>1285830000</v>
      </c>
      <c r="AM115" s="760" t="s">
        <v>1108</v>
      </c>
      <c r="AN115" s="272"/>
      <c r="AO115" s="753">
        <f t="shared" si="67"/>
        <v>200000000</v>
      </c>
      <c r="AP115" s="272"/>
      <c r="AQ115" s="272"/>
      <c r="AR115" s="272"/>
      <c r="AS115" s="272"/>
      <c r="AT115" s="272"/>
      <c r="AU115" s="272"/>
      <c r="AV115" s="272"/>
      <c r="AW115" s="272"/>
    </row>
    <row r="116" spans="1:49" s="1331" customFormat="1">
      <c r="A116" s="1440"/>
      <c r="B116" s="1426" t="s">
        <v>1109</v>
      </c>
      <c r="C116" s="1398"/>
      <c r="D116" s="1398" t="s">
        <v>1110</v>
      </c>
      <c r="E116" s="1398" t="s">
        <v>1111</v>
      </c>
      <c r="F116" s="1411" t="s">
        <v>793</v>
      </c>
      <c r="G116" s="1401" t="s">
        <v>624</v>
      </c>
      <c r="H116" s="1402" t="s">
        <v>698</v>
      </c>
      <c r="I116" s="1402"/>
      <c r="J116" s="1402"/>
      <c r="K116" s="1403">
        <v>687.86</v>
      </c>
      <c r="L116" s="1427">
        <v>1424</v>
      </c>
      <c r="M116" s="1405">
        <f t="shared" si="21"/>
        <v>3.9013698630136986</v>
      </c>
      <c r="N116" s="1406">
        <v>45623</v>
      </c>
      <c r="O116" s="1407">
        <v>483.7</v>
      </c>
      <c r="P116" s="1408" t="s">
        <v>742</v>
      </c>
      <c r="Q116" s="1408" t="s">
        <v>742</v>
      </c>
      <c r="R116" s="1408"/>
      <c r="S116" s="1410"/>
      <c r="T116" s="1428" t="s">
        <v>742</v>
      </c>
      <c r="U116" s="1411">
        <v>1</v>
      </c>
      <c r="V116" s="1468">
        <f t="shared" si="61"/>
        <v>19348000</v>
      </c>
      <c r="W116" s="1413">
        <v>6</v>
      </c>
      <c r="X116" s="1424" t="s">
        <v>556</v>
      </c>
      <c r="Y116" s="1411"/>
      <c r="Z116" s="1411" t="s">
        <v>515</v>
      </c>
      <c r="AA116" s="1411" t="s">
        <v>515</v>
      </c>
      <c r="AB116" s="1411" t="s">
        <v>515</v>
      </c>
      <c r="AC116" s="1414" t="s">
        <v>1112</v>
      </c>
      <c r="AD116" s="1411" t="s">
        <v>517</v>
      </c>
      <c r="AE116" s="1415"/>
      <c r="AF116" s="1416">
        <v>40000</v>
      </c>
      <c r="AG116" s="1417">
        <f t="shared" si="62"/>
        <v>19348000</v>
      </c>
      <c r="AH116" s="1418">
        <v>5</v>
      </c>
      <c r="AI116" s="1412">
        <f t="shared" si="63"/>
        <v>96740000</v>
      </c>
      <c r="AJ116" s="1417">
        <f t="shared" si="64"/>
        <v>96740000</v>
      </c>
      <c r="AK116" s="1429">
        <f t="shared" si="65"/>
        <v>145110000</v>
      </c>
      <c r="AL116" s="1417">
        <f t="shared" si="66"/>
        <v>507885000</v>
      </c>
      <c r="AM116" s="1420" t="s">
        <v>1113</v>
      </c>
      <c r="AO116" s="1332">
        <f t="shared" si="67"/>
        <v>200000000</v>
      </c>
    </row>
    <row r="117" spans="1:49">
      <c r="A117" s="1440"/>
      <c r="B117" s="1319" t="s">
        <v>1114</v>
      </c>
      <c r="C117" s="67" t="s">
        <v>1115</v>
      </c>
      <c r="D117" s="355" t="s">
        <v>1116</v>
      </c>
      <c r="E117" s="349" t="s">
        <v>1117</v>
      </c>
      <c r="F117" s="664" t="s">
        <v>793</v>
      </c>
      <c r="G117" s="350" t="s">
        <v>931</v>
      </c>
      <c r="H117" s="656" t="s">
        <v>698</v>
      </c>
      <c r="I117" s="656"/>
      <c r="J117" s="656"/>
      <c r="K117" s="969">
        <v>2232.6</v>
      </c>
      <c r="L117" s="703">
        <v>1391</v>
      </c>
      <c r="M117" s="708">
        <f t="shared" si="21"/>
        <v>3.8109589041095893</v>
      </c>
      <c r="N117" s="325">
        <v>45623</v>
      </c>
      <c r="O117" s="1133">
        <v>1602.48</v>
      </c>
      <c r="P117" s="662" t="s">
        <v>742</v>
      </c>
      <c r="Q117" s="662" t="s">
        <v>742</v>
      </c>
      <c r="R117" s="662"/>
      <c r="S117" s="663"/>
      <c r="T117" s="673" t="s">
        <v>742</v>
      </c>
      <c r="U117" s="664">
        <v>1</v>
      </c>
      <c r="V117" s="1467">
        <f t="shared" si="61"/>
        <v>64099200</v>
      </c>
      <c r="W117" s="670">
        <v>6</v>
      </c>
      <c r="X117" s="1037" t="s">
        <v>556</v>
      </c>
      <c r="Y117" s="672" t="s">
        <v>744</v>
      </c>
      <c r="Z117" s="664" t="s">
        <v>515</v>
      </c>
      <c r="AA117" s="664" t="s">
        <v>515</v>
      </c>
      <c r="AB117" s="664" t="s">
        <v>515</v>
      </c>
      <c r="AC117" s="1210" t="s">
        <v>1118</v>
      </c>
      <c r="AD117" s="667" t="s">
        <v>517</v>
      </c>
      <c r="AE117" s="669"/>
      <c r="AF117" s="594">
        <v>40000</v>
      </c>
      <c r="AG117" s="668">
        <f t="shared" si="62"/>
        <v>64099200</v>
      </c>
      <c r="AH117" s="1055">
        <v>5</v>
      </c>
      <c r="AI117" s="665">
        <f t="shared" si="63"/>
        <v>320496000</v>
      </c>
      <c r="AJ117" s="668">
        <f t="shared" si="64"/>
        <v>320496000</v>
      </c>
      <c r="AK117" s="678">
        <f t="shared" si="65"/>
        <v>480744000</v>
      </c>
      <c r="AL117" s="668">
        <f t="shared" si="66"/>
        <v>1682604000</v>
      </c>
      <c r="AM117" s="760" t="s">
        <v>1108</v>
      </c>
      <c r="AN117" s="272"/>
      <c r="AO117" s="753">
        <f t="shared" si="67"/>
        <v>200000000</v>
      </c>
      <c r="AP117" s="272"/>
      <c r="AQ117" s="272"/>
      <c r="AR117" s="272"/>
      <c r="AS117" s="272"/>
      <c r="AT117" s="272"/>
      <c r="AU117" s="272"/>
      <c r="AV117" s="272"/>
      <c r="AW117" s="272"/>
    </row>
    <row r="118" spans="1:49">
      <c r="A118" s="1440"/>
      <c r="B118" s="1319" t="s">
        <v>1119</v>
      </c>
      <c r="C118" s="67" t="s">
        <v>1120</v>
      </c>
      <c r="D118" s="355" t="s">
        <v>1121</v>
      </c>
      <c r="E118" s="349" t="s">
        <v>1122</v>
      </c>
      <c r="F118" s="664" t="s">
        <v>793</v>
      </c>
      <c r="G118" s="350" t="s">
        <v>931</v>
      </c>
      <c r="H118" s="656" t="s">
        <v>698</v>
      </c>
      <c r="I118" s="656"/>
      <c r="J118" s="656"/>
      <c r="K118" s="969">
        <v>690.99</v>
      </c>
      <c r="L118" s="703">
        <v>1432</v>
      </c>
      <c r="M118" s="708">
        <f t="shared" si="21"/>
        <v>3.9232876712328766</v>
      </c>
      <c r="N118" s="325">
        <v>45636</v>
      </c>
      <c r="O118" s="1133">
        <v>483.12</v>
      </c>
      <c r="P118" s="662" t="s">
        <v>742</v>
      </c>
      <c r="Q118" s="662" t="s">
        <v>742</v>
      </c>
      <c r="R118" s="662"/>
      <c r="S118" s="663"/>
      <c r="T118" s="673" t="s">
        <v>742</v>
      </c>
      <c r="U118" s="664">
        <v>1</v>
      </c>
      <c r="V118" s="1467">
        <f t="shared" si="61"/>
        <v>19324800</v>
      </c>
      <c r="W118" s="670">
        <v>6</v>
      </c>
      <c r="X118" s="1037" t="s">
        <v>556</v>
      </c>
      <c r="Y118" s="672" t="s">
        <v>744</v>
      </c>
      <c r="Z118" s="664" t="s">
        <v>515</v>
      </c>
      <c r="AA118" s="664" t="s">
        <v>515</v>
      </c>
      <c r="AB118" s="664" t="s">
        <v>515</v>
      </c>
      <c r="AC118" s="1210" t="s">
        <v>1123</v>
      </c>
      <c r="AD118" s="667" t="s">
        <v>517</v>
      </c>
      <c r="AE118" s="669"/>
      <c r="AF118" s="594">
        <v>40000</v>
      </c>
      <c r="AG118" s="668">
        <f t="shared" si="62"/>
        <v>19324800</v>
      </c>
      <c r="AH118" s="1055">
        <v>5</v>
      </c>
      <c r="AI118" s="665">
        <f t="shared" si="63"/>
        <v>96624000</v>
      </c>
      <c r="AJ118" s="668">
        <f t="shared" si="64"/>
        <v>96624000</v>
      </c>
      <c r="AK118" s="678">
        <f t="shared" si="65"/>
        <v>144936000</v>
      </c>
      <c r="AL118" s="668">
        <f t="shared" si="66"/>
        <v>507276000</v>
      </c>
      <c r="AM118" s="760" t="s">
        <v>1108</v>
      </c>
      <c r="AN118" s="272"/>
      <c r="AO118" s="753">
        <f t="shared" si="67"/>
        <v>200000000</v>
      </c>
      <c r="AP118" s="272"/>
      <c r="AQ118" s="272"/>
      <c r="AR118" s="272"/>
      <c r="AS118" s="272"/>
      <c r="AT118" s="272"/>
      <c r="AU118" s="272"/>
      <c r="AV118" s="272"/>
      <c r="AW118" s="272"/>
    </row>
    <row r="119" spans="1:49">
      <c r="A119" s="1440"/>
      <c r="B119" s="1319" t="s">
        <v>1124</v>
      </c>
      <c r="C119" s="67" t="s">
        <v>1125</v>
      </c>
      <c r="D119" s="355" t="s">
        <v>1126</v>
      </c>
      <c r="E119" s="349" t="s">
        <v>1127</v>
      </c>
      <c r="F119" s="664" t="s">
        <v>793</v>
      </c>
      <c r="G119" s="350" t="s">
        <v>596</v>
      </c>
      <c r="H119" s="656" t="s">
        <v>698</v>
      </c>
      <c r="I119" s="656"/>
      <c r="J119" s="656"/>
      <c r="K119" s="969">
        <v>440.19</v>
      </c>
      <c r="L119" s="703">
        <v>1372</v>
      </c>
      <c r="M119" s="708">
        <f t="shared" si="21"/>
        <v>3.7589041095890412</v>
      </c>
      <c r="N119" s="325">
        <v>45623</v>
      </c>
      <c r="O119" s="1133">
        <v>320.76</v>
      </c>
      <c r="P119" s="662" t="s">
        <v>742</v>
      </c>
      <c r="Q119" s="662" t="s">
        <v>742</v>
      </c>
      <c r="R119" s="662"/>
      <c r="S119" s="663"/>
      <c r="T119" s="673" t="s">
        <v>742</v>
      </c>
      <c r="U119" s="664">
        <v>1</v>
      </c>
      <c r="V119" s="1467">
        <f t="shared" si="61"/>
        <v>12830400</v>
      </c>
      <c r="W119" s="670">
        <v>6</v>
      </c>
      <c r="X119" s="1037" t="s">
        <v>556</v>
      </c>
      <c r="Y119" s="672" t="s">
        <v>744</v>
      </c>
      <c r="Z119" s="664" t="s">
        <v>515</v>
      </c>
      <c r="AA119" s="664" t="s">
        <v>515</v>
      </c>
      <c r="AB119" s="664" t="s">
        <v>515</v>
      </c>
      <c r="AC119" s="1210" t="s">
        <v>1128</v>
      </c>
      <c r="AD119" s="667" t="s">
        <v>517</v>
      </c>
      <c r="AE119" s="669"/>
      <c r="AF119" s="594">
        <v>40000</v>
      </c>
      <c r="AG119" s="668">
        <f t="shared" si="62"/>
        <v>12830400</v>
      </c>
      <c r="AH119" s="1055">
        <v>5</v>
      </c>
      <c r="AI119" s="665">
        <f t="shared" si="63"/>
        <v>64152000</v>
      </c>
      <c r="AJ119" s="668">
        <f t="shared" si="64"/>
        <v>64152000</v>
      </c>
      <c r="AK119" s="678">
        <f t="shared" si="65"/>
        <v>96228000</v>
      </c>
      <c r="AL119" s="668">
        <f t="shared" si="66"/>
        <v>336798000</v>
      </c>
      <c r="AM119" s="760" t="s">
        <v>1108</v>
      </c>
      <c r="AN119" s="272"/>
      <c r="AO119" s="753">
        <f t="shared" si="67"/>
        <v>200000000</v>
      </c>
      <c r="AP119" s="272"/>
      <c r="AQ119" s="272"/>
      <c r="AR119" s="272"/>
      <c r="AS119" s="272"/>
      <c r="AT119" s="272"/>
      <c r="AU119" s="272"/>
      <c r="AV119" s="272"/>
      <c r="AW119" s="272"/>
    </row>
    <row r="120" spans="1:49">
      <c r="A120" s="1440"/>
      <c r="B120" s="1319" t="s">
        <v>1129</v>
      </c>
      <c r="C120" s="67" t="s">
        <v>1130</v>
      </c>
      <c r="D120" s="355" t="s">
        <v>1131</v>
      </c>
      <c r="E120" s="349" t="s">
        <v>1132</v>
      </c>
      <c r="F120" s="664" t="s">
        <v>793</v>
      </c>
      <c r="G120" s="350" t="s">
        <v>596</v>
      </c>
      <c r="H120" s="656" t="s">
        <v>698</v>
      </c>
      <c r="I120" s="656"/>
      <c r="J120" s="656"/>
      <c r="K120" s="969">
        <v>452.81</v>
      </c>
      <c r="L120" s="703">
        <v>1389</v>
      </c>
      <c r="M120" s="708">
        <f t="shared" si="21"/>
        <v>3.8054794520547945</v>
      </c>
      <c r="N120" s="325">
        <v>45636</v>
      </c>
      <c r="O120" s="1133">
        <v>326.7</v>
      </c>
      <c r="P120" s="662" t="s">
        <v>742</v>
      </c>
      <c r="Q120" s="662" t="s">
        <v>742</v>
      </c>
      <c r="R120" s="662"/>
      <c r="S120" s="663"/>
      <c r="T120" s="673" t="s">
        <v>742</v>
      </c>
      <c r="U120" s="664">
        <v>1</v>
      </c>
      <c r="V120" s="1467">
        <f t="shared" ref="V120:V129" si="68">+O120*40000000/1000</f>
        <v>13068000</v>
      </c>
      <c r="W120" s="670">
        <v>6</v>
      </c>
      <c r="X120" s="1037" t="s">
        <v>556</v>
      </c>
      <c r="Y120" s="672" t="s">
        <v>744</v>
      </c>
      <c r="Z120" s="664" t="s">
        <v>515</v>
      </c>
      <c r="AA120" s="664" t="s">
        <v>515</v>
      </c>
      <c r="AB120" s="664" t="s">
        <v>515</v>
      </c>
      <c r="AC120" s="1210" t="s">
        <v>1133</v>
      </c>
      <c r="AD120" s="667" t="s">
        <v>517</v>
      </c>
      <c r="AE120" s="669"/>
      <c r="AF120" s="594">
        <v>40000</v>
      </c>
      <c r="AG120" s="668">
        <f t="shared" ref="AG120:AG129" si="69">40000000*O120/1000</f>
        <v>13068000</v>
      </c>
      <c r="AH120" s="1055">
        <v>5</v>
      </c>
      <c r="AI120" s="665">
        <f t="shared" ref="AI120:AI130" si="70">AG120*AH120</f>
        <v>65340000</v>
      </c>
      <c r="AJ120" s="668">
        <f t="shared" ref="AJ120:AJ129" si="71">200000000*O120/1000</f>
        <v>65340000</v>
      </c>
      <c r="AK120" s="678">
        <f t="shared" ref="AK120:AK129" si="72">300000000*O120/1000</f>
        <v>98010000</v>
      </c>
      <c r="AL120" s="668">
        <f t="shared" ref="AL120:AL129" si="73">1050000000*O120/1000</f>
        <v>343035000</v>
      </c>
      <c r="AM120" s="760" t="s">
        <v>1108</v>
      </c>
      <c r="AN120" s="272"/>
      <c r="AO120" s="753">
        <f t="shared" ref="AO120:AO129" si="74">(AJ120/O120)*1000</f>
        <v>200000000</v>
      </c>
      <c r="AP120" s="272"/>
      <c r="AQ120" s="272"/>
      <c r="AR120" s="272"/>
      <c r="AS120" s="272"/>
      <c r="AT120" s="272"/>
      <c r="AU120" s="272"/>
      <c r="AV120" s="272"/>
      <c r="AW120" s="272"/>
    </row>
    <row r="121" spans="1:49">
      <c r="A121" s="1440"/>
      <c r="B121" s="1319" t="s">
        <v>1134</v>
      </c>
      <c r="C121" s="67" t="s">
        <v>1135</v>
      </c>
      <c r="D121" s="355" t="s">
        <v>1136</v>
      </c>
      <c r="E121" s="349" t="s">
        <v>1137</v>
      </c>
      <c r="F121" s="664" t="s">
        <v>793</v>
      </c>
      <c r="G121" s="350" t="s">
        <v>596</v>
      </c>
      <c r="H121" s="656" t="s">
        <v>698</v>
      </c>
      <c r="I121" s="656"/>
      <c r="J121" s="656"/>
      <c r="K121" s="969">
        <v>1311.2</v>
      </c>
      <c r="L121" s="703">
        <v>1467</v>
      </c>
      <c r="M121" s="708">
        <f t="shared" si="21"/>
        <v>4.0191780821917806</v>
      </c>
      <c r="N121" s="325">
        <v>45623</v>
      </c>
      <c r="O121" s="1133">
        <v>769.56</v>
      </c>
      <c r="P121" s="662" t="s">
        <v>742</v>
      </c>
      <c r="Q121" s="673" t="s">
        <v>742</v>
      </c>
      <c r="R121" s="662"/>
      <c r="S121" s="663"/>
      <c r="T121" s="673" t="s">
        <v>742</v>
      </c>
      <c r="U121" s="664">
        <v>1</v>
      </c>
      <c r="V121" s="1467">
        <f t="shared" si="68"/>
        <v>30782399.999999996</v>
      </c>
      <c r="W121" s="670">
        <v>6</v>
      </c>
      <c r="X121" s="1037" t="s">
        <v>750</v>
      </c>
      <c r="Y121" s="672" t="s">
        <v>744</v>
      </c>
      <c r="Z121" s="664" t="s">
        <v>515</v>
      </c>
      <c r="AA121" s="664" t="s">
        <v>515</v>
      </c>
      <c r="AB121" s="664" t="s">
        <v>515</v>
      </c>
      <c r="AC121" s="1210" t="s">
        <v>1138</v>
      </c>
      <c r="AD121" s="667" t="s">
        <v>517</v>
      </c>
      <c r="AE121" s="669"/>
      <c r="AF121" s="594">
        <v>40000</v>
      </c>
      <c r="AG121" s="668">
        <f t="shared" si="69"/>
        <v>30782399.999999996</v>
      </c>
      <c r="AH121" s="1055">
        <v>5</v>
      </c>
      <c r="AI121" s="665">
        <f t="shared" si="70"/>
        <v>153911999.99999997</v>
      </c>
      <c r="AJ121" s="668">
        <f t="shared" si="71"/>
        <v>153912000</v>
      </c>
      <c r="AK121" s="678">
        <f t="shared" si="72"/>
        <v>230867999.99999997</v>
      </c>
      <c r="AL121" s="668">
        <f t="shared" si="73"/>
        <v>808038000</v>
      </c>
      <c r="AM121" s="760" t="s">
        <v>1108</v>
      </c>
      <c r="AN121" s="272"/>
      <c r="AO121" s="753">
        <f t="shared" si="74"/>
        <v>200000000</v>
      </c>
      <c r="AP121" s="272"/>
      <c r="AQ121" s="272"/>
      <c r="AR121" s="272"/>
      <c r="AS121" s="272"/>
      <c r="AT121" s="272"/>
      <c r="AU121" s="272"/>
      <c r="AV121" s="272"/>
      <c r="AW121" s="272"/>
    </row>
    <row r="122" spans="1:49" s="1331" customFormat="1">
      <c r="A122" s="1440"/>
      <c r="B122" s="1426" t="s">
        <v>1139</v>
      </c>
      <c r="C122" s="1398" t="s">
        <v>1140</v>
      </c>
      <c r="D122" s="1398" t="s">
        <v>1141</v>
      </c>
      <c r="E122" s="1398" t="s">
        <v>1142</v>
      </c>
      <c r="F122" s="1411" t="s">
        <v>793</v>
      </c>
      <c r="G122" s="1401" t="s">
        <v>624</v>
      </c>
      <c r="H122" s="1402" t="s">
        <v>698</v>
      </c>
      <c r="I122" s="1402"/>
      <c r="J122" s="1402"/>
      <c r="K122" s="1403">
        <v>1071.7</v>
      </c>
      <c r="L122" s="1427">
        <v>1386</v>
      </c>
      <c r="M122" s="1405">
        <f t="shared" si="21"/>
        <v>3.7972602739726029</v>
      </c>
      <c r="N122" s="1406">
        <v>45636</v>
      </c>
      <c r="O122" s="1407">
        <v>773.5</v>
      </c>
      <c r="P122" s="1408" t="s">
        <v>742</v>
      </c>
      <c r="Q122" s="1408" t="s">
        <v>742</v>
      </c>
      <c r="R122" s="1408"/>
      <c r="S122" s="1410"/>
      <c r="T122" s="1428" t="s">
        <v>742</v>
      </c>
      <c r="U122" s="1411">
        <v>1</v>
      </c>
      <c r="V122" s="1468">
        <f t="shared" si="68"/>
        <v>30940000</v>
      </c>
      <c r="W122" s="1413">
        <v>6</v>
      </c>
      <c r="X122" s="1424" t="s">
        <v>556</v>
      </c>
      <c r="Y122" s="1411"/>
      <c r="Z122" s="1411" t="s">
        <v>515</v>
      </c>
      <c r="AA122" s="1411" t="s">
        <v>515</v>
      </c>
      <c r="AB122" s="1411" t="s">
        <v>515</v>
      </c>
      <c r="AC122" s="1414" t="s">
        <v>1143</v>
      </c>
      <c r="AD122" s="1411" t="s">
        <v>517</v>
      </c>
      <c r="AE122" s="1415"/>
      <c r="AF122" s="1416">
        <v>40000</v>
      </c>
      <c r="AG122" s="1417">
        <f t="shared" si="69"/>
        <v>30940000</v>
      </c>
      <c r="AH122" s="1418">
        <v>5</v>
      </c>
      <c r="AI122" s="1412">
        <f t="shared" si="70"/>
        <v>154700000</v>
      </c>
      <c r="AJ122" s="1417">
        <f t="shared" si="71"/>
        <v>154700000</v>
      </c>
      <c r="AK122" s="1429">
        <f t="shared" si="72"/>
        <v>232050000</v>
      </c>
      <c r="AL122" s="1417">
        <f t="shared" si="73"/>
        <v>812175000</v>
      </c>
      <c r="AM122" s="1420" t="s">
        <v>1113</v>
      </c>
      <c r="AO122" s="1332">
        <f t="shared" si="74"/>
        <v>200000000</v>
      </c>
    </row>
    <row r="123" spans="1:49" s="1331" customFormat="1">
      <c r="A123" s="1440"/>
      <c r="B123" s="1426" t="s">
        <v>1144</v>
      </c>
      <c r="C123" s="1398" t="s">
        <v>1145</v>
      </c>
      <c r="D123" s="1398" t="s">
        <v>1146</v>
      </c>
      <c r="E123" s="1398" t="s">
        <v>1147</v>
      </c>
      <c r="F123" s="1411" t="s">
        <v>793</v>
      </c>
      <c r="G123" s="1401" t="s">
        <v>624</v>
      </c>
      <c r="H123" s="1402" t="s">
        <v>698</v>
      </c>
      <c r="I123" s="1402"/>
      <c r="J123" s="1402"/>
      <c r="K123" s="1403">
        <v>566.62</v>
      </c>
      <c r="L123" s="1427">
        <v>1368</v>
      </c>
      <c r="M123" s="1405">
        <f t="shared" si="21"/>
        <v>3.7479452054794522</v>
      </c>
      <c r="N123" s="1406">
        <v>45623</v>
      </c>
      <c r="O123" s="1407">
        <v>414.12</v>
      </c>
      <c r="P123" s="1408" t="s">
        <v>742</v>
      </c>
      <c r="Q123" s="1408" t="s">
        <v>742</v>
      </c>
      <c r="R123" s="1408"/>
      <c r="S123" s="1410"/>
      <c r="T123" s="1428" t="s">
        <v>742</v>
      </c>
      <c r="U123" s="1411">
        <v>1</v>
      </c>
      <c r="V123" s="1468">
        <f t="shared" si="68"/>
        <v>16564800</v>
      </c>
      <c r="W123" s="1413">
        <v>6</v>
      </c>
      <c r="X123" s="1424" t="s">
        <v>584</v>
      </c>
      <c r="Y123" s="1411"/>
      <c r="Z123" s="1411" t="s">
        <v>515</v>
      </c>
      <c r="AA123" s="1411" t="s">
        <v>515</v>
      </c>
      <c r="AB123" s="1411" t="s">
        <v>515</v>
      </c>
      <c r="AC123" s="1414" t="s">
        <v>1148</v>
      </c>
      <c r="AD123" s="1411" t="s">
        <v>517</v>
      </c>
      <c r="AE123" s="1415"/>
      <c r="AF123" s="1416">
        <v>40000</v>
      </c>
      <c r="AG123" s="1417">
        <f t="shared" si="69"/>
        <v>16564800</v>
      </c>
      <c r="AH123" s="1418">
        <v>5</v>
      </c>
      <c r="AI123" s="1412">
        <f t="shared" si="70"/>
        <v>82824000</v>
      </c>
      <c r="AJ123" s="1417">
        <f t="shared" si="71"/>
        <v>82824000</v>
      </c>
      <c r="AK123" s="1429">
        <f t="shared" si="72"/>
        <v>124236000</v>
      </c>
      <c r="AL123" s="1417">
        <f t="shared" si="73"/>
        <v>434826000</v>
      </c>
      <c r="AM123" s="1420" t="s">
        <v>1113</v>
      </c>
      <c r="AO123" s="1332">
        <f t="shared" si="74"/>
        <v>200000000</v>
      </c>
    </row>
    <row r="124" spans="1:49">
      <c r="A124" s="1440"/>
      <c r="B124" s="1319" t="s">
        <v>1149</v>
      </c>
      <c r="C124" s="67" t="s">
        <v>1150</v>
      </c>
      <c r="D124" s="355" t="s">
        <v>1151</v>
      </c>
      <c r="E124" s="349" t="s">
        <v>1152</v>
      </c>
      <c r="F124" s="664" t="s">
        <v>793</v>
      </c>
      <c r="G124" s="977" t="s">
        <v>831</v>
      </c>
      <c r="H124" s="656" t="s">
        <v>698</v>
      </c>
      <c r="I124" s="656"/>
      <c r="J124" s="656"/>
      <c r="K124" s="969">
        <v>308.57</v>
      </c>
      <c r="L124" s="703">
        <v>1441</v>
      </c>
      <c r="M124" s="708">
        <f t="shared" si="21"/>
        <v>3.9479452054794519</v>
      </c>
      <c r="N124" s="325">
        <v>45636</v>
      </c>
      <c r="O124" s="1133">
        <v>218.44</v>
      </c>
      <c r="P124" s="662" t="s">
        <v>742</v>
      </c>
      <c r="Q124" s="662" t="s">
        <v>742</v>
      </c>
      <c r="R124" s="662"/>
      <c r="S124" s="663"/>
      <c r="T124" s="673" t="s">
        <v>742</v>
      </c>
      <c r="U124" s="664">
        <v>1</v>
      </c>
      <c r="V124" s="1467">
        <f t="shared" si="68"/>
        <v>8737600</v>
      </c>
      <c r="W124" s="670">
        <v>6</v>
      </c>
      <c r="X124" s="1037" t="s">
        <v>541</v>
      </c>
      <c r="Y124" s="672" t="s">
        <v>744</v>
      </c>
      <c r="Z124" s="664" t="s">
        <v>515</v>
      </c>
      <c r="AA124" s="664" t="s">
        <v>515</v>
      </c>
      <c r="AB124" s="664" t="s">
        <v>515</v>
      </c>
      <c r="AC124" s="1210" t="s">
        <v>1153</v>
      </c>
      <c r="AD124" s="667" t="s">
        <v>517</v>
      </c>
      <c r="AE124" s="669"/>
      <c r="AF124" s="594">
        <v>40000</v>
      </c>
      <c r="AG124" s="668">
        <f t="shared" si="69"/>
        <v>8737600</v>
      </c>
      <c r="AH124" s="1055">
        <v>5</v>
      </c>
      <c r="AI124" s="665">
        <f t="shared" si="70"/>
        <v>43688000</v>
      </c>
      <c r="AJ124" s="668">
        <f t="shared" si="71"/>
        <v>43688000</v>
      </c>
      <c r="AK124" s="678">
        <f t="shared" si="72"/>
        <v>65532000</v>
      </c>
      <c r="AL124" s="668">
        <f t="shared" si="73"/>
        <v>229362000</v>
      </c>
      <c r="AM124" s="760"/>
      <c r="AN124" s="272"/>
      <c r="AO124" s="753">
        <f t="shared" si="74"/>
        <v>200000000</v>
      </c>
      <c r="AP124" s="272"/>
      <c r="AQ124" s="272"/>
      <c r="AR124" s="272"/>
      <c r="AS124" s="272"/>
      <c r="AT124" s="272"/>
      <c r="AU124" s="272"/>
      <c r="AV124" s="272"/>
      <c r="AW124" s="272"/>
    </row>
    <row r="125" spans="1:49">
      <c r="A125" s="1440"/>
      <c r="B125" s="1319" t="s">
        <v>1154</v>
      </c>
      <c r="C125" s="67" t="s">
        <v>1155</v>
      </c>
      <c r="D125" s="355" t="s">
        <v>1156</v>
      </c>
      <c r="E125" s="349" t="s">
        <v>1157</v>
      </c>
      <c r="F125" s="664" t="s">
        <v>793</v>
      </c>
      <c r="G125" s="977" t="s">
        <v>831</v>
      </c>
      <c r="H125" s="656" t="s">
        <v>698</v>
      </c>
      <c r="I125" s="656"/>
      <c r="J125" s="656"/>
      <c r="K125" s="969">
        <v>407.33</v>
      </c>
      <c r="L125" s="703">
        <v>1437</v>
      </c>
      <c r="M125" s="708">
        <f t="shared" ref="M125:M129" si="75">L125/365</f>
        <v>3.9369863013698629</v>
      </c>
      <c r="N125" s="325">
        <v>45636</v>
      </c>
      <c r="O125" s="1133">
        <v>286.38499999999999</v>
      </c>
      <c r="P125" s="662" t="s">
        <v>742</v>
      </c>
      <c r="Q125" s="662" t="s">
        <v>742</v>
      </c>
      <c r="R125" s="662"/>
      <c r="S125" s="663"/>
      <c r="T125" s="673" t="s">
        <v>742</v>
      </c>
      <c r="U125" s="664">
        <v>1</v>
      </c>
      <c r="V125" s="1467">
        <f t="shared" si="68"/>
        <v>11455400</v>
      </c>
      <c r="W125" s="670">
        <v>6</v>
      </c>
      <c r="X125" s="1037" t="s">
        <v>541</v>
      </c>
      <c r="Y125" s="672" t="s">
        <v>744</v>
      </c>
      <c r="Z125" s="664" t="s">
        <v>515</v>
      </c>
      <c r="AA125" s="664" t="s">
        <v>515</v>
      </c>
      <c r="AB125" s="664" t="s">
        <v>515</v>
      </c>
      <c r="AC125" s="1210" t="s">
        <v>1153</v>
      </c>
      <c r="AD125" s="667" t="s">
        <v>517</v>
      </c>
      <c r="AE125" s="669"/>
      <c r="AF125" s="594">
        <v>40000</v>
      </c>
      <c r="AG125" s="668">
        <f t="shared" si="69"/>
        <v>11455400</v>
      </c>
      <c r="AH125" s="1055">
        <v>5</v>
      </c>
      <c r="AI125" s="665">
        <f t="shared" si="70"/>
        <v>57277000</v>
      </c>
      <c r="AJ125" s="668">
        <f t="shared" si="71"/>
        <v>57277000</v>
      </c>
      <c r="AK125" s="678">
        <f t="shared" si="72"/>
        <v>85915500</v>
      </c>
      <c r="AL125" s="668">
        <f t="shared" si="73"/>
        <v>300704250</v>
      </c>
      <c r="AM125" s="760"/>
      <c r="AN125" s="272"/>
      <c r="AO125" s="753">
        <f t="shared" si="74"/>
        <v>200000000</v>
      </c>
      <c r="AP125" s="272"/>
      <c r="AQ125" s="272"/>
      <c r="AR125" s="272"/>
      <c r="AS125" s="272"/>
      <c r="AT125" s="272"/>
      <c r="AU125" s="272"/>
      <c r="AV125" s="272"/>
      <c r="AW125" s="272"/>
    </row>
    <row r="126" spans="1:49">
      <c r="A126" s="1440"/>
      <c r="B126" s="1319" t="s">
        <v>1158</v>
      </c>
      <c r="C126" s="67" t="s">
        <v>1159</v>
      </c>
      <c r="D126" s="355" t="s">
        <v>1160</v>
      </c>
      <c r="E126" s="349" t="s">
        <v>1161</v>
      </c>
      <c r="F126" s="664" t="s">
        <v>793</v>
      </c>
      <c r="G126" s="350" t="s">
        <v>736</v>
      </c>
      <c r="H126" s="656" t="s">
        <v>698</v>
      </c>
      <c r="I126" s="656"/>
      <c r="J126" s="656"/>
      <c r="K126" s="969">
        <v>413.71</v>
      </c>
      <c r="L126" s="703">
        <v>1440</v>
      </c>
      <c r="M126" s="708">
        <f t="shared" si="75"/>
        <v>3.9452054794520546</v>
      </c>
      <c r="N126" s="325">
        <v>45636</v>
      </c>
      <c r="O126" s="1133">
        <v>299.72000000000003</v>
      </c>
      <c r="P126" s="662" t="s">
        <v>742</v>
      </c>
      <c r="Q126" s="662" t="s">
        <v>742</v>
      </c>
      <c r="R126" s="662"/>
      <c r="S126" s="663"/>
      <c r="T126" s="673" t="s">
        <v>742</v>
      </c>
      <c r="U126" s="664">
        <v>1</v>
      </c>
      <c r="V126" s="1467">
        <f t="shared" si="68"/>
        <v>11988800.000000002</v>
      </c>
      <c r="W126" s="670">
        <v>6</v>
      </c>
      <c r="X126" s="1037" t="s">
        <v>541</v>
      </c>
      <c r="Y126" s="672" t="s">
        <v>744</v>
      </c>
      <c r="Z126" s="664" t="s">
        <v>515</v>
      </c>
      <c r="AA126" s="664" t="s">
        <v>515</v>
      </c>
      <c r="AB126" s="664" t="s">
        <v>515</v>
      </c>
      <c r="AC126" s="1210" t="s">
        <v>1162</v>
      </c>
      <c r="AD126" s="667" t="s">
        <v>517</v>
      </c>
      <c r="AE126" s="669"/>
      <c r="AF126" s="594">
        <v>40000</v>
      </c>
      <c r="AG126" s="668">
        <f t="shared" si="69"/>
        <v>11988800.000000002</v>
      </c>
      <c r="AH126" s="1055">
        <v>5</v>
      </c>
      <c r="AI126" s="665">
        <f t="shared" si="70"/>
        <v>59944000.000000007</v>
      </c>
      <c r="AJ126" s="668">
        <f t="shared" si="71"/>
        <v>59944000.000000007</v>
      </c>
      <c r="AK126" s="678">
        <f t="shared" si="72"/>
        <v>89916000.000000015</v>
      </c>
      <c r="AL126" s="668">
        <f t="shared" si="73"/>
        <v>314706000</v>
      </c>
      <c r="AM126" s="760"/>
      <c r="AN126" s="272"/>
      <c r="AO126" s="753">
        <f t="shared" si="74"/>
        <v>200000000</v>
      </c>
      <c r="AP126" s="272"/>
      <c r="AQ126" s="272"/>
      <c r="AR126" s="272"/>
      <c r="AS126" s="272"/>
      <c r="AT126" s="272"/>
      <c r="AU126" s="272"/>
      <c r="AV126" s="272"/>
      <c r="AW126" s="272"/>
    </row>
    <row r="127" spans="1:49">
      <c r="A127" s="1440"/>
      <c r="B127" s="1319" t="s">
        <v>1163</v>
      </c>
      <c r="C127" s="67" t="s">
        <v>1164</v>
      </c>
      <c r="D127" s="355" t="s">
        <v>1165</v>
      </c>
      <c r="E127" s="349" t="s">
        <v>1166</v>
      </c>
      <c r="F127" s="664" t="s">
        <v>793</v>
      </c>
      <c r="G127" s="350" t="s">
        <v>523</v>
      </c>
      <c r="H127" s="656" t="s">
        <v>698</v>
      </c>
      <c r="I127" s="656"/>
      <c r="J127" s="656"/>
      <c r="K127" s="969">
        <v>984.32</v>
      </c>
      <c r="L127" s="703">
        <v>1431</v>
      </c>
      <c r="M127" s="708">
        <f t="shared" si="75"/>
        <v>3.9205479452054797</v>
      </c>
      <c r="N127" s="325">
        <v>45636</v>
      </c>
      <c r="O127" s="1133">
        <v>688.34</v>
      </c>
      <c r="P127" s="662" t="s">
        <v>742</v>
      </c>
      <c r="Q127" s="662" t="s">
        <v>742</v>
      </c>
      <c r="R127" s="662"/>
      <c r="S127" s="663"/>
      <c r="T127" s="673" t="s">
        <v>742</v>
      </c>
      <c r="U127" s="664">
        <v>1</v>
      </c>
      <c r="V127" s="1467">
        <f t="shared" si="68"/>
        <v>27533600</v>
      </c>
      <c r="W127" s="670">
        <v>6</v>
      </c>
      <c r="X127" s="1037" t="s">
        <v>541</v>
      </c>
      <c r="Y127" s="672" t="s">
        <v>744</v>
      </c>
      <c r="Z127" s="664" t="s">
        <v>515</v>
      </c>
      <c r="AA127" s="664" t="s">
        <v>515</v>
      </c>
      <c r="AB127" s="664" t="s">
        <v>515</v>
      </c>
      <c r="AC127" s="1210" t="s">
        <v>1167</v>
      </c>
      <c r="AD127" s="667" t="s">
        <v>517</v>
      </c>
      <c r="AE127" s="669"/>
      <c r="AF127" s="594">
        <v>40000</v>
      </c>
      <c r="AG127" s="668">
        <f t="shared" si="69"/>
        <v>27533600</v>
      </c>
      <c r="AH127" s="1055">
        <v>5</v>
      </c>
      <c r="AI127" s="665">
        <f t="shared" si="70"/>
        <v>137668000</v>
      </c>
      <c r="AJ127" s="668">
        <f t="shared" si="71"/>
        <v>137668000</v>
      </c>
      <c r="AK127" s="678">
        <f t="shared" si="72"/>
        <v>206502000</v>
      </c>
      <c r="AL127" s="668">
        <f t="shared" si="73"/>
        <v>722757000</v>
      </c>
      <c r="AM127" s="760"/>
      <c r="AN127" s="272"/>
      <c r="AO127" s="753">
        <f t="shared" si="74"/>
        <v>200000000</v>
      </c>
      <c r="AP127" s="272"/>
      <c r="AQ127" s="272"/>
      <c r="AR127" s="272"/>
      <c r="AS127" s="272"/>
      <c r="AT127" s="272"/>
      <c r="AU127" s="272"/>
      <c r="AV127" s="272"/>
      <c r="AW127" s="272"/>
    </row>
    <row r="128" spans="1:49">
      <c r="A128" s="1440"/>
      <c r="B128" s="1319" t="s">
        <v>1168</v>
      </c>
      <c r="C128" s="67" t="s">
        <v>1169</v>
      </c>
      <c r="D128" s="355" t="s">
        <v>1170</v>
      </c>
      <c r="E128" s="349" t="s">
        <v>1171</v>
      </c>
      <c r="F128" s="664" t="s">
        <v>793</v>
      </c>
      <c r="G128" s="350" t="s">
        <v>590</v>
      </c>
      <c r="H128" s="656" t="s">
        <v>698</v>
      </c>
      <c r="I128" s="656"/>
      <c r="J128" s="656"/>
      <c r="K128" s="969">
        <v>1254.5999999999999</v>
      </c>
      <c r="L128" s="703">
        <v>1402</v>
      </c>
      <c r="M128" s="708">
        <f t="shared" si="75"/>
        <v>3.8410958904109589</v>
      </c>
      <c r="N128" s="325">
        <v>45644</v>
      </c>
      <c r="O128" s="1133">
        <v>894.08</v>
      </c>
      <c r="P128" s="662" t="s">
        <v>742</v>
      </c>
      <c r="Q128" s="662" t="s">
        <v>742</v>
      </c>
      <c r="R128" s="662"/>
      <c r="S128" s="663"/>
      <c r="T128" s="673" t="s">
        <v>742</v>
      </c>
      <c r="U128" s="664">
        <v>1</v>
      </c>
      <c r="V128" s="1467">
        <f t="shared" si="68"/>
        <v>35763200</v>
      </c>
      <c r="W128" s="670">
        <v>6</v>
      </c>
      <c r="X128" s="1035" t="s">
        <v>531</v>
      </c>
      <c r="Y128" s="672" t="s">
        <v>744</v>
      </c>
      <c r="Z128" s="664" t="s">
        <v>515</v>
      </c>
      <c r="AA128" s="664" t="s">
        <v>515</v>
      </c>
      <c r="AB128" s="664" t="s">
        <v>515</v>
      </c>
      <c r="AC128" s="1210" t="s">
        <v>1172</v>
      </c>
      <c r="AD128" s="667" t="s">
        <v>517</v>
      </c>
      <c r="AE128" s="669"/>
      <c r="AF128" s="594">
        <v>40000</v>
      </c>
      <c r="AG128" s="668">
        <f t="shared" si="69"/>
        <v>35763200</v>
      </c>
      <c r="AH128" s="1055">
        <v>5</v>
      </c>
      <c r="AI128" s="665">
        <f t="shared" si="70"/>
        <v>178816000</v>
      </c>
      <c r="AJ128" s="668">
        <f t="shared" si="71"/>
        <v>178816000</v>
      </c>
      <c r="AK128" s="678">
        <f t="shared" si="72"/>
        <v>268224000</v>
      </c>
      <c r="AL128" s="668">
        <f t="shared" si="73"/>
        <v>938784000</v>
      </c>
      <c r="AM128" s="760"/>
      <c r="AN128" s="272"/>
      <c r="AO128" s="753">
        <f t="shared" si="74"/>
        <v>200000000</v>
      </c>
      <c r="AP128" s="272"/>
      <c r="AQ128" s="272"/>
      <c r="AR128" s="272"/>
      <c r="AS128" s="272"/>
      <c r="AT128" s="272"/>
      <c r="AU128" s="272"/>
      <c r="AV128" s="272"/>
      <c r="AW128" s="272"/>
    </row>
    <row r="129" spans="1:49">
      <c r="A129" s="1440"/>
      <c r="B129" s="1319" t="s">
        <v>1173</v>
      </c>
      <c r="C129" s="67" t="s">
        <v>1174</v>
      </c>
      <c r="D129" s="355" t="s">
        <v>1175</v>
      </c>
      <c r="E129" s="349"/>
      <c r="F129" s="664" t="s">
        <v>793</v>
      </c>
      <c r="G129" s="350" t="s">
        <v>523</v>
      </c>
      <c r="H129" s="656" t="s">
        <v>698</v>
      </c>
      <c r="I129" s="656"/>
      <c r="J129" s="656"/>
      <c r="K129" s="969">
        <v>447.91</v>
      </c>
      <c r="L129" s="703">
        <v>1422</v>
      </c>
      <c r="M129" s="708">
        <f t="shared" si="75"/>
        <v>3.8958904109589043</v>
      </c>
      <c r="N129" s="325">
        <v>45688</v>
      </c>
      <c r="O129" s="1133">
        <v>316.23</v>
      </c>
      <c r="P129" s="662"/>
      <c r="Q129" s="662" t="s">
        <v>742</v>
      </c>
      <c r="R129" s="662"/>
      <c r="S129" s="663"/>
      <c r="T129" s="673" t="s">
        <v>742</v>
      </c>
      <c r="U129" s="664">
        <v>1</v>
      </c>
      <c r="V129" s="1467">
        <f t="shared" si="68"/>
        <v>12649200</v>
      </c>
      <c r="W129" s="670">
        <v>6</v>
      </c>
      <c r="X129" s="1037" t="s">
        <v>541</v>
      </c>
      <c r="Y129" s="672" t="s">
        <v>744</v>
      </c>
      <c r="Z129" s="664" t="s">
        <v>515</v>
      </c>
      <c r="AA129" s="664" t="s">
        <v>515</v>
      </c>
      <c r="AB129" s="664" t="s">
        <v>515</v>
      </c>
      <c r="AC129" s="1210" t="s">
        <v>1176</v>
      </c>
      <c r="AD129" s="667" t="s">
        <v>517</v>
      </c>
      <c r="AE129" s="669"/>
      <c r="AF129" s="594">
        <v>40000</v>
      </c>
      <c r="AG129" s="668">
        <f t="shared" si="69"/>
        <v>12649200</v>
      </c>
      <c r="AH129" s="1055">
        <v>5</v>
      </c>
      <c r="AI129" s="665">
        <f t="shared" si="70"/>
        <v>63246000</v>
      </c>
      <c r="AJ129" s="668">
        <f t="shared" si="71"/>
        <v>63246000</v>
      </c>
      <c r="AK129" s="678">
        <f t="shared" si="72"/>
        <v>94869000</v>
      </c>
      <c r="AL129" s="668">
        <f t="shared" si="73"/>
        <v>332041500</v>
      </c>
      <c r="AM129" s="766"/>
      <c r="AN129" s="272"/>
      <c r="AO129" s="753">
        <f t="shared" si="74"/>
        <v>200000000</v>
      </c>
      <c r="AP129" s="272"/>
      <c r="AQ129" s="272"/>
      <c r="AR129" s="272"/>
      <c r="AS129" s="272"/>
      <c r="AT129" s="272"/>
      <c r="AU129" s="272"/>
      <c r="AV129" s="272"/>
      <c r="AW129" s="272"/>
    </row>
    <row r="130" spans="1:49">
      <c r="A130" s="1440"/>
      <c r="B130" s="1319" t="s">
        <v>1177</v>
      </c>
      <c r="C130" s="67" t="s">
        <v>1178</v>
      </c>
      <c r="D130" t="s">
        <v>1179</v>
      </c>
      <c r="E130" s="349"/>
      <c r="F130" s="664" t="s">
        <v>793</v>
      </c>
      <c r="G130" s="350" t="s">
        <v>1180</v>
      </c>
      <c r="H130" s="656">
        <v>8.8999999999999996E-2</v>
      </c>
      <c r="I130" s="656">
        <v>9.1999999999999998E-2</v>
      </c>
      <c r="J130" s="656">
        <v>9.2999999999999999E-2</v>
      </c>
      <c r="K130" s="969">
        <v>2022.9506149999997</v>
      </c>
      <c r="L130" s="703">
        <v>1409</v>
      </c>
      <c r="M130" s="708">
        <f>L130/365</f>
        <v>3.8602739726027395</v>
      </c>
      <c r="N130" s="325">
        <v>45751</v>
      </c>
      <c r="O130" s="1133">
        <v>1435.7349999999999</v>
      </c>
      <c r="P130" s="662"/>
      <c r="Q130" s="662" t="s">
        <v>742</v>
      </c>
      <c r="R130" s="662"/>
      <c r="S130" s="663"/>
      <c r="T130" s="673" t="s">
        <v>742</v>
      </c>
      <c r="U130" s="664">
        <v>1</v>
      </c>
      <c r="V130" s="1467"/>
      <c r="W130" s="670">
        <v>6</v>
      </c>
      <c r="X130" s="1037" t="s">
        <v>503</v>
      </c>
      <c r="Y130" s="672" t="s">
        <v>744</v>
      </c>
      <c r="Z130" s="664" t="s">
        <v>515</v>
      </c>
      <c r="AA130" s="664" t="s">
        <v>515</v>
      </c>
      <c r="AB130" s="664" t="s">
        <v>515</v>
      </c>
      <c r="AC130" s="1210" t="s">
        <v>1181</v>
      </c>
      <c r="AD130" s="667" t="s">
        <v>517</v>
      </c>
      <c r="AE130" s="669"/>
      <c r="AF130" s="594">
        <v>40000</v>
      </c>
      <c r="AG130" s="668">
        <f>+O130*AF130</f>
        <v>57429399.999999993</v>
      </c>
      <c r="AH130" s="1055">
        <v>5</v>
      </c>
      <c r="AI130" s="665">
        <f t="shared" si="70"/>
        <v>287146999.99999994</v>
      </c>
      <c r="AJ130" s="668">
        <f t="shared" ref="AJ130" si="76">200000000*O130/1000</f>
        <v>287147000</v>
      </c>
      <c r="AK130" s="678">
        <f t="shared" ref="AK130" si="77">300000000*O130/1000</f>
        <v>430720500</v>
      </c>
      <c r="AL130" s="668">
        <f t="shared" ref="AL130" si="78">1050000000*O130/1000</f>
        <v>1507521750</v>
      </c>
      <c r="AM130" s="760" t="s">
        <v>1108</v>
      </c>
      <c r="AN130" s="272"/>
      <c r="AO130" s="753"/>
      <c r="AP130" s="272"/>
      <c r="AQ130" s="272"/>
      <c r="AR130" s="272"/>
      <c r="AS130" s="272"/>
      <c r="AT130" s="272"/>
      <c r="AU130" s="272"/>
      <c r="AV130" s="272"/>
      <c r="AW130" s="272"/>
    </row>
    <row r="131" spans="1:49">
      <c r="A131" s="1440"/>
      <c r="B131" s="1022"/>
      <c r="C131" s="469"/>
      <c r="D131" s="976"/>
      <c r="E131" s="574"/>
      <c r="F131" s="693"/>
      <c r="G131" s="693"/>
      <c r="H131" s="657"/>
      <c r="I131" s="657"/>
      <c r="J131" s="657"/>
      <c r="K131" s="970"/>
      <c r="L131" s="705"/>
      <c r="M131" s="711"/>
      <c r="N131" s="576"/>
      <c r="O131" s="1157"/>
      <c r="P131" s="690"/>
      <c r="Q131" s="690"/>
      <c r="R131" s="690"/>
      <c r="S131" s="691"/>
      <c r="T131" s="692"/>
      <c r="U131" s="693"/>
      <c r="V131" s="1469"/>
      <c r="W131" s="695"/>
      <c r="X131" s="1041"/>
      <c r="Y131" s="696"/>
      <c r="Z131" s="693"/>
      <c r="AA131" s="693"/>
      <c r="AB131" s="693"/>
      <c r="AC131" s="1214"/>
      <c r="AD131" s="696"/>
      <c r="AE131" s="698"/>
      <c r="AF131" s="697"/>
      <c r="AG131" s="697"/>
      <c r="AH131" s="1059"/>
      <c r="AI131" s="694"/>
      <c r="AJ131" s="697"/>
      <c r="AK131" s="699"/>
      <c r="AL131" s="697"/>
      <c r="AM131" s="764"/>
      <c r="AN131" s="272"/>
      <c r="AO131" s="753"/>
      <c r="AP131" s="272"/>
      <c r="AQ131" s="272"/>
      <c r="AR131" s="272"/>
      <c r="AS131" s="272"/>
      <c r="AT131" s="272"/>
      <c r="AU131" s="272"/>
      <c r="AV131" s="272"/>
      <c r="AW131" s="272"/>
    </row>
    <row r="132" spans="1:49">
      <c r="A132" s="358" t="s">
        <v>1182</v>
      </c>
      <c r="B132" s="359">
        <f>SUM(A11,A27,A57,A73,A86,A110)</f>
        <v>132991.78999999998</v>
      </c>
      <c r="C132" s="3"/>
      <c r="D132" s="347"/>
      <c r="E132" s="3"/>
      <c r="F132" s="2"/>
      <c r="G132" s="2"/>
      <c r="H132" s="571"/>
      <c r="I132" s="571"/>
      <c r="J132" s="571"/>
      <c r="K132" s="972"/>
      <c r="L132" s="104"/>
      <c r="M132" s="712"/>
      <c r="N132" s="2"/>
      <c r="O132" s="1155"/>
      <c r="P132" s="4"/>
      <c r="Q132" s="4"/>
      <c r="R132" s="2"/>
      <c r="S132" s="2"/>
      <c r="T132" s="2"/>
      <c r="U132" s="2"/>
      <c r="V132" s="1473"/>
      <c r="W132" s="357"/>
      <c r="X132" s="5"/>
      <c r="Y132" s="2"/>
      <c r="Z132" s="2"/>
      <c r="AA132" s="2"/>
      <c r="AB132" s="2"/>
      <c r="AC132" s="1215"/>
      <c r="AD132" s="501"/>
      <c r="AE132" s="2"/>
      <c r="AF132" s="501"/>
      <c r="AG132" s="36"/>
      <c r="AH132" s="1060"/>
      <c r="AI132" s="71"/>
      <c r="AJ132" s="36"/>
      <c r="AK132" s="36"/>
      <c r="AL132" s="36"/>
      <c r="AM132" s="765"/>
      <c r="AN132" s="272"/>
      <c r="AO132" s="753"/>
      <c r="AP132" s="272"/>
      <c r="AQ132" s="272"/>
      <c r="AR132" s="272"/>
      <c r="AS132" s="272"/>
      <c r="AT132" s="272"/>
      <c r="AU132" s="272"/>
      <c r="AV132" s="272"/>
      <c r="AW132" s="272"/>
    </row>
    <row r="133" spans="1:49">
      <c r="A133" s="273"/>
      <c r="B133" s="361"/>
      <c r="C133" s="272"/>
      <c r="D133" s="362"/>
      <c r="E133" s="272"/>
      <c r="F133" s="273"/>
      <c r="G133" s="273"/>
      <c r="H133" s="572"/>
      <c r="I133" s="572"/>
      <c r="J133" s="572"/>
      <c r="K133" s="973"/>
      <c r="N133" s="273"/>
      <c r="O133" s="1159"/>
      <c r="P133" s="363"/>
      <c r="Q133" s="363"/>
      <c r="R133" s="273"/>
      <c r="S133" s="273"/>
      <c r="T133" s="273"/>
      <c r="U133" s="273"/>
      <c r="V133" s="769"/>
      <c r="W133" s="273"/>
      <c r="X133" s="577"/>
      <c r="Y133" s="273"/>
      <c r="Z133" s="273"/>
      <c r="AA133" s="273"/>
      <c r="AB133" s="273"/>
      <c r="AC133" s="1216"/>
      <c r="AD133" s="524"/>
      <c r="AE133" s="273"/>
      <c r="AF133" s="524"/>
      <c r="AG133" s="364"/>
      <c r="AJ133" s="364"/>
      <c r="AK133" s="364"/>
      <c r="AL133" s="364"/>
      <c r="AM133" s="766"/>
      <c r="AN133" s="272"/>
      <c r="AO133" s="753"/>
      <c r="AP133" s="272"/>
      <c r="AQ133" s="272"/>
      <c r="AR133" s="272"/>
      <c r="AS133" s="272"/>
      <c r="AT133" s="272"/>
      <c r="AU133" s="272"/>
      <c r="AV133" s="272"/>
      <c r="AW133" s="272"/>
    </row>
    <row r="134" spans="1:49">
      <c r="A134" s="273"/>
      <c r="B134" s="361"/>
      <c r="C134" s="272"/>
      <c r="D134" s="365"/>
      <c r="E134" s="272"/>
      <c r="F134" s="273"/>
      <c r="G134" s="273"/>
      <c r="H134" s="572"/>
      <c r="I134" s="572"/>
      <c r="J134" s="572"/>
      <c r="K134" s="973"/>
      <c r="N134" s="273"/>
      <c r="O134" s="1159"/>
      <c r="P134" s="363"/>
      <c r="Q134" s="363"/>
      <c r="R134" s="273"/>
      <c r="S134" s="273"/>
      <c r="T134" s="273"/>
      <c r="U134" s="273"/>
      <c r="V134" s="769"/>
      <c r="W134" s="273"/>
      <c r="X134" s="577"/>
      <c r="Y134" s="273"/>
      <c r="Z134" s="273"/>
      <c r="AA134" s="273"/>
      <c r="AB134" s="273"/>
      <c r="AC134" s="1216"/>
      <c r="AD134" s="524"/>
      <c r="AE134" s="273"/>
      <c r="AF134" s="524"/>
      <c r="AG134" s="364"/>
      <c r="AJ134" s="364"/>
      <c r="AK134" s="364"/>
      <c r="AL134" s="364"/>
      <c r="AM134" s="766"/>
      <c r="AN134" s="272"/>
      <c r="AO134" s="753"/>
      <c r="AP134" s="272"/>
      <c r="AQ134" s="272"/>
      <c r="AR134" s="272"/>
      <c r="AS134" s="272"/>
      <c r="AT134" s="272"/>
      <c r="AU134" s="272"/>
      <c r="AV134" s="272"/>
      <c r="AW134" s="272"/>
    </row>
    <row r="135" spans="1:49">
      <c r="A135" s="273"/>
      <c r="B135" s="272"/>
      <c r="C135" s="272"/>
      <c r="D135" s="365"/>
      <c r="E135" s="272"/>
      <c r="F135" s="273"/>
      <c r="G135" s="273"/>
      <c r="H135" s="572"/>
      <c r="I135" s="572"/>
      <c r="J135" s="572"/>
      <c r="K135" s="973"/>
      <c r="N135" s="273"/>
      <c r="O135" s="1159"/>
      <c r="P135" s="363"/>
      <c r="Q135" s="363"/>
      <c r="R135" s="273"/>
      <c r="S135" s="273"/>
      <c r="T135" s="273"/>
      <c r="U135" s="273"/>
      <c r="V135" s="769"/>
      <c r="W135" s="273"/>
      <c r="X135" s="577"/>
      <c r="Y135" s="273"/>
      <c r="Z135" s="273"/>
      <c r="AA135" s="273"/>
      <c r="AB135" s="273"/>
      <c r="AC135" s="1216"/>
      <c r="AD135" s="524"/>
      <c r="AE135" s="273"/>
      <c r="AF135" s="524"/>
      <c r="AG135" s="364"/>
      <c r="AJ135" s="364"/>
      <c r="AK135" s="364"/>
      <c r="AL135" s="364"/>
      <c r="AM135" s="766"/>
      <c r="AN135" s="272"/>
      <c r="AO135" s="753"/>
      <c r="AP135" s="272"/>
      <c r="AQ135" s="272"/>
      <c r="AR135" s="272"/>
      <c r="AS135" s="272"/>
      <c r="AT135" s="272"/>
      <c r="AU135" s="272"/>
      <c r="AV135" s="272"/>
      <c r="AW135" s="272"/>
    </row>
    <row r="136" spans="1:49">
      <c r="A136" s="273"/>
      <c r="B136" s="361"/>
      <c r="C136" s="272"/>
      <c r="D136" s="273"/>
      <c r="E136" s="273"/>
      <c r="F136" s="273"/>
      <c r="G136" s="273"/>
      <c r="H136" s="273"/>
      <c r="I136" s="273"/>
      <c r="J136" s="273"/>
      <c r="K136" s="974"/>
      <c r="L136" s="273"/>
      <c r="M136" s="714"/>
      <c r="N136" s="273"/>
      <c r="O136" s="1159"/>
      <c r="P136" s="273"/>
      <c r="Q136" s="273"/>
      <c r="R136" s="273"/>
      <c r="S136" s="273"/>
      <c r="T136" s="273"/>
      <c r="U136" s="273"/>
      <c r="V136" s="769"/>
      <c r="W136" s="273"/>
      <c r="X136" s="577"/>
      <c r="Y136" s="273"/>
      <c r="Z136" s="273"/>
      <c r="AA136" s="273"/>
      <c r="AB136" s="273"/>
      <c r="AC136" s="1216"/>
      <c r="AD136" s="524"/>
      <c r="AE136" s="273"/>
      <c r="AF136" s="524"/>
      <c r="AG136" s="364"/>
      <c r="AJ136" s="364"/>
      <c r="AK136" s="364"/>
      <c r="AL136" s="364"/>
      <c r="AM136" s="766"/>
      <c r="AN136" s="272"/>
      <c r="AO136" s="753"/>
      <c r="AP136" s="272"/>
      <c r="AQ136" s="272"/>
      <c r="AR136" s="272"/>
      <c r="AS136" s="272"/>
      <c r="AT136" s="272"/>
      <c r="AU136" s="272"/>
      <c r="AV136" s="272"/>
      <c r="AW136" s="272"/>
    </row>
    <row r="137" spans="1:49">
      <c r="A137" s="273"/>
      <c r="B137" s="361"/>
      <c r="C137" s="272"/>
      <c r="D137" s="273"/>
      <c r="E137" s="273"/>
      <c r="F137" s="273"/>
      <c r="G137" s="273"/>
      <c r="H137" s="273"/>
      <c r="I137" s="273"/>
      <c r="J137" s="273"/>
      <c r="K137" s="974"/>
      <c r="L137" s="273"/>
      <c r="M137" s="714"/>
      <c r="N137" s="273"/>
      <c r="O137" s="1159"/>
      <c r="P137" s="273"/>
      <c r="Q137" s="273"/>
      <c r="R137" s="273"/>
      <c r="S137" s="273"/>
      <c r="T137" s="273"/>
      <c r="U137" s="273"/>
      <c r="V137" s="769"/>
      <c r="W137" s="273"/>
      <c r="X137" s="577"/>
      <c r="Y137" s="273"/>
      <c r="Z137" s="273"/>
      <c r="AA137" s="273"/>
      <c r="AB137" s="273"/>
      <c r="AC137" s="1216"/>
      <c r="AD137" s="524"/>
      <c r="AE137" s="273"/>
      <c r="AF137" s="524"/>
      <c r="AG137" s="364"/>
      <c r="AJ137" s="364"/>
      <c r="AK137" s="364"/>
      <c r="AL137" s="364"/>
      <c r="AM137" s="766"/>
      <c r="AN137" s="272"/>
      <c r="AO137" s="753"/>
      <c r="AP137" s="272"/>
      <c r="AQ137" s="272"/>
      <c r="AR137" s="272"/>
      <c r="AS137" s="272"/>
      <c r="AT137" s="272"/>
      <c r="AU137" s="272"/>
      <c r="AV137" s="272"/>
      <c r="AW137" s="272"/>
    </row>
    <row r="138" spans="1:49">
      <c r="A138" s="273"/>
      <c r="B138" s="361"/>
      <c r="C138" s="272"/>
      <c r="D138" s="273"/>
      <c r="E138" s="273"/>
      <c r="F138" s="273"/>
      <c r="G138" s="273"/>
      <c r="H138" s="273"/>
      <c r="I138" s="273"/>
      <c r="J138" s="273"/>
      <c r="K138" s="974"/>
      <c r="L138" s="273"/>
      <c r="M138" s="714"/>
      <c r="N138" s="273"/>
      <c r="O138" s="1159"/>
      <c r="P138" s="273"/>
      <c r="Q138" s="273"/>
      <c r="R138" s="273"/>
      <c r="S138" s="273"/>
      <c r="T138" s="273"/>
      <c r="U138" s="273"/>
      <c r="V138" s="769"/>
      <c r="W138" s="273"/>
      <c r="X138" s="577"/>
      <c r="Y138" s="273"/>
      <c r="Z138" s="273"/>
      <c r="AA138" s="273"/>
      <c r="AB138" s="273"/>
      <c r="AC138" s="1216"/>
      <c r="AD138" s="524"/>
      <c r="AE138" s="273"/>
      <c r="AF138" s="524"/>
      <c r="AG138" s="364"/>
      <c r="AJ138" s="364"/>
      <c r="AK138" s="364"/>
      <c r="AL138" s="364"/>
      <c r="AM138" s="766"/>
      <c r="AN138" s="272"/>
      <c r="AO138" s="753"/>
      <c r="AP138" s="272"/>
      <c r="AQ138" s="272"/>
      <c r="AR138" s="272"/>
      <c r="AS138" s="272"/>
      <c r="AT138" s="272"/>
      <c r="AU138" s="272"/>
      <c r="AV138" s="272"/>
      <c r="AW138" s="272"/>
    </row>
    <row r="139" spans="1:49">
      <c r="A139" s="273"/>
      <c r="B139" s="361"/>
      <c r="C139" s="272"/>
      <c r="D139" s="273"/>
      <c r="E139" s="273"/>
      <c r="F139" s="273"/>
      <c r="G139" s="273"/>
      <c r="H139" s="273"/>
      <c r="I139" s="273"/>
      <c r="J139" s="273"/>
      <c r="K139" s="974"/>
      <c r="L139" s="273"/>
      <c r="M139" s="714"/>
      <c r="N139" s="273"/>
      <c r="O139" s="1159"/>
      <c r="P139" s="273"/>
      <c r="Q139" s="273"/>
      <c r="R139" s="273"/>
      <c r="S139" s="273"/>
      <c r="T139" s="273"/>
      <c r="U139" s="273"/>
      <c r="V139" s="769"/>
      <c r="W139" s="273"/>
      <c r="X139" s="578"/>
      <c r="Z139" s="273"/>
      <c r="AA139" s="273"/>
      <c r="AB139" s="273"/>
      <c r="AC139" s="1216"/>
      <c r="AD139" s="524"/>
      <c r="AE139" s="273"/>
      <c r="AF139" s="524"/>
      <c r="AG139" s="364"/>
      <c r="AJ139" s="364"/>
      <c r="AK139" s="364"/>
      <c r="AL139" s="364"/>
      <c r="AM139" s="766"/>
      <c r="AN139" s="272"/>
      <c r="AO139" s="753"/>
      <c r="AP139" s="272"/>
      <c r="AQ139" s="272"/>
      <c r="AR139" s="272"/>
      <c r="AS139" s="272"/>
      <c r="AT139" s="272"/>
      <c r="AU139" s="272"/>
      <c r="AV139" s="272"/>
      <c r="AW139" s="272"/>
    </row>
    <row r="140" spans="1:49" s="340" customFormat="1">
      <c r="A140" s="273"/>
      <c r="B140" s="361"/>
      <c r="C140" s="272"/>
      <c r="D140" s="273"/>
      <c r="E140" s="273"/>
      <c r="F140" s="273"/>
      <c r="G140" s="273"/>
      <c r="H140" s="273"/>
      <c r="I140" s="273"/>
      <c r="J140" s="273"/>
      <c r="K140" s="974"/>
      <c r="L140" s="273"/>
      <c r="M140" s="714"/>
      <c r="N140" s="273"/>
      <c r="O140" s="1159"/>
      <c r="P140" s="273"/>
      <c r="Q140" s="273"/>
      <c r="R140" s="273"/>
      <c r="S140" s="273"/>
      <c r="T140" s="273"/>
      <c r="U140" s="273"/>
      <c r="V140" s="769"/>
      <c r="W140" s="273"/>
      <c r="X140" s="578"/>
      <c r="Y140" s="343"/>
      <c r="Z140" s="273"/>
      <c r="AA140" s="273"/>
      <c r="AB140" s="273"/>
      <c r="AC140" s="1216"/>
      <c r="AD140" s="524"/>
      <c r="AE140" s="273"/>
      <c r="AF140" s="524"/>
      <c r="AG140" s="364"/>
      <c r="AH140" s="1062"/>
      <c r="AI140" s="1052"/>
      <c r="AJ140" s="364"/>
      <c r="AK140" s="364"/>
      <c r="AL140" s="364"/>
      <c r="AM140" s="766"/>
      <c r="AN140" s="363"/>
      <c r="AO140" s="714"/>
      <c r="AP140" s="363"/>
      <c r="AQ140" s="363"/>
      <c r="AR140" s="363"/>
      <c r="AS140" s="363"/>
      <c r="AT140" s="363"/>
      <c r="AU140" s="363"/>
      <c r="AV140" s="363"/>
      <c r="AW140" s="363"/>
    </row>
    <row r="141" spans="1:49" s="340" customFormat="1">
      <c r="A141" s="273"/>
      <c r="B141" s="361"/>
      <c r="C141" s="272"/>
      <c r="D141" s="273"/>
      <c r="E141" s="273"/>
      <c r="F141" s="273"/>
      <c r="G141" s="273"/>
      <c r="H141" s="273"/>
      <c r="I141" s="273"/>
      <c r="J141" s="273"/>
      <c r="K141" s="974"/>
      <c r="L141" s="273"/>
      <c r="M141" s="714"/>
      <c r="N141" s="273"/>
      <c r="O141" s="1159"/>
      <c r="P141" s="273"/>
      <c r="Q141" s="273"/>
      <c r="R141" s="273"/>
      <c r="S141" s="273"/>
      <c r="T141" s="273"/>
      <c r="U141" s="273"/>
      <c r="V141" s="769"/>
      <c r="W141" s="273"/>
      <c r="X141" s="578"/>
      <c r="Y141" s="343"/>
      <c r="Z141" s="273"/>
      <c r="AA141" s="273"/>
      <c r="AB141" s="273"/>
      <c r="AC141" s="1216"/>
      <c r="AD141" s="524"/>
      <c r="AE141" s="273"/>
      <c r="AF141" s="524"/>
      <c r="AG141" s="364"/>
      <c r="AH141" s="1062"/>
      <c r="AI141" s="1052"/>
      <c r="AJ141" s="364"/>
      <c r="AK141" s="364"/>
      <c r="AL141" s="364"/>
      <c r="AM141" s="766"/>
      <c r="AN141" s="363"/>
      <c r="AO141" s="714"/>
      <c r="AP141" s="363"/>
      <c r="AQ141" s="363"/>
      <c r="AR141" s="363"/>
      <c r="AS141" s="363"/>
      <c r="AT141" s="363"/>
      <c r="AU141" s="363"/>
      <c r="AV141" s="363"/>
      <c r="AW141" s="363"/>
    </row>
    <row r="142" spans="1:49" s="340" customFormat="1">
      <c r="A142" s="273"/>
      <c r="B142" s="361"/>
      <c r="C142" s="272"/>
      <c r="D142" s="365"/>
      <c r="E142" s="272"/>
      <c r="F142" s="273"/>
      <c r="G142" s="273"/>
      <c r="H142" s="572"/>
      <c r="I142" s="572"/>
      <c r="J142" s="572"/>
      <c r="K142" s="973"/>
      <c r="L142" s="36"/>
      <c r="M142" s="713"/>
      <c r="N142" s="273"/>
      <c r="O142" s="1159"/>
      <c r="P142" s="363"/>
      <c r="Q142" s="363"/>
      <c r="R142" s="273"/>
      <c r="S142" s="273"/>
      <c r="T142" s="273"/>
      <c r="U142" s="273"/>
      <c r="V142" s="769"/>
      <c r="W142" s="273"/>
      <c r="X142" s="578"/>
      <c r="Y142" s="343"/>
      <c r="Z142" s="273"/>
      <c r="AA142" s="273"/>
      <c r="AB142" s="273"/>
      <c r="AC142" s="1216"/>
      <c r="AD142" s="524"/>
      <c r="AE142" s="273"/>
      <c r="AF142" s="524"/>
      <c r="AG142" s="364"/>
      <c r="AH142" s="1062"/>
      <c r="AI142" s="1052"/>
      <c r="AJ142" s="364"/>
      <c r="AK142" s="364"/>
      <c r="AL142" s="364"/>
      <c r="AM142" s="766"/>
      <c r="AN142" s="363"/>
      <c r="AO142" s="714"/>
      <c r="AP142" s="363"/>
      <c r="AQ142" s="363"/>
      <c r="AR142" s="363"/>
      <c r="AS142" s="363"/>
      <c r="AT142" s="363"/>
      <c r="AU142" s="363"/>
      <c r="AV142" s="363"/>
      <c r="AW142" s="363"/>
    </row>
    <row r="143" spans="1:49" s="340" customFormat="1">
      <c r="A143" s="273"/>
      <c r="B143" s="361"/>
      <c r="C143" s="272"/>
      <c r="D143" s="365"/>
      <c r="E143" s="272"/>
      <c r="F143" s="273"/>
      <c r="G143" s="273"/>
      <c r="H143" s="572"/>
      <c r="I143" s="572"/>
      <c r="J143" s="572"/>
      <c r="K143" s="973"/>
      <c r="L143" s="36"/>
      <c r="M143" s="713"/>
      <c r="N143" s="273"/>
      <c r="O143" s="1159"/>
      <c r="P143" s="363"/>
      <c r="Q143" s="363"/>
      <c r="R143" s="273"/>
      <c r="S143" s="273"/>
      <c r="T143" s="273"/>
      <c r="U143" s="273"/>
      <c r="V143" s="769"/>
      <c r="W143" s="273"/>
      <c r="X143" s="578"/>
      <c r="Y143" s="343"/>
      <c r="Z143" s="273"/>
      <c r="AA143" s="273"/>
      <c r="AB143" s="273"/>
      <c r="AC143" s="1216"/>
      <c r="AD143" s="524"/>
      <c r="AE143" s="273"/>
      <c r="AF143" s="524"/>
      <c r="AG143" s="364"/>
      <c r="AH143" s="1062"/>
      <c r="AI143" s="1052"/>
      <c r="AJ143" s="364"/>
      <c r="AK143" s="364"/>
      <c r="AL143" s="364"/>
      <c r="AM143" s="766"/>
      <c r="AN143" s="363"/>
      <c r="AO143" s="714"/>
      <c r="AP143" s="363"/>
      <c r="AQ143" s="363"/>
      <c r="AR143" s="363"/>
      <c r="AS143" s="363"/>
      <c r="AT143" s="363"/>
      <c r="AU143" s="363"/>
      <c r="AV143" s="363"/>
      <c r="AW143" s="363"/>
    </row>
    <row r="144" spans="1:49" s="340" customFormat="1">
      <c r="A144" s="273"/>
      <c r="B144" s="361"/>
      <c r="C144" s="272"/>
      <c r="D144" s="365"/>
      <c r="E144" s="272"/>
      <c r="F144" s="273"/>
      <c r="G144" s="273"/>
      <c r="H144" s="572"/>
      <c r="I144" s="572"/>
      <c r="J144" s="572"/>
      <c r="K144" s="973"/>
      <c r="L144" s="36"/>
      <c r="M144" s="713"/>
      <c r="N144" s="273"/>
      <c r="O144" s="1159"/>
      <c r="P144" s="363"/>
      <c r="Q144" s="363"/>
      <c r="R144" s="273"/>
      <c r="S144" s="273"/>
      <c r="T144" s="273"/>
      <c r="U144" s="273"/>
      <c r="V144" s="769"/>
      <c r="W144" s="273"/>
      <c r="X144" s="578"/>
      <c r="Y144" s="343"/>
      <c r="Z144" s="273"/>
      <c r="AA144" s="273"/>
      <c r="AB144" s="273"/>
      <c r="AC144" s="1216"/>
      <c r="AD144" s="524"/>
      <c r="AE144" s="273"/>
      <c r="AF144" s="524"/>
      <c r="AG144" s="364"/>
      <c r="AH144" s="1062"/>
      <c r="AI144" s="1052"/>
      <c r="AJ144" s="364"/>
      <c r="AK144" s="364"/>
      <c r="AL144" s="364"/>
      <c r="AM144" s="766"/>
      <c r="AN144" s="363"/>
      <c r="AO144" s="714"/>
      <c r="AP144" s="363"/>
      <c r="AQ144" s="363"/>
      <c r="AR144" s="363"/>
      <c r="AS144" s="363"/>
      <c r="AT144" s="363"/>
      <c r="AU144" s="363"/>
      <c r="AV144" s="363"/>
      <c r="AW144" s="363"/>
    </row>
    <row r="145" spans="1:41" s="340" customFormat="1">
      <c r="A145" s="273"/>
      <c r="B145" s="361"/>
      <c r="C145" s="272"/>
      <c r="D145" s="365"/>
      <c r="E145" s="272"/>
      <c r="F145" s="273"/>
      <c r="G145" s="273"/>
      <c r="H145" s="572"/>
      <c r="I145" s="572"/>
      <c r="J145" s="572"/>
      <c r="K145" s="973"/>
      <c r="L145" s="36"/>
      <c r="M145" s="713"/>
      <c r="N145" s="273"/>
      <c r="O145" s="1159"/>
      <c r="P145" s="363"/>
      <c r="Q145" s="363"/>
      <c r="R145" s="273"/>
      <c r="S145" s="273"/>
      <c r="T145" s="273"/>
      <c r="U145" s="273"/>
      <c r="V145" s="769"/>
      <c r="W145" s="273"/>
      <c r="X145" s="578"/>
      <c r="Y145" s="343"/>
      <c r="Z145" s="273"/>
      <c r="AA145" s="273"/>
      <c r="AB145" s="273"/>
      <c r="AC145" s="1216"/>
      <c r="AD145" s="524"/>
      <c r="AE145" s="273"/>
      <c r="AF145" s="524"/>
      <c r="AG145" s="364"/>
      <c r="AH145" s="1062"/>
      <c r="AI145" s="1052"/>
      <c r="AJ145" s="364"/>
      <c r="AK145" s="364"/>
      <c r="AL145" s="364"/>
      <c r="AM145" s="766"/>
      <c r="AN145" s="363"/>
      <c r="AO145" s="714"/>
    </row>
    <row r="146" spans="1:41" s="340" customFormat="1">
      <c r="A146" s="273"/>
      <c r="B146" s="361"/>
      <c r="C146" s="272"/>
      <c r="D146" s="365"/>
      <c r="E146" s="272"/>
      <c r="F146" s="273"/>
      <c r="G146" s="273"/>
      <c r="H146" s="572"/>
      <c r="I146" s="572"/>
      <c r="J146" s="572"/>
      <c r="K146" s="973"/>
      <c r="L146" s="36"/>
      <c r="M146" s="713"/>
      <c r="N146" s="273"/>
      <c r="O146" s="1159"/>
      <c r="P146" s="363"/>
      <c r="Q146" s="363"/>
      <c r="R146" s="273"/>
      <c r="S146" s="273"/>
      <c r="T146" s="273"/>
      <c r="U146" s="273"/>
      <c r="V146" s="769"/>
      <c r="W146" s="273"/>
      <c r="X146" s="578"/>
      <c r="Y146" s="343"/>
      <c r="Z146" s="273"/>
      <c r="AA146" s="273"/>
      <c r="AB146" s="273"/>
      <c r="AC146" s="1216"/>
      <c r="AD146" s="524"/>
      <c r="AE146" s="273"/>
      <c r="AF146" s="524"/>
      <c r="AG146" s="364"/>
      <c r="AH146" s="1062"/>
      <c r="AI146" s="1052"/>
      <c r="AJ146" s="364"/>
      <c r="AK146" s="364"/>
      <c r="AL146" s="364"/>
      <c r="AM146" s="766"/>
      <c r="AN146" s="363"/>
      <c r="AO146" s="714"/>
    </row>
    <row r="147" spans="1:41" s="340" customFormat="1">
      <c r="A147" s="273"/>
      <c r="B147" s="361"/>
      <c r="C147" s="272"/>
      <c r="D147" s="365"/>
      <c r="E147" s="272"/>
      <c r="F147" s="273"/>
      <c r="G147" s="273"/>
      <c r="H147" s="572"/>
      <c r="I147" s="572"/>
      <c r="J147" s="572"/>
      <c r="K147" s="973"/>
      <c r="L147" s="36"/>
      <c r="M147" s="713"/>
      <c r="N147" s="273"/>
      <c r="O147" s="1159"/>
      <c r="P147" s="363"/>
      <c r="Q147" s="363"/>
      <c r="R147" s="273"/>
      <c r="S147" s="273"/>
      <c r="T147" s="273"/>
      <c r="U147" s="273"/>
      <c r="V147" s="769"/>
      <c r="W147" s="273"/>
      <c r="X147" s="578"/>
      <c r="Y147" s="343"/>
      <c r="Z147" s="273"/>
      <c r="AA147" s="273"/>
      <c r="AB147" s="273"/>
      <c r="AC147" s="1216"/>
      <c r="AD147" s="524"/>
      <c r="AE147" s="273"/>
      <c r="AF147" s="524"/>
      <c r="AG147" s="364"/>
      <c r="AH147" s="1062"/>
      <c r="AI147" s="1052"/>
      <c r="AJ147" s="364"/>
      <c r="AK147" s="364"/>
      <c r="AL147" s="364"/>
      <c r="AM147" s="766"/>
      <c r="AN147" s="363"/>
      <c r="AO147" s="714"/>
    </row>
    <row r="148" spans="1:41" s="340" customFormat="1">
      <c r="A148" s="273"/>
      <c r="B148" s="361"/>
      <c r="C148" s="272"/>
      <c r="D148" s="365"/>
      <c r="E148" s="272"/>
      <c r="F148" s="273"/>
      <c r="G148" s="273"/>
      <c r="H148" s="572"/>
      <c r="I148" s="572"/>
      <c r="J148" s="572"/>
      <c r="K148" s="973"/>
      <c r="L148" s="36"/>
      <c r="M148" s="713"/>
      <c r="N148" s="273"/>
      <c r="O148" s="1159"/>
      <c r="P148" s="363"/>
      <c r="Q148" s="363"/>
      <c r="R148" s="273"/>
      <c r="S148" s="273"/>
      <c r="T148" s="273"/>
      <c r="U148" s="273"/>
      <c r="V148" s="769"/>
      <c r="W148" s="273"/>
      <c r="X148" s="578"/>
      <c r="Y148" s="343"/>
      <c r="Z148" s="273"/>
      <c r="AA148" s="273"/>
      <c r="AB148" s="273"/>
      <c r="AC148" s="1216"/>
      <c r="AD148" s="524"/>
      <c r="AE148" s="273"/>
      <c r="AF148" s="524"/>
      <c r="AG148" s="364"/>
      <c r="AH148" s="1062"/>
      <c r="AI148" s="1052"/>
      <c r="AJ148" s="364"/>
      <c r="AK148" s="364"/>
      <c r="AL148" s="364"/>
      <c r="AM148" s="766"/>
      <c r="AN148" s="363"/>
      <c r="AO148" s="714"/>
    </row>
    <row r="149" spans="1:41" s="340" customFormat="1">
      <c r="A149" s="273"/>
      <c r="B149" s="361"/>
      <c r="C149" s="272"/>
      <c r="D149" s="365"/>
      <c r="E149" s="272"/>
      <c r="F149" s="273"/>
      <c r="G149" s="273"/>
      <c r="H149" s="572"/>
      <c r="I149" s="572"/>
      <c r="J149" s="572"/>
      <c r="K149" s="973"/>
      <c r="L149" s="36"/>
      <c r="M149" s="713"/>
      <c r="N149" s="273"/>
      <c r="O149" s="1159"/>
      <c r="P149" s="363"/>
      <c r="Q149" s="363"/>
      <c r="R149" s="273"/>
      <c r="S149" s="273"/>
      <c r="T149" s="273"/>
      <c r="U149" s="273"/>
      <c r="V149" s="769"/>
      <c r="W149" s="273"/>
      <c r="X149" s="578"/>
      <c r="Y149" s="343"/>
      <c r="Z149" s="273"/>
      <c r="AA149" s="273"/>
      <c r="AB149" s="273"/>
      <c r="AC149" s="1216"/>
      <c r="AD149" s="524"/>
      <c r="AE149" s="273"/>
      <c r="AF149" s="524"/>
      <c r="AG149" s="364"/>
      <c r="AH149" s="1062"/>
      <c r="AI149" s="1052"/>
      <c r="AJ149" s="364"/>
      <c r="AK149" s="364"/>
      <c r="AL149" s="364"/>
      <c r="AM149" s="766"/>
      <c r="AN149" s="363"/>
      <c r="AO149" s="714"/>
    </row>
    <row r="150" spans="1:41" s="340" customFormat="1">
      <c r="A150" s="273"/>
      <c r="B150" s="361"/>
      <c r="C150" s="272"/>
      <c r="D150" s="365"/>
      <c r="E150" s="272"/>
      <c r="F150" s="273"/>
      <c r="G150" s="273"/>
      <c r="H150" s="572"/>
      <c r="I150" s="572"/>
      <c r="J150" s="572"/>
      <c r="K150" s="973"/>
      <c r="L150" s="36"/>
      <c r="M150" s="713"/>
      <c r="N150" s="273"/>
      <c r="O150" s="1159"/>
      <c r="P150" s="363"/>
      <c r="Q150" s="363"/>
      <c r="R150" s="273"/>
      <c r="S150" s="273"/>
      <c r="T150" s="273"/>
      <c r="U150" s="273"/>
      <c r="V150" s="769"/>
      <c r="W150" s="273"/>
      <c r="X150" s="578"/>
      <c r="Y150" s="343"/>
      <c r="Z150" s="273"/>
      <c r="AA150" s="273"/>
      <c r="AB150" s="273"/>
      <c r="AC150" s="1216"/>
      <c r="AD150" s="524"/>
      <c r="AE150" s="273"/>
      <c r="AF150" s="524"/>
      <c r="AG150" s="364"/>
      <c r="AH150" s="1062"/>
      <c r="AI150" s="1052"/>
      <c r="AJ150" s="364"/>
      <c r="AK150" s="364"/>
      <c r="AL150" s="364"/>
      <c r="AM150" s="766"/>
      <c r="AN150" s="363"/>
      <c r="AO150" s="714"/>
    </row>
    <row r="151" spans="1:41" s="340" customFormat="1">
      <c r="A151" s="273"/>
      <c r="B151" s="361"/>
      <c r="C151" s="272"/>
      <c r="D151" s="365"/>
      <c r="E151" s="272"/>
      <c r="F151" s="273"/>
      <c r="G151" s="273"/>
      <c r="H151" s="572"/>
      <c r="I151" s="572"/>
      <c r="J151" s="572"/>
      <c r="K151" s="973"/>
      <c r="L151" s="36"/>
      <c r="M151" s="713"/>
      <c r="N151" s="273"/>
      <c r="O151" s="1159"/>
      <c r="P151" s="363"/>
      <c r="Q151" s="363"/>
      <c r="R151" s="273"/>
      <c r="S151" s="273"/>
      <c r="T151" s="273"/>
      <c r="U151" s="273"/>
      <c r="V151" s="769"/>
      <c r="W151" s="273"/>
      <c r="X151" s="578"/>
      <c r="Y151" s="343"/>
      <c r="Z151" s="273"/>
      <c r="AA151" s="273"/>
      <c r="AB151" s="273"/>
      <c r="AC151" s="1216"/>
      <c r="AD151" s="524"/>
      <c r="AE151" s="273"/>
      <c r="AF151" s="524"/>
      <c r="AG151" s="364"/>
      <c r="AH151" s="1062"/>
      <c r="AI151" s="1052"/>
      <c r="AJ151" s="364"/>
      <c r="AK151" s="364"/>
      <c r="AL151" s="364"/>
      <c r="AM151" s="766"/>
      <c r="AN151" s="363"/>
      <c r="AO151" s="714"/>
    </row>
    <row r="152" spans="1:41" s="340" customFormat="1">
      <c r="A152" s="273"/>
      <c r="B152" s="361"/>
      <c r="C152" s="272"/>
      <c r="D152" s="365"/>
      <c r="E152" s="272"/>
      <c r="F152" s="273"/>
      <c r="G152" s="273"/>
      <c r="H152" s="572"/>
      <c r="I152" s="572"/>
      <c r="J152" s="572"/>
      <c r="K152" s="973"/>
      <c r="L152" s="36"/>
      <c r="M152" s="713"/>
      <c r="N152" s="273"/>
      <c r="O152" s="1159"/>
      <c r="P152" s="363"/>
      <c r="Q152" s="363"/>
      <c r="R152" s="273"/>
      <c r="S152" s="273"/>
      <c r="T152" s="273"/>
      <c r="U152" s="273"/>
      <c r="V152" s="769"/>
      <c r="W152" s="273"/>
      <c r="X152" s="578"/>
      <c r="Y152" s="343"/>
      <c r="Z152" s="273"/>
      <c r="AA152" s="273"/>
      <c r="AB152" s="273"/>
      <c r="AC152" s="1216"/>
      <c r="AD152" s="524"/>
      <c r="AE152" s="273"/>
      <c r="AF152" s="524"/>
      <c r="AG152" s="364"/>
      <c r="AH152" s="1062"/>
      <c r="AI152" s="1052"/>
      <c r="AJ152" s="364"/>
      <c r="AK152" s="364"/>
      <c r="AL152" s="364"/>
      <c r="AM152" s="766"/>
      <c r="AN152" s="363"/>
      <c r="AO152" s="714"/>
    </row>
    <row r="153" spans="1:41" s="340" customFormat="1">
      <c r="A153" s="273"/>
      <c r="B153" s="361"/>
      <c r="C153" s="272"/>
      <c r="D153" s="365"/>
      <c r="E153" s="272"/>
      <c r="F153" s="273"/>
      <c r="G153" s="273"/>
      <c r="H153" s="572"/>
      <c r="I153" s="572"/>
      <c r="J153" s="572"/>
      <c r="K153" s="973"/>
      <c r="L153" s="36"/>
      <c r="M153" s="713"/>
      <c r="N153" s="273"/>
      <c r="O153" s="1159"/>
      <c r="P153" s="363"/>
      <c r="Q153" s="363"/>
      <c r="R153" s="273"/>
      <c r="S153" s="273"/>
      <c r="T153" s="273"/>
      <c r="U153" s="273"/>
      <c r="V153" s="769"/>
      <c r="W153" s="273"/>
      <c r="X153" s="578"/>
      <c r="Y153" s="343"/>
      <c r="Z153" s="273"/>
      <c r="AA153" s="273"/>
      <c r="AB153" s="273"/>
      <c r="AC153" s="1216"/>
      <c r="AD153" s="524"/>
      <c r="AE153" s="273"/>
      <c r="AF153" s="524"/>
      <c r="AG153" s="364"/>
      <c r="AH153" s="1062"/>
      <c r="AI153" s="1052"/>
      <c r="AJ153" s="364"/>
      <c r="AK153" s="364"/>
      <c r="AL153" s="364"/>
      <c r="AM153" s="766"/>
      <c r="AN153" s="363"/>
      <c r="AO153" s="714"/>
    </row>
    <row r="154" spans="1:41" s="340" customFormat="1">
      <c r="A154" s="273"/>
      <c r="B154" s="361"/>
      <c r="C154" s="272"/>
      <c r="D154" s="365"/>
      <c r="E154" s="272"/>
      <c r="F154" s="273"/>
      <c r="G154" s="273"/>
      <c r="H154" s="572"/>
      <c r="I154" s="572"/>
      <c r="J154" s="572"/>
      <c r="K154" s="973"/>
      <c r="L154" s="36"/>
      <c r="M154" s="713"/>
      <c r="N154" s="273"/>
      <c r="O154" s="1159"/>
      <c r="P154" s="363"/>
      <c r="Q154" s="363"/>
      <c r="R154" s="273"/>
      <c r="S154" s="273"/>
      <c r="T154" s="273"/>
      <c r="U154" s="273"/>
      <c r="V154" s="769"/>
      <c r="W154" s="273"/>
      <c r="X154" s="578"/>
      <c r="Y154" s="343"/>
      <c r="Z154" s="273"/>
      <c r="AA154" s="273"/>
      <c r="AB154" s="273"/>
      <c r="AC154" s="1216"/>
      <c r="AD154" s="524"/>
      <c r="AE154" s="273"/>
      <c r="AF154" s="524"/>
      <c r="AG154" s="364"/>
      <c r="AH154" s="1062"/>
      <c r="AI154" s="1052"/>
      <c r="AJ154" s="364"/>
      <c r="AK154" s="364"/>
      <c r="AL154" s="364"/>
      <c r="AM154" s="766"/>
      <c r="AN154" s="363"/>
      <c r="AO154" s="714"/>
    </row>
    <row r="155" spans="1:41" s="340" customFormat="1">
      <c r="A155" s="273"/>
      <c r="B155" s="361"/>
      <c r="C155" s="272"/>
      <c r="D155" s="365"/>
      <c r="E155" s="272"/>
      <c r="F155" s="273"/>
      <c r="G155" s="273"/>
      <c r="H155" s="572"/>
      <c r="I155" s="572"/>
      <c r="J155" s="572"/>
      <c r="K155" s="973"/>
      <c r="L155" s="36"/>
      <c r="M155" s="713"/>
      <c r="N155" s="273"/>
      <c r="O155" s="1159"/>
      <c r="P155" s="363"/>
      <c r="Q155" s="363"/>
      <c r="R155" s="273"/>
      <c r="S155" s="273"/>
      <c r="T155" s="273"/>
      <c r="U155" s="273"/>
      <c r="V155" s="769"/>
      <c r="W155" s="273"/>
      <c r="X155" s="578"/>
      <c r="Y155" s="343"/>
      <c r="Z155" s="273"/>
      <c r="AA155" s="273"/>
      <c r="AB155" s="273"/>
      <c r="AC155" s="1216"/>
      <c r="AD155" s="524"/>
      <c r="AE155" s="273"/>
      <c r="AF155" s="524"/>
      <c r="AG155" s="364"/>
      <c r="AH155" s="1062"/>
      <c r="AI155" s="1052"/>
      <c r="AJ155" s="364"/>
      <c r="AK155" s="364"/>
      <c r="AL155" s="364"/>
      <c r="AM155" s="766"/>
      <c r="AN155" s="363"/>
      <c r="AO155" s="714"/>
    </row>
    <row r="156" spans="1:41" s="340" customFormat="1">
      <c r="A156" s="273"/>
      <c r="B156" s="361"/>
      <c r="C156" s="272"/>
      <c r="D156" s="365"/>
      <c r="E156" s="272"/>
      <c r="F156" s="273"/>
      <c r="G156" s="273"/>
      <c r="H156" s="572"/>
      <c r="I156" s="572"/>
      <c r="J156" s="572"/>
      <c r="K156" s="973"/>
      <c r="L156" s="36"/>
      <c r="M156" s="713"/>
      <c r="N156" s="273"/>
      <c r="O156" s="1159"/>
      <c r="P156" s="363"/>
      <c r="Q156" s="363"/>
      <c r="R156" s="273"/>
      <c r="S156" s="273"/>
      <c r="T156" s="273"/>
      <c r="U156" s="273"/>
      <c r="V156" s="769"/>
      <c r="W156" s="273"/>
      <c r="X156" s="578"/>
      <c r="Y156" s="343"/>
      <c r="Z156" s="273"/>
      <c r="AA156" s="273"/>
      <c r="AB156" s="273"/>
      <c r="AC156" s="1216"/>
      <c r="AD156" s="524"/>
      <c r="AE156" s="273"/>
      <c r="AF156" s="524"/>
      <c r="AG156" s="364"/>
      <c r="AH156" s="1062"/>
      <c r="AI156" s="1052"/>
      <c r="AJ156" s="364"/>
      <c r="AK156" s="364"/>
      <c r="AL156" s="364"/>
      <c r="AM156" s="766"/>
      <c r="AN156" s="363"/>
      <c r="AO156" s="714"/>
    </row>
    <row r="157" spans="1:41" s="340" customFormat="1">
      <c r="A157" s="273"/>
      <c r="B157" s="366"/>
      <c r="C157" s="272"/>
      <c r="D157" s="365"/>
      <c r="E157" s="272"/>
      <c r="F157" s="273"/>
      <c r="G157" s="273"/>
      <c r="H157" s="572"/>
      <c r="I157" s="572"/>
      <c r="J157" s="572"/>
      <c r="K157" s="973"/>
      <c r="L157" s="36"/>
      <c r="M157" s="713"/>
      <c r="N157" s="273"/>
      <c r="O157" s="1159"/>
      <c r="P157" s="363"/>
      <c r="Q157" s="363"/>
      <c r="R157" s="273"/>
      <c r="S157" s="273"/>
      <c r="T157" s="273"/>
      <c r="U157" s="273"/>
      <c r="V157" s="769"/>
      <c r="W157" s="273"/>
      <c r="X157" s="578"/>
      <c r="Y157" s="343"/>
      <c r="Z157" s="273"/>
      <c r="AA157" s="273"/>
      <c r="AB157" s="273"/>
      <c r="AC157" s="1216"/>
      <c r="AD157" s="524"/>
      <c r="AE157" s="273"/>
      <c r="AF157" s="524"/>
      <c r="AG157" s="364"/>
      <c r="AH157" s="1062"/>
      <c r="AI157" s="1052"/>
      <c r="AJ157" s="364"/>
      <c r="AK157" s="364"/>
      <c r="AL157" s="364"/>
      <c r="AM157" s="766"/>
      <c r="AN157" s="363"/>
      <c r="AO157" s="714"/>
    </row>
    <row r="158" spans="1:41" s="340" customFormat="1">
      <c r="A158" s="273"/>
      <c r="B158" s="366"/>
      <c r="C158" s="272"/>
      <c r="D158" s="365"/>
      <c r="E158" s="272"/>
      <c r="F158" s="273"/>
      <c r="G158" s="273"/>
      <c r="H158" s="572"/>
      <c r="I158" s="572"/>
      <c r="J158" s="572"/>
      <c r="K158" s="973"/>
      <c r="L158" s="36"/>
      <c r="M158" s="713"/>
      <c r="N158" s="273"/>
      <c r="O158" s="1159"/>
      <c r="P158" s="363"/>
      <c r="Q158" s="363"/>
      <c r="R158" s="273"/>
      <c r="S158" s="273"/>
      <c r="T158" s="273"/>
      <c r="U158" s="273"/>
      <c r="V158" s="769"/>
      <c r="W158" s="273"/>
      <c r="X158" s="578"/>
      <c r="Y158" s="343"/>
      <c r="Z158" s="273"/>
      <c r="AA158" s="273"/>
      <c r="AB158" s="273"/>
      <c r="AC158" s="1216"/>
      <c r="AD158" s="524"/>
      <c r="AE158" s="273"/>
      <c r="AF158" s="524"/>
      <c r="AG158" s="364"/>
      <c r="AH158" s="1062"/>
      <c r="AI158" s="1052"/>
      <c r="AJ158" s="364"/>
      <c r="AK158" s="364"/>
      <c r="AL158" s="364"/>
      <c r="AM158" s="766"/>
      <c r="AN158" s="363"/>
      <c r="AO158" s="714"/>
    </row>
    <row r="159" spans="1:41" s="340" customFormat="1">
      <c r="A159" s="273"/>
      <c r="B159" s="366"/>
      <c r="C159" s="272"/>
      <c r="D159" s="365"/>
      <c r="E159" s="272"/>
      <c r="F159" s="273"/>
      <c r="G159" s="273"/>
      <c r="H159" s="572"/>
      <c r="I159" s="572"/>
      <c r="J159" s="572"/>
      <c r="K159" s="973"/>
      <c r="L159" s="36"/>
      <c r="M159" s="713"/>
      <c r="N159" s="273"/>
      <c r="O159" s="1159"/>
      <c r="P159" s="363"/>
      <c r="Q159" s="363"/>
      <c r="R159" s="273"/>
      <c r="S159" s="273"/>
      <c r="T159" s="273"/>
      <c r="U159" s="273"/>
      <c r="V159" s="769"/>
      <c r="W159" s="273"/>
      <c r="X159" s="578"/>
      <c r="Y159" s="343"/>
      <c r="Z159" s="273"/>
      <c r="AA159" s="273"/>
      <c r="AB159" s="273"/>
      <c r="AC159" s="1216"/>
      <c r="AD159" s="524"/>
      <c r="AE159" s="273"/>
      <c r="AF159" s="524"/>
      <c r="AG159" s="364"/>
      <c r="AH159" s="1062"/>
      <c r="AI159" s="1052"/>
      <c r="AJ159" s="364"/>
      <c r="AK159" s="364"/>
      <c r="AL159" s="364"/>
      <c r="AM159" s="766"/>
      <c r="AN159" s="363"/>
      <c r="AO159" s="714"/>
    </row>
    <row r="160" spans="1:41" s="340" customFormat="1">
      <c r="A160" s="273"/>
      <c r="B160" s="366"/>
      <c r="C160" s="272"/>
      <c r="D160" s="365"/>
      <c r="E160" s="272"/>
      <c r="F160" s="273"/>
      <c r="G160" s="273"/>
      <c r="H160" s="273"/>
      <c r="I160" s="273"/>
      <c r="J160" s="273"/>
      <c r="K160" s="973"/>
      <c r="L160" s="36"/>
      <c r="M160" s="713"/>
      <c r="N160" s="273"/>
      <c r="O160" s="1159"/>
      <c r="P160" s="363"/>
      <c r="Q160" s="363"/>
      <c r="R160" s="273"/>
      <c r="S160" s="273"/>
      <c r="T160" s="273"/>
      <c r="U160" s="273"/>
      <c r="V160" s="769"/>
      <c r="W160" s="273"/>
      <c r="X160" s="578"/>
      <c r="Y160" s="343"/>
      <c r="Z160" s="273"/>
      <c r="AA160" s="273"/>
      <c r="AB160" s="273"/>
      <c r="AC160" s="1216"/>
      <c r="AD160" s="524"/>
      <c r="AE160" s="273"/>
      <c r="AF160" s="524"/>
      <c r="AG160" s="364"/>
      <c r="AH160" s="1062"/>
      <c r="AI160" s="1052"/>
      <c r="AJ160" s="364"/>
      <c r="AK160" s="364"/>
      <c r="AL160" s="364"/>
      <c r="AM160" s="766"/>
      <c r="AN160" s="363"/>
      <c r="AO160" s="714"/>
    </row>
    <row r="161" spans="1:41" s="340" customFormat="1">
      <c r="A161" s="273"/>
      <c r="B161" s="366"/>
      <c r="C161" s="272"/>
      <c r="D161" s="365"/>
      <c r="E161" s="272"/>
      <c r="F161" s="273"/>
      <c r="G161" s="273"/>
      <c r="H161" s="273"/>
      <c r="I161" s="273"/>
      <c r="J161" s="273"/>
      <c r="K161" s="973"/>
      <c r="L161" s="36"/>
      <c r="M161" s="713"/>
      <c r="N161" s="273"/>
      <c r="O161" s="1159"/>
      <c r="P161" s="363"/>
      <c r="Q161" s="363"/>
      <c r="R161" s="273"/>
      <c r="S161" s="273"/>
      <c r="T161" s="273"/>
      <c r="U161" s="273"/>
      <c r="V161" s="769"/>
      <c r="W161" s="273"/>
      <c r="X161" s="578"/>
      <c r="Y161" s="343"/>
      <c r="Z161" s="273"/>
      <c r="AA161" s="273"/>
      <c r="AB161" s="273"/>
      <c r="AC161" s="1216"/>
      <c r="AD161" s="524"/>
      <c r="AE161" s="273"/>
      <c r="AF161" s="524"/>
      <c r="AG161" s="364"/>
      <c r="AH161" s="1062"/>
      <c r="AI161" s="1052"/>
      <c r="AJ161" s="364"/>
      <c r="AK161" s="364"/>
      <c r="AL161" s="364"/>
      <c r="AM161" s="766"/>
      <c r="AN161" s="363"/>
      <c r="AO161" s="714"/>
    </row>
    <row r="162" spans="1:41" s="340" customFormat="1">
      <c r="A162" s="273"/>
      <c r="B162" s="366"/>
      <c r="C162" s="272"/>
      <c r="D162" s="365"/>
      <c r="E162" s="272"/>
      <c r="F162" s="273"/>
      <c r="G162" s="273"/>
      <c r="H162" s="273"/>
      <c r="I162" s="273"/>
      <c r="J162" s="273"/>
      <c r="K162" s="973"/>
      <c r="L162" s="36"/>
      <c r="M162" s="713"/>
      <c r="N162" s="273"/>
      <c r="O162" s="1159"/>
      <c r="P162" s="363"/>
      <c r="Q162" s="363"/>
      <c r="R162" s="273"/>
      <c r="S162" s="273"/>
      <c r="T162" s="273"/>
      <c r="U162" s="273"/>
      <c r="V162" s="769"/>
      <c r="W162" s="273"/>
      <c r="X162" s="578"/>
      <c r="Y162" s="343"/>
      <c r="Z162" s="273"/>
      <c r="AA162" s="273"/>
      <c r="AB162" s="273"/>
      <c r="AC162" s="1216"/>
      <c r="AD162" s="524"/>
      <c r="AE162" s="273"/>
      <c r="AF162" s="524"/>
      <c r="AG162" s="364"/>
      <c r="AH162" s="1062"/>
      <c r="AI162" s="1052"/>
      <c r="AJ162" s="364"/>
      <c r="AK162" s="364"/>
      <c r="AL162" s="364"/>
      <c r="AM162" s="766"/>
      <c r="AN162" s="363"/>
      <c r="AO162" s="714"/>
    </row>
    <row r="163" spans="1:41" s="340" customFormat="1">
      <c r="A163" s="273"/>
      <c r="B163" s="366"/>
      <c r="C163" s="272"/>
      <c r="D163" s="365"/>
      <c r="E163" s="272"/>
      <c r="F163" s="273"/>
      <c r="G163" s="273"/>
      <c r="H163" s="273"/>
      <c r="I163" s="273"/>
      <c r="J163" s="273"/>
      <c r="K163" s="973"/>
      <c r="L163" s="36"/>
      <c r="M163" s="713"/>
      <c r="N163" s="273"/>
      <c r="O163" s="1159"/>
      <c r="P163" s="363"/>
      <c r="Q163" s="363"/>
      <c r="R163" s="273"/>
      <c r="S163" s="273"/>
      <c r="T163" s="273"/>
      <c r="U163" s="273"/>
      <c r="V163" s="769"/>
      <c r="W163" s="273"/>
      <c r="X163" s="578"/>
      <c r="Y163" s="343"/>
      <c r="Z163" s="273"/>
      <c r="AA163" s="273"/>
      <c r="AB163" s="273"/>
      <c r="AC163" s="1216"/>
      <c r="AD163" s="524"/>
      <c r="AE163" s="273"/>
      <c r="AF163" s="524"/>
      <c r="AG163" s="364"/>
      <c r="AH163" s="1062"/>
      <c r="AI163" s="1052"/>
      <c r="AJ163" s="364"/>
      <c r="AK163" s="364"/>
      <c r="AL163" s="364"/>
      <c r="AM163" s="766"/>
      <c r="AN163" s="363"/>
      <c r="AO163" s="714"/>
    </row>
    <row r="164" spans="1:41" s="340" customFormat="1">
      <c r="A164" s="273"/>
      <c r="B164" s="366"/>
      <c r="C164" s="272"/>
      <c r="D164" s="365"/>
      <c r="E164" s="272"/>
      <c r="F164" s="273"/>
      <c r="G164" s="273"/>
      <c r="H164" s="273"/>
      <c r="I164" s="273"/>
      <c r="J164" s="273"/>
      <c r="K164" s="973"/>
      <c r="L164" s="36"/>
      <c r="M164" s="713"/>
      <c r="N164" s="273"/>
      <c r="O164" s="1159"/>
      <c r="P164" s="363"/>
      <c r="Q164" s="363"/>
      <c r="R164" s="273"/>
      <c r="S164" s="273"/>
      <c r="T164" s="273"/>
      <c r="U164" s="273"/>
      <c r="V164" s="769"/>
      <c r="W164" s="273"/>
      <c r="X164" s="578"/>
      <c r="Y164" s="343"/>
      <c r="Z164" s="273"/>
      <c r="AA164" s="273"/>
      <c r="AB164" s="273"/>
      <c r="AC164" s="1216"/>
      <c r="AD164" s="524"/>
      <c r="AE164" s="273"/>
      <c r="AF164" s="524"/>
      <c r="AG164" s="364"/>
      <c r="AH164" s="1062"/>
      <c r="AI164" s="1052"/>
      <c r="AJ164" s="364"/>
      <c r="AK164" s="364"/>
      <c r="AL164" s="364"/>
      <c r="AM164" s="766"/>
      <c r="AN164" s="363"/>
      <c r="AO164" s="714"/>
    </row>
    <row r="165" spans="1:41" s="340" customFormat="1">
      <c r="A165" s="273"/>
      <c r="B165" s="366"/>
      <c r="C165" s="272"/>
      <c r="D165" s="365"/>
      <c r="E165" s="272"/>
      <c r="F165" s="273"/>
      <c r="G165" s="273"/>
      <c r="H165" s="273"/>
      <c r="I165" s="273"/>
      <c r="J165" s="273"/>
      <c r="K165" s="973"/>
      <c r="L165" s="36"/>
      <c r="M165" s="713"/>
      <c r="N165" s="273"/>
      <c r="O165" s="1159"/>
      <c r="P165" s="363"/>
      <c r="Q165" s="363"/>
      <c r="R165" s="273"/>
      <c r="S165" s="273"/>
      <c r="T165" s="273"/>
      <c r="U165" s="273"/>
      <c r="V165" s="769"/>
      <c r="W165" s="273"/>
      <c r="X165" s="578"/>
      <c r="Y165" s="343"/>
      <c r="Z165" s="273"/>
      <c r="AA165" s="273"/>
      <c r="AB165" s="273"/>
      <c r="AC165" s="1216"/>
      <c r="AD165" s="524"/>
      <c r="AE165" s="273"/>
      <c r="AF165" s="524"/>
      <c r="AG165" s="364"/>
      <c r="AH165" s="1062"/>
      <c r="AI165" s="1052"/>
      <c r="AJ165" s="364"/>
      <c r="AK165" s="364"/>
      <c r="AL165" s="364"/>
      <c r="AM165" s="766"/>
      <c r="AN165" s="363"/>
      <c r="AO165" s="714"/>
    </row>
    <row r="166" spans="1:41" s="340" customFormat="1">
      <c r="A166" s="273"/>
      <c r="B166" s="366"/>
      <c r="C166" s="272"/>
      <c r="D166" s="365"/>
      <c r="E166" s="272"/>
      <c r="F166" s="273"/>
      <c r="G166" s="273"/>
      <c r="H166" s="273"/>
      <c r="I166" s="273"/>
      <c r="J166" s="273"/>
      <c r="K166" s="973"/>
      <c r="L166" s="36"/>
      <c r="M166" s="713"/>
      <c r="N166" s="273"/>
      <c r="O166" s="1159"/>
      <c r="P166" s="363"/>
      <c r="Q166" s="363"/>
      <c r="R166" s="273"/>
      <c r="S166" s="273"/>
      <c r="T166" s="273"/>
      <c r="U166" s="273"/>
      <c r="V166" s="769"/>
      <c r="W166" s="273"/>
      <c r="X166" s="578"/>
      <c r="Y166" s="343"/>
      <c r="Z166" s="273"/>
      <c r="AA166" s="273"/>
      <c r="AB166" s="273"/>
      <c r="AC166" s="1216"/>
      <c r="AD166" s="524"/>
      <c r="AE166" s="273"/>
      <c r="AF166" s="524"/>
      <c r="AG166" s="364"/>
      <c r="AH166" s="1062"/>
      <c r="AI166" s="1052"/>
      <c r="AJ166" s="364"/>
      <c r="AK166" s="364"/>
      <c r="AL166" s="364"/>
      <c r="AM166" s="766"/>
      <c r="AN166" s="363"/>
      <c r="AO166" s="714"/>
    </row>
    <row r="167" spans="1:41" s="340" customFormat="1">
      <c r="A167" s="273"/>
      <c r="B167" s="366"/>
      <c r="C167" s="272"/>
      <c r="D167" s="365"/>
      <c r="E167" s="272"/>
      <c r="F167" s="273"/>
      <c r="G167" s="273"/>
      <c r="H167" s="273"/>
      <c r="I167" s="273"/>
      <c r="J167" s="273"/>
      <c r="K167" s="973"/>
      <c r="L167" s="36"/>
      <c r="M167" s="713"/>
      <c r="N167" s="273"/>
      <c r="O167" s="1159"/>
      <c r="P167" s="363"/>
      <c r="Q167" s="363"/>
      <c r="R167" s="273"/>
      <c r="S167" s="273"/>
      <c r="T167" s="273"/>
      <c r="U167" s="273"/>
      <c r="V167" s="769"/>
      <c r="W167" s="273"/>
      <c r="X167" s="578"/>
      <c r="Y167" s="343"/>
      <c r="Z167" s="273"/>
      <c r="AA167" s="273"/>
      <c r="AB167" s="273"/>
      <c r="AC167" s="1216"/>
      <c r="AD167" s="524"/>
      <c r="AE167" s="273"/>
      <c r="AF167" s="524"/>
      <c r="AG167" s="364"/>
      <c r="AH167" s="1062"/>
      <c r="AI167" s="1052"/>
      <c r="AJ167" s="364"/>
      <c r="AK167" s="364"/>
      <c r="AL167" s="364"/>
      <c r="AM167" s="766"/>
      <c r="AN167" s="363"/>
      <c r="AO167" s="714"/>
    </row>
    <row r="168" spans="1:41" s="340" customFormat="1">
      <c r="A168" s="273"/>
      <c r="B168" s="366"/>
      <c r="C168" s="272"/>
      <c r="D168" s="365"/>
      <c r="E168" s="272"/>
      <c r="F168" s="273"/>
      <c r="G168" s="273"/>
      <c r="H168" s="273"/>
      <c r="I168" s="273"/>
      <c r="J168" s="273"/>
      <c r="K168" s="973"/>
      <c r="L168" s="36"/>
      <c r="M168" s="713"/>
      <c r="N168" s="273"/>
      <c r="O168" s="1159"/>
      <c r="P168" s="363"/>
      <c r="Q168" s="363"/>
      <c r="R168" s="273"/>
      <c r="S168" s="273"/>
      <c r="T168" s="273"/>
      <c r="U168" s="273"/>
      <c r="V168" s="769"/>
      <c r="W168" s="273"/>
      <c r="X168" s="578"/>
      <c r="Y168" s="343"/>
      <c r="Z168" s="273"/>
      <c r="AA168" s="273"/>
      <c r="AB168" s="273"/>
      <c r="AC168" s="1216"/>
      <c r="AD168" s="524"/>
      <c r="AE168" s="273"/>
      <c r="AF168" s="524"/>
      <c r="AG168" s="364"/>
      <c r="AH168" s="1062"/>
      <c r="AI168" s="1052"/>
      <c r="AJ168" s="364"/>
      <c r="AK168" s="364"/>
      <c r="AL168" s="364"/>
      <c r="AM168" s="766"/>
      <c r="AN168" s="363"/>
      <c r="AO168" s="714"/>
    </row>
    <row r="169" spans="1:41" s="340" customFormat="1">
      <c r="A169" s="273"/>
      <c r="B169" s="366"/>
      <c r="C169" s="272"/>
      <c r="D169" s="365"/>
      <c r="E169" s="272"/>
      <c r="F169" s="273"/>
      <c r="G169" s="273"/>
      <c r="H169" s="273"/>
      <c r="I169" s="273"/>
      <c r="J169" s="273"/>
      <c r="K169" s="973"/>
      <c r="L169" s="36"/>
      <c r="M169" s="713"/>
      <c r="N169" s="273"/>
      <c r="O169" s="1159"/>
      <c r="P169" s="363"/>
      <c r="Q169" s="363"/>
      <c r="R169" s="273"/>
      <c r="S169" s="273"/>
      <c r="T169" s="273"/>
      <c r="U169" s="273"/>
      <c r="V169" s="769"/>
      <c r="W169" s="273"/>
      <c r="X169" s="578"/>
      <c r="Y169" s="343"/>
      <c r="Z169" s="273"/>
      <c r="AA169" s="273"/>
      <c r="AB169" s="273"/>
      <c r="AC169" s="1216"/>
      <c r="AD169" s="524"/>
      <c r="AE169" s="273"/>
      <c r="AF169" s="524"/>
      <c r="AG169" s="364"/>
      <c r="AH169" s="1062"/>
      <c r="AI169" s="1052"/>
      <c r="AJ169" s="364"/>
      <c r="AK169" s="364"/>
      <c r="AL169" s="364"/>
      <c r="AM169" s="766"/>
      <c r="AN169" s="363"/>
      <c r="AO169" s="714"/>
    </row>
    <row r="170" spans="1:41" s="340" customFormat="1">
      <c r="A170" s="273"/>
      <c r="B170" s="366"/>
      <c r="C170" s="272"/>
      <c r="D170" s="365"/>
      <c r="E170" s="272"/>
      <c r="F170" s="273"/>
      <c r="G170" s="273"/>
      <c r="H170" s="273"/>
      <c r="I170" s="273"/>
      <c r="J170" s="273"/>
      <c r="K170" s="973"/>
      <c r="L170" s="36"/>
      <c r="M170" s="713"/>
      <c r="N170" s="273"/>
      <c r="O170" s="1159"/>
      <c r="P170" s="363"/>
      <c r="Q170" s="363"/>
      <c r="R170" s="273"/>
      <c r="S170" s="273"/>
      <c r="T170" s="273"/>
      <c r="U170" s="273"/>
      <c r="V170" s="769"/>
      <c r="W170" s="273"/>
      <c r="X170" s="578"/>
      <c r="Y170" s="343"/>
      <c r="Z170" s="273"/>
      <c r="AA170" s="273"/>
      <c r="AB170" s="273"/>
      <c r="AC170" s="1216"/>
      <c r="AD170" s="524"/>
      <c r="AE170" s="273"/>
      <c r="AF170" s="524"/>
      <c r="AG170" s="364"/>
      <c r="AH170" s="1062"/>
      <c r="AI170" s="1052"/>
      <c r="AJ170" s="364"/>
      <c r="AK170" s="364"/>
      <c r="AL170" s="364"/>
      <c r="AM170" s="766"/>
      <c r="AN170" s="363"/>
      <c r="AO170" s="714"/>
    </row>
    <row r="171" spans="1:41" s="340" customFormat="1">
      <c r="A171" s="273"/>
      <c r="B171" s="366"/>
      <c r="C171" s="272"/>
      <c r="D171" s="365"/>
      <c r="E171" s="272"/>
      <c r="F171" s="273"/>
      <c r="G171" s="273"/>
      <c r="H171" s="273"/>
      <c r="I171" s="273"/>
      <c r="J171" s="273"/>
      <c r="K171" s="973"/>
      <c r="L171" s="36"/>
      <c r="M171" s="713"/>
      <c r="N171" s="273"/>
      <c r="O171" s="1159"/>
      <c r="P171" s="363"/>
      <c r="Q171" s="363"/>
      <c r="R171" s="273"/>
      <c r="S171" s="273"/>
      <c r="T171" s="273"/>
      <c r="U171" s="273"/>
      <c r="V171" s="769"/>
      <c r="W171" s="273"/>
      <c r="X171" s="578"/>
      <c r="Y171" s="343"/>
      <c r="Z171" s="273"/>
      <c r="AA171" s="273"/>
      <c r="AB171" s="273"/>
      <c r="AC171" s="1216"/>
      <c r="AD171" s="524"/>
      <c r="AE171" s="273"/>
      <c r="AF171" s="524"/>
      <c r="AG171" s="364"/>
      <c r="AH171" s="1062"/>
      <c r="AI171" s="1052"/>
      <c r="AJ171" s="364"/>
      <c r="AK171" s="364"/>
      <c r="AL171" s="364"/>
      <c r="AM171" s="766"/>
      <c r="AN171" s="363"/>
      <c r="AO171" s="714"/>
    </row>
    <row r="172" spans="1:41" s="340" customFormat="1">
      <c r="A172" s="273"/>
      <c r="B172" s="366"/>
      <c r="C172" s="272"/>
      <c r="D172" s="365"/>
      <c r="E172" s="272"/>
      <c r="F172" s="273"/>
      <c r="G172" s="273"/>
      <c r="H172" s="273"/>
      <c r="I172" s="273"/>
      <c r="J172" s="273"/>
      <c r="K172" s="973"/>
      <c r="L172" s="36"/>
      <c r="M172" s="713"/>
      <c r="N172" s="273"/>
      <c r="O172" s="1159"/>
      <c r="P172" s="363"/>
      <c r="Q172" s="363"/>
      <c r="R172" s="273"/>
      <c r="S172" s="273"/>
      <c r="T172" s="273"/>
      <c r="U172" s="273"/>
      <c r="V172" s="769"/>
      <c r="W172" s="273"/>
      <c r="X172" s="578"/>
      <c r="Y172" s="343"/>
      <c r="Z172" s="273"/>
      <c r="AA172" s="273"/>
      <c r="AB172" s="273"/>
      <c r="AC172" s="1216"/>
      <c r="AD172" s="524"/>
      <c r="AE172" s="273"/>
      <c r="AF172" s="524"/>
      <c r="AG172" s="364"/>
      <c r="AH172" s="1062"/>
      <c r="AI172" s="1052"/>
      <c r="AJ172" s="364"/>
      <c r="AK172" s="364"/>
      <c r="AL172" s="364"/>
      <c r="AM172" s="766"/>
      <c r="AN172" s="363"/>
      <c r="AO172" s="714"/>
    </row>
    <row r="173" spans="1:41" s="340" customFormat="1">
      <c r="A173" s="273"/>
      <c r="B173" s="366"/>
      <c r="C173" s="272"/>
      <c r="D173" s="365"/>
      <c r="E173" s="272"/>
      <c r="F173" s="273"/>
      <c r="G173" s="273"/>
      <c r="H173" s="273"/>
      <c r="I173" s="273"/>
      <c r="J173" s="273"/>
      <c r="K173" s="973"/>
      <c r="L173" s="36"/>
      <c r="M173" s="713"/>
      <c r="N173" s="273"/>
      <c r="O173" s="1159"/>
      <c r="P173" s="363"/>
      <c r="Q173" s="363"/>
      <c r="R173" s="273"/>
      <c r="S173" s="273"/>
      <c r="T173" s="273"/>
      <c r="U173" s="273"/>
      <c r="V173" s="769"/>
      <c r="W173" s="273"/>
      <c r="X173" s="578"/>
      <c r="Y173" s="343"/>
      <c r="Z173" s="273"/>
      <c r="AA173" s="273"/>
      <c r="AB173" s="273"/>
      <c r="AC173" s="1216"/>
      <c r="AD173" s="524"/>
      <c r="AE173" s="273"/>
      <c r="AF173" s="524"/>
      <c r="AG173" s="364"/>
      <c r="AH173" s="1062"/>
      <c r="AI173" s="1052"/>
      <c r="AJ173" s="364"/>
      <c r="AK173" s="364"/>
      <c r="AL173" s="364"/>
      <c r="AM173" s="766"/>
      <c r="AN173" s="363"/>
      <c r="AO173" s="714"/>
    </row>
    <row r="174" spans="1:41" s="340" customFormat="1">
      <c r="A174" s="273"/>
      <c r="B174" s="366"/>
      <c r="C174" s="272"/>
      <c r="D174" s="365"/>
      <c r="E174" s="272"/>
      <c r="F174" s="273"/>
      <c r="G174" s="273"/>
      <c r="H174" s="273"/>
      <c r="I174" s="273"/>
      <c r="J174" s="273"/>
      <c r="K174" s="973"/>
      <c r="L174" s="36"/>
      <c r="M174" s="713"/>
      <c r="N174" s="273"/>
      <c r="O174" s="1159"/>
      <c r="P174" s="363"/>
      <c r="Q174" s="363"/>
      <c r="R174" s="273"/>
      <c r="S174" s="273"/>
      <c r="T174" s="273"/>
      <c r="U174" s="273"/>
      <c r="V174" s="769"/>
      <c r="W174" s="273"/>
      <c r="X174" s="578"/>
      <c r="Y174" s="343"/>
      <c r="Z174" s="273"/>
      <c r="AA174" s="273"/>
      <c r="AB174" s="273"/>
      <c r="AC174" s="1216"/>
      <c r="AD174" s="524"/>
      <c r="AE174" s="273"/>
      <c r="AF174" s="524"/>
      <c r="AG174" s="364"/>
      <c r="AH174" s="1062"/>
      <c r="AI174" s="1052"/>
      <c r="AJ174" s="364"/>
      <c r="AK174" s="364"/>
      <c r="AL174" s="364"/>
      <c r="AM174" s="766"/>
      <c r="AN174" s="363"/>
      <c r="AO174" s="714"/>
    </row>
    <row r="175" spans="1:41" s="340" customFormat="1">
      <c r="A175" s="273"/>
      <c r="B175" s="361"/>
      <c r="C175" s="272"/>
      <c r="D175" s="365"/>
      <c r="E175" s="272"/>
      <c r="F175" s="273"/>
      <c r="G175" s="273"/>
      <c r="H175" s="273"/>
      <c r="I175" s="273"/>
      <c r="J175" s="273"/>
      <c r="K175" s="973"/>
      <c r="L175" s="36"/>
      <c r="M175" s="713"/>
      <c r="N175" s="273"/>
      <c r="O175" s="1159"/>
      <c r="P175" s="363"/>
      <c r="Q175" s="363"/>
      <c r="R175" s="273"/>
      <c r="S175" s="273"/>
      <c r="T175" s="273"/>
      <c r="U175" s="273"/>
      <c r="V175" s="769"/>
      <c r="W175" s="273"/>
      <c r="X175" s="578"/>
      <c r="Y175" s="343"/>
      <c r="Z175" s="273"/>
      <c r="AA175" s="273"/>
      <c r="AB175" s="273"/>
      <c r="AC175" s="1216"/>
      <c r="AD175" s="524"/>
      <c r="AE175" s="273"/>
      <c r="AF175" s="524"/>
      <c r="AG175" s="364"/>
      <c r="AH175" s="1062"/>
      <c r="AI175" s="1052"/>
      <c r="AJ175" s="364"/>
      <c r="AK175" s="364"/>
      <c r="AL175" s="364"/>
      <c r="AM175" s="766"/>
      <c r="AN175" s="363"/>
      <c r="AO175" s="714"/>
    </row>
    <row r="176" spans="1:41" s="340" customFormat="1">
      <c r="A176" s="273"/>
      <c r="B176" s="361"/>
      <c r="C176" s="272"/>
      <c r="D176" s="365"/>
      <c r="E176" s="272"/>
      <c r="F176" s="273"/>
      <c r="G176" s="273"/>
      <c r="H176" s="273"/>
      <c r="I176" s="273"/>
      <c r="J176" s="273"/>
      <c r="K176" s="973"/>
      <c r="L176" s="36"/>
      <c r="M176" s="713"/>
      <c r="N176" s="273"/>
      <c r="O176" s="1159"/>
      <c r="P176" s="363"/>
      <c r="Q176" s="363"/>
      <c r="R176" s="273"/>
      <c r="S176" s="273"/>
      <c r="T176" s="273"/>
      <c r="U176" s="273"/>
      <c r="V176" s="769"/>
      <c r="W176" s="273"/>
      <c r="X176" s="578"/>
      <c r="Y176" s="343"/>
      <c r="Z176" s="273"/>
      <c r="AA176" s="273"/>
      <c r="AB176" s="273"/>
      <c r="AC176" s="1216"/>
      <c r="AD176" s="524"/>
      <c r="AE176" s="273"/>
      <c r="AF176" s="524"/>
      <c r="AG176" s="364"/>
      <c r="AH176" s="1062"/>
      <c r="AI176" s="1052"/>
      <c r="AJ176" s="364"/>
      <c r="AK176" s="364"/>
      <c r="AL176" s="364"/>
      <c r="AM176" s="766"/>
      <c r="AN176" s="363"/>
      <c r="AO176" s="714"/>
    </row>
    <row r="177" spans="1:41" s="340" customFormat="1">
      <c r="A177" s="273"/>
      <c r="B177" s="361"/>
      <c r="C177" s="272"/>
      <c r="D177" s="365"/>
      <c r="E177" s="272"/>
      <c r="F177" s="273"/>
      <c r="G177" s="273"/>
      <c r="H177" s="273"/>
      <c r="I177" s="273"/>
      <c r="J177" s="273"/>
      <c r="K177" s="973"/>
      <c r="L177" s="36"/>
      <c r="M177" s="713"/>
      <c r="N177" s="273"/>
      <c r="O177" s="1159"/>
      <c r="P177" s="363"/>
      <c r="Q177" s="363"/>
      <c r="R177" s="273"/>
      <c r="S177" s="273"/>
      <c r="T177" s="273"/>
      <c r="U177" s="273"/>
      <c r="V177" s="769"/>
      <c r="W177" s="273"/>
      <c r="X177" s="578"/>
      <c r="Y177" s="343"/>
      <c r="Z177" s="273"/>
      <c r="AA177" s="273"/>
      <c r="AB177" s="273"/>
      <c r="AC177" s="1216"/>
      <c r="AD177" s="524"/>
      <c r="AE177" s="273"/>
      <c r="AF177" s="524"/>
      <c r="AG177" s="364"/>
      <c r="AH177" s="1062"/>
      <c r="AI177" s="1052"/>
      <c r="AJ177" s="364"/>
      <c r="AK177" s="364"/>
      <c r="AL177" s="364"/>
      <c r="AM177" s="766"/>
      <c r="AN177" s="363"/>
      <c r="AO177" s="714"/>
    </row>
    <row r="178" spans="1:41" s="340" customFormat="1">
      <c r="A178" s="273"/>
      <c r="B178" s="361"/>
      <c r="C178" s="272"/>
      <c r="D178" s="365"/>
      <c r="E178" s="272"/>
      <c r="F178" s="273"/>
      <c r="G178" s="273"/>
      <c r="H178" s="273"/>
      <c r="I178" s="273"/>
      <c r="J178" s="273"/>
      <c r="K178" s="973"/>
      <c r="L178" s="36"/>
      <c r="M178" s="713"/>
      <c r="N178" s="273"/>
      <c r="O178" s="1159"/>
      <c r="P178" s="363"/>
      <c r="Q178" s="363"/>
      <c r="R178" s="273"/>
      <c r="S178" s="273"/>
      <c r="T178" s="273"/>
      <c r="U178" s="273"/>
      <c r="V178" s="769"/>
      <c r="W178" s="273"/>
      <c r="X178" s="578"/>
      <c r="Y178" s="343"/>
      <c r="Z178" s="273"/>
      <c r="AA178" s="273"/>
      <c r="AB178" s="273"/>
      <c r="AC178" s="1216"/>
      <c r="AD178" s="524"/>
      <c r="AE178" s="273"/>
      <c r="AF178" s="524"/>
      <c r="AG178" s="364"/>
      <c r="AH178" s="1062"/>
      <c r="AI178" s="1052"/>
      <c r="AJ178" s="364"/>
      <c r="AK178" s="364"/>
      <c r="AL178" s="364"/>
      <c r="AM178" s="766"/>
      <c r="AN178" s="363"/>
      <c r="AO178" s="714"/>
    </row>
    <row r="179" spans="1:41" s="340" customFormat="1">
      <c r="A179" s="273"/>
      <c r="B179" s="361"/>
      <c r="C179" s="272"/>
      <c r="D179" s="365"/>
      <c r="E179" s="272"/>
      <c r="F179" s="273"/>
      <c r="G179" s="273"/>
      <c r="H179" s="273"/>
      <c r="I179" s="273"/>
      <c r="J179" s="273"/>
      <c r="K179" s="973"/>
      <c r="L179" s="36"/>
      <c r="M179" s="713"/>
      <c r="N179" s="273"/>
      <c r="O179" s="1159"/>
      <c r="P179" s="363"/>
      <c r="Q179" s="363"/>
      <c r="R179" s="273"/>
      <c r="S179" s="273"/>
      <c r="T179" s="273"/>
      <c r="U179" s="273"/>
      <c r="V179" s="769"/>
      <c r="W179" s="273"/>
      <c r="X179" s="578"/>
      <c r="Y179" s="343"/>
      <c r="Z179" s="273"/>
      <c r="AA179" s="273"/>
      <c r="AB179" s="273"/>
      <c r="AC179" s="1216"/>
      <c r="AD179" s="524"/>
      <c r="AE179" s="273"/>
      <c r="AF179" s="524"/>
      <c r="AG179" s="364"/>
      <c r="AH179" s="1062"/>
      <c r="AI179" s="1052"/>
      <c r="AJ179" s="364"/>
      <c r="AK179" s="364"/>
      <c r="AL179" s="364"/>
      <c r="AM179" s="766"/>
      <c r="AN179" s="363"/>
      <c r="AO179" s="714"/>
    </row>
    <row r="180" spans="1:41" s="340" customFormat="1">
      <c r="A180" s="273"/>
      <c r="B180" s="361"/>
      <c r="C180" s="272"/>
      <c r="D180" s="365"/>
      <c r="E180" s="272"/>
      <c r="F180" s="273"/>
      <c r="G180" s="273"/>
      <c r="H180" s="273"/>
      <c r="I180" s="273"/>
      <c r="J180" s="273"/>
      <c r="K180" s="973"/>
      <c r="L180" s="36"/>
      <c r="M180" s="713"/>
      <c r="N180" s="273"/>
      <c r="O180" s="1159"/>
      <c r="P180" s="363"/>
      <c r="Q180" s="363"/>
      <c r="R180" s="273"/>
      <c r="S180" s="273"/>
      <c r="T180" s="273"/>
      <c r="U180" s="273"/>
      <c r="V180" s="769"/>
      <c r="W180" s="273"/>
      <c r="X180" s="578"/>
      <c r="Y180" s="343"/>
      <c r="Z180" s="273"/>
      <c r="AA180" s="273"/>
      <c r="AB180" s="273"/>
      <c r="AC180" s="1216"/>
      <c r="AD180" s="524"/>
      <c r="AE180" s="273"/>
      <c r="AF180" s="524"/>
      <c r="AG180" s="364"/>
      <c r="AH180" s="1062"/>
      <c r="AI180" s="1052"/>
      <c r="AJ180" s="364"/>
      <c r="AK180" s="364"/>
      <c r="AL180" s="364"/>
      <c r="AM180" s="766"/>
      <c r="AN180" s="363"/>
      <c r="AO180" s="714"/>
    </row>
    <row r="181" spans="1:41" s="340" customFormat="1">
      <c r="A181" s="273"/>
      <c r="B181" s="361"/>
      <c r="C181" s="272"/>
      <c r="D181" s="365"/>
      <c r="E181" s="272"/>
      <c r="F181" s="273"/>
      <c r="G181" s="273"/>
      <c r="H181" s="273"/>
      <c r="I181" s="273"/>
      <c r="J181" s="273"/>
      <c r="K181" s="973"/>
      <c r="L181" s="36"/>
      <c r="M181" s="713"/>
      <c r="N181" s="273"/>
      <c r="O181" s="1159"/>
      <c r="P181" s="363"/>
      <c r="Q181" s="363"/>
      <c r="R181" s="273"/>
      <c r="S181" s="273"/>
      <c r="T181" s="273"/>
      <c r="U181" s="273"/>
      <c r="V181" s="769"/>
      <c r="W181" s="273"/>
      <c r="X181" s="578"/>
      <c r="Y181" s="343"/>
      <c r="Z181" s="273"/>
      <c r="AA181" s="273"/>
      <c r="AB181" s="273"/>
      <c r="AC181" s="1077"/>
      <c r="AD181" s="364"/>
      <c r="AE181" s="273"/>
      <c r="AF181" s="364"/>
      <c r="AG181" s="364"/>
      <c r="AH181" s="1062"/>
      <c r="AI181" s="1052"/>
      <c r="AJ181" s="364"/>
      <c r="AK181" s="364"/>
      <c r="AL181" s="364"/>
      <c r="AM181" s="766"/>
      <c r="AN181" s="363"/>
      <c r="AO181" s="714"/>
    </row>
    <row r="182" spans="1:41" s="340" customFormat="1">
      <c r="A182" s="273"/>
      <c r="B182" s="361"/>
      <c r="C182" s="272"/>
      <c r="D182" s="365"/>
      <c r="E182" s="272"/>
      <c r="F182" s="273"/>
      <c r="G182" s="273"/>
      <c r="H182" s="273"/>
      <c r="I182" s="273"/>
      <c r="J182" s="273"/>
      <c r="K182" s="973"/>
      <c r="L182" s="36"/>
      <c r="M182" s="713"/>
      <c r="N182" s="273"/>
      <c r="O182" s="1159"/>
      <c r="P182" s="363"/>
      <c r="Q182" s="363"/>
      <c r="R182" s="273"/>
      <c r="S182" s="273"/>
      <c r="T182" s="273"/>
      <c r="U182" s="273"/>
      <c r="V182" s="769"/>
      <c r="W182" s="273"/>
      <c r="X182" s="578"/>
      <c r="Y182" s="343"/>
      <c r="Z182" s="273"/>
      <c r="AA182" s="273"/>
      <c r="AB182" s="273"/>
      <c r="AC182" s="1077"/>
      <c r="AD182" s="364"/>
      <c r="AE182" s="273"/>
      <c r="AF182" s="364"/>
      <c r="AG182" s="364"/>
      <c r="AH182" s="1062"/>
      <c r="AI182" s="1052"/>
      <c r="AJ182" s="364"/>
      <c r="AK182" s="364"/>
      <c r="AL182" s="364"/>
      <c r="AM182" s="766"/>
      <c r="AN182" s="363"/>
      <c r="AO182" s="714"/>
    </row>
    <row r="183" spans="1:41" s="340" customFormat="1">
      <c r="A183" s="273"/>
      <c r="B183" s="361"/>
      <c r="C183" s="272"/>
      <c r="D183" s="365"/>
      <c r="E183" s="272"/>
      <c r="F183" s="273"/>
      <c r="G183" s="273"/>
      <c r="H183" s="273"/>
      <c r="I183" s="273"/>
      <c r="J183" s="273"/>
      <c r="K183" s="973"/>
      <c r="L183" s="36"/>
      <c r="M183" s="713"/>
      <c r="N183" s="273"/>
      <c r="O183" s="1159"/>
      <c r="P183" s="363"/>
      <c r="Q183" s="363"/>
      <c r="R183" s="273"/>
      <c r="S183" s="273"/>
      <c r="T183" s="273"/>
      <c r="U183" s="273"/>
      <c r="V183" s="769"/>
      <c r="W183" s="273"/>
      <c r="X183" s="578"/>
      <c r="Y183" s="343"/>
      <c r="Z183" s="273"/>
      <c r="AA183" s="273"/>
      <c r="AB183" s="273"/>
      <c r="AC183" s="1077"/>
      <c r="AD183" s="364"/>
      <c r="AE183" s="273"/>
      <c r="AF183" s="364"/>
      <c r="AG183" s="364"/>
      <c r="AH183" s="1062"/>
      <c r="AI183" s="1052"/>
      <c r="AJ183" s="364"/>
      <c r="AK183" s="364"/>
      <c r="AL183" s="364"/>
      <c r="AM183" s="766"/>
      <c r="AN183" s="363"/>
      <c r="AO183" s="714"/>
    </row>
    <row r="184" spans="1:41" s="340" customFormat="1">
      <c r="A184" s="273"/>
      <c r="B184" s="361"/>
      <c r="C184" s="272"/>
      <c r="D184" s="365"/>
      <c r="E184" s="272"/>
      <c r="F184" s="273"/>
      <c r="G184" s="273"/>
      <c r="H184" s="273"/>
      <c r="I184" s="273"/>
      <c r="J184" s="273"/>
      <c r="K184" s="973"/>
      <c r="L184" s="36"/>
      <c r="M184" s="713"/>
      <c r="N184" s="273"/>
      <c r="O184" s="1159"/>
      <c r="P184" s="363"/>
      <c r="Q184" s="363"/>
      <c r="R184" s="273"/>
      <c r="S184" s="273"/>
      <c r="T184" s="273"/>
      <c r="U184" s="273"/>
      <c r="V184" s="769"/>
      <c r="W184" s="273"/>
      <c r="X184" s="578"/>
      <c r="Y184" s="343"/>
      <c r="Z184" s="273"/>
      <c r="AA184" s="273"/>
      <c r="AB184" s="273"/>
      <c r="AC184" s="1077"/>
      <c r="AD184" s="364"/>
      <c r="AE184" s="273"/>
      <c r="AF184" s="364"/>
      <c r="AG184" s="364"/>
      <c r="AH184" s="1062"/>
      <c r="AI184" s="1052"/>
      <c r="AJ184" s="364"/>
      <c r="AK184" s="364"/>
      <c r="AL184" s="364"/>
      <c r="AM184" s="766"/>
      <c r="AN184" s="363"/>
      <c r="AO184" s="714"/>
    </row>
    <row r="185" spans="1:41" s="340" customFormat="1">
      <c r="A185" s="273"/>
      <c r="B185" s="361"/>
      <c r="C185" s="272"/>
      <c r="D185" s="365"/>
      <c r="E185" s="272"/>
      <c r="F185" s="273"/>
      <c r="G185" s="273"/>
      <c r="H185" s="273"/>
      <c r="I185" s="273"/>
      <c r="J185" s="273"/>
      <c r="K185" s="973"/>
      <c r="L185" s="36"/>
      <c r="M185" s="713"/>
      <c r="N185" s="273"/>
      <c r="O185" s="1159"/>
      <c r="P185" s="363"/>
      <c r="Q185" s="363"/>
      <c r="R185" s="273"/>
      <c r="S185" s="273"/>
      <c r="T185" s="273"/>
      <c r="U185" s="273"/>
      <c r="V185" s="769"/>
      <c r="W185" s="273"/>
      <c r="X185" s="578"/>
      <c r="Y185" s="343"/>
      <c r="Z185" s="273"/>
      <c r="AA185" s="273"/>
      <c r="AB185" s="273"/>
      <c r="AC185" s="1077"/>
      <c r="AD185" s="364"/>
      <c r="AE185" s="273"/>
      <c r="AF185" s="364"/>
      <c r="AG185" s="364"/>
      <c r="AH185" s="1062"/>
      <c r="AI185" s="1052"/>
      <c r="AJ185" s="364"/>
      <c r="AK185" s="364"/>
      <c r="AL185" s="364"/>
      <c r="AM185" s="766"/>
      <c r="AN185" s="363"/>
      <c r="AO185" s="714"/>
    </row>
    <row r="186" spans="1:41" s="340" customFormat="1">
      <c r="A186" s="273"/>
      <c r="B186" s="361"/>
      <c r="C186" s="272"/>
      <c r="D186" s="365"/>
      <c r="E186" s="272"/>
      <c r="F186" s="273"/>
      <c r="G186" s="273"/>
      <c r="H186" s="273"/>
      <c r="I186" s="273"/>
      <c r="J186" s="273"/>
      <c r="K186" s="973"/>
      <c r="L186" s="36"/>
      <c r="M186" s="713"/>
      <c r="N186" s="273"/>
      <c r="O186" s="1159"/>
      <c r="P186" s="363"/>
      <c r="Q186" s="363"/>
      <c r="R186" s="273"/>
      <c r="S186" s="273"/>
      <c r="T186" s="273"/>
      <c r="U186" s="273"/>
      <c r="V186" s="769"/>
      <c r="W186" s="273"/>
      <c r="X186" s="578"/>
      <c r="Y186" s="343"/>
      <c r="Z186" s="273"/>
      <c r="AA186" s="273"/>
      <c r="AB186" s="273"/>
      <c r="AC186" s="1077"/>
      <c r="AD186" s="364"/>
      <c r="AE186" s="273"/>
      <c r="AF186" s="364"/>
      <c r="AG186" s="364"/>
      <c r="AH186" s="1062"/>
      <c r="AI186" s="1052"/>
      <c r="AJ186" s="364"/>
      <c r="AK186" s="364"/>
      <c r="AL186" s="364"/>
      <c r="AM186" s="766"/>
      <c r="AN186" s="363"/>
      <c r="AO186" s="714"/>
    </row>
    <row r="187" spans="1:41" s="340" customFormat="1">
      <c r="A187" s="273"/>
      <c r="B187" s="361"/>
      <c r="C187" s="272"/>
      <c r="D187" s="365"/>
      <c r="E187" s="272"/>
      <c r="F187" s="273"/>
      <c r="G187" s="273"/>
      <c r="H187" s="273"/>
      <c r="I187" s="273"/>
      <c r="J187" s="273"/>
      <c r="K187" s="973"/>
      <c r="L187" s="36"/>
      <c r="M187" s="713"/>
      <c r="N187" s="273"/>
      <c r="O187" s="1159"/>
      <c r="P187" s="363"/>
      <c r="Q187" s="363"/>
      <c r="R187" s="273"/>
      <c r="S187" s="273"/>
      <c r="T187" s="273"/>
      <c r="U187" s="273"/>
      <c r="V187" s="769"/>
      <c r="W187" s="273"/>
      <c r="X187" s="578"/>
      <c r="Y187" s="343"/>
      <c r="Z187" s="273"/>
      <c r="AA187" s="273"/>
      <c r="AB187" s="273"/>
      <c r="AC187" s="1077"/>
      <c r="AD187" s="364"/>
      <c r="AE187" s="273"/>
      <c r="AF187" s="364"/>
      <c r="AG187" s="364"/>
      <c r="AH187" s="1062"/>
      <c r="AI187" s="1052"/>
      <c r="AJ187" s="364"/>
      <c r="AK187" s="364"/>
      <c r="AL187" s="364"/>
      <c r="AM187" s="766"/>
      <c r="AN187" s="363"/>
      <c r="AO187" s="714"/>
    </row>
    <row r="188" spans="1:41" s="340" customFormat="1">
      <c r="A188" s="273"/>
      <c r="B188" s="361"/>
      <c r="C188" s="272"/>
      <c r="D188" s="365"/>
      <c r="E188" s="272"/>
      <c r="F188" s="273"/>
      <c r="G188" s="273"/>
      <c r="H188" s="273"/>
      <c r="I188" s="273"/>
      <c r="J188" s="273"/>
      <c r="K188" s="973"/>
      <c r="L188" s="36"/>
      <c r="M188" s="713"/>
      <c r="N188" s="273"/>
      <c r="O188" s="1159"/>
      <c r="P188" s="363"/>
      <c r="Q188" s="363"/>
      <c r="R188" s="273"/>
      <c r="S188" s="273"/>
      <c r="T188" s="273"/>
      <c r="U188" s="273"/>
      <c r="V188" s="769"/>
      <c r="W188" s="273"/>
      <c r="X188" s="578"/>
      <c r="Y188" s="343"/>
      <c r="Z188" s="273"/>
      <c r="AA188" s="273"/>
      <c r="AB188" s="273"/>
      <c r="AC188" s="1077"/>
      <c r="AD188" s="364"/>
      <c r="AE188" s="273"/>
      <c r="AF188" s="364"/>
      <c r="AG188" s="364"/>
      <c r="AH188" s="1062"/>
      <c r="AI188" s="1052"/>
      <c r="AJ188" s="364"/>
      <c r="AK188" s="364"/>
      <c r="AL188" s="364"/>
      <c r="AM188" s="766"/>
      <c r="AN188" s="363"/>
      <c r="AO188" s="714"/>
    </row>
    <row r="189" spans="1:41" s="340" customFormat="1">
      <c r="A189" s="273"/>
      <c r="B189" s="361"/>
      <c r="C189" s="272"/>
      <c r="D189" s="365"/>
      <c r="E189" s="272"/>
      <c r="F189" s="273"/>
      <c r="G189" s="273"/>
      <c r="H189" s="273"/>
      <c r="I189" s="273"/>
      <c r="J189" s="273"/>
      <c r="K189" s="973"/>
      <c r="L189" s="36"/>
      <c r="M189" s="713"/>
      <c r="N189" s="273"/>
      <c r="O189" s="1159"/>
      <c r="P189" s="363"/>
      <c r="Q189" s="363"/>
      <c r="R189" s="273"/>
      <c r="S189" s="273"/>
      <c r="T189" s="273"/>
      <c r="U189" s="273"/>
      <c r="V189" s="769"/>
      <c r="W189" s="273"/>
      <c r="X189" s="578"/>
      <c r="Y189" s="343"/>
      <c r="Z189" s="273"/>
      <c r="AA189" s="273"/>
      <c r="AB189" s="273"/>
      <c r="AC189" s="1077"/>
      <c r="AD189" s="364"/>
      <c r="AE189" s="273"/>
      <c r="AF189" s="364"/>
      <c r="AG189" s="364"/>
      <c r="AH189" s="1062"/>
      <c r="AI189" s="1052"/>
      <c r="AJ189" s="364"/>
      <c r="AK189" s="364"/>
      <c r="AL189" s="364"/>
      <c r="AM189" s="766"/>
      <c r="AN189" s="363"/>
      <c r="AO189" s="714"/>
    </row>
    <row r="190" spans="1:41" s="340" customFormat="1">
      <c r="A190" s="273"/>
      <c r="B190" s="361"/>
      <c r="C190" s="272"/>
      <c r="D190" s="365"/>
      <c r="E190" s="272"/>
      <c r="F190" s="273"/>
      <c r="G190" s="273"/>
      <c r="H190" s="273"/>
      <c r="I190" s="273"/>
      <c r="J190" s="273"/>
      <c r="K190" s="973"/>
      <c r="L190" s="36"/>
      <c r="M190" s="713"/>
      <c r="N190" s="273"/>
      <c r="O190" s="1159"/>
      <c r="P190" s="363"/>
      <c r="Q190" s="363"/>
      <c r="R190" s="273"/>
      <c r="S190" s="273"/>
      <c r="T190" s="273"/>
      <c r="U190" s="273"/>
      <c r="V190" s="769"/>
      <c r="W190" s="273"/>
      <c r="X190" s="578"/>
      <c r="Y190" s="343"/>
      <c r="Z190" s="273"/>
      <c r="AA190" s="273"/>
      <c r="AB190" s="273"/>
      <c r="AC190" s="1077"/>
      <c r="AD190" s="364"/>
      <c r="AE190" s="273"/>
      <c r="AF190" s="364"/>
      <c r="AG190" s="364"/>
      <c r="AH190" s="1062"/>
      <c r="AI190" s="1052"/>
      <c r="AJ190" s="364"/>
      <c r="AK190" s="364"/>
      <c r="AL190" s="364"/>
      <c r="AM190" s="766"/>
      <c r="AN190" s="363"/>
      <c r="AO190" s="714"/>
    </row>
    <row r="191" spans="1:41" s="340" customFormat="1">
      <c r="A191" s="273"/>
      <c r="B191" s="361"/>
      <c r="C191" s="272"/>
      <c r="D191" s="365"/>
      <c r="E191" s="272"/>
      <c r="F191" s="273"/>
      <c r="G191" s="273"/>
      <c r="H191" s="273"/>
      <c r="I191" s="273"/>
      <c r="J191" s="273"/>
      <c r="K191" s="973"/>
      <c r="L191" s="36"/>
      <c r="M191" s="713"/>
      <c r="N191" s="273"/>
      <c r="O191" s="1159"/>
      <c r="P191" s="363"/>
      <c r="Q191" s="363"/>
      <c r="R191" s="273"/>
      <c r="S191" s="273"/>
      <c r="T191" s="273"/>
      <c r="U191" s="273"/>
      <c r="V191" s="769"/>
      <c r="W191" s="273"/>
      <c r="X191" s="578"/>
      <c r="Y191" s="343"/>
      <c r="Z191" s="273"/>
      <c r="AA191" s="273"/>
      <c r="AB191" s="273"/>
      <c r="AC191" s="1077"/>
      <c r="AD191" s="364"/>
      <c r="AE191" s="273"/>
      <c r="AF191" s="364"/>
      <c r="AG191" s="364"/>
      <c r="AH191" s="1062"/>
      <c r="AI191" s="1052"/>
      <c r="AJ191" s="364"/>
      <c r="AK191" s="364"/>
      <c r="AL191" s="364"/>
      <c r="AM191" s="766"/>
      <c r="AN191" s="363"/>
      <c r="AO191" s="714"/>
    </row>
    <row r="192" spans="1:41" s="340" customFormat="1">
      <c r="A192" s="273"/>
      <c r="B192" s="361"/>
      <c r="C192" s="272"/>
      <c r="D192" s="365"/>
      <c r="E192" s="272"/>
      <c r="F192" s="273"/>
      <c r="G192" s="273"/>
      <c r="H192" s="273"/>
      <c r="I192" s="273"/>
      <c r="J192" s="273"/>
      <c r="K192" s="973"/>
      <c r="L192" s="36"/>
      <c r="M192" s="713"/>
      <c r="N192" s="273"/>
      <c r="O192" s="1159"/>
      <c r="P192" s="363"/>
      <c r="Q192" s="363"/>
      <c r="R192" s="273"/>
      <c r="S192" s="273"/>
      <c r="T192" s="273"/>
      <c r="U192" s="273"/>
      <c r="V192" s="769"/>
      <c r="W192" s="273"/>
      <c r="X192" s="578"/>
      <c r="Y192" s="343"/>
      <c r="Z192" s="273"/>
      <c r="AA192" s="273"/>
      <c r="AB192" s="273"/>
      <c r="AC192" s="1077"/>
      <c r="AD192" s="364"/>
      <c r="AE192" s="273"/>
      <c r="AF192" s="364"/>
      <c r="AG192" s="364"/>
      <c r="AH192" s="1062"/>
      <c r="AI192" s="1052"/>
      <c r="AJ192" s="364"/>
      <c r="AK192" s="364"/>
      <c r="AL192" s="364"/>
      <c r="AM192" s="766"/>
      <c r="AN192" s="363"/>
      <c r="AO192" s="714"/>
    </row>
    <row r="193" spans="1:41" s="340" customFormat="1">
      <c r="A193" s="273"/>
      <c r="B193" s="361"/>
      <c r="C193" s="272"/>
      <c r="D193" s="365"/>
      <c r="E193" s="272"/>
      <c r="F193" s="273"/>
      <c r="G193" s="273"/>
      <c r="H193" s="273"/>
      <c r="I193" s="273"/>
      <c r="J193" s="273"/>
      <c r="K193" s="973"/>
      <c r="L193" s="36"/>
      <c r="M193" s="713"/>
      <c r="N193" s="273"/>
      <c r="O193" s="1159"/>
      <c r="P193" s="363"/>
      <c r="Q193" s="363"/>
      <c r="R193" s="273"/>
      <c r="S193" s="273"/>
      <c r="T193" s="273"/>
      <c r="U193" s="273"/>
      <c r="V193" s="769"/>
      <c r="W193" s="273"/>
      <c r="X193" s="578"/>
      <c r="Y193" s="343"/>
      <c r="Z193" s="273"/>
      <c r="AA193" s="273"/>
      <c r="AB193" s="273"/>
      <c r="AC193" s="1077"/>
      <c r="AD193" s="364"/>
      <c r="AE193" s="273"/>
      <c r="AF193" s="364"/>
      <c r="AG193" s="364"/>
      <c r="AH193" s="1062"/>
      <c r="AI193" s="1052"/>
      <c r="AJ193" s="364"/>
      <c r="AK193" s="364"/>
      <c r="AL193" s="364"/>
      <c r="AM193" s="766"/>
      <c r="AN193" s="363"/>
      <c r="AO193" s="714"/>
    </row>
    <row r="194" spans="1:41" s="340" customFormat="1">
      <c r="A194" s="273"/>
      <c r="B194" s="361"/>
      <c r="C194" s="272"/>
      <c r="D194" s="365"/>
      <c r="E194" s="272"/>
      <c r="F194" s="273"/>
      <c r="G194" s="273"/>
      <c r="H194" s="273"/>
      <c r="I194" s="273"/>
      <c r="J194" s="273"/>
      <c r="K194" s="973"/>
      <c r="L194" s="36"/>
      <c r="M194" s="713"/>
      <c r="N194" s="273"/>
      <c r="O194" s="1159"/>
      <c r="P194" s="363"/>
      <c r="Q194" s="363"/>
      <c r="R194" s="273"/>
      <c r="S194" s="273"/>
      <c r="T194" s="273"/>
      <c r="U194" s="273"/>
      <c r="V194" s="769"/>
      <c r="W194" s="273"/>
      <c r="X194" s="578"/>
      <c r="Y194" s="343"/>
      <c r="Z194" s="273"/>
      <c r="AA194" s="273"/>
      <c r="AB194" s="273"/>
      <c r="AC194" s="1077"/>
      <c r="AD194" s="364"/>
      <c r="AE194" s="273"/>
      <c r="AF194" s="364"/>
      <c r="AG194" s="364"/>
      <c r="AH194" s="1062"/>
      <c r="AI194" s="1052"/>
      <c r="AJ194" s="364"/>
      <c r="AK194" s="364"/>
      <c r="AL194" s="364"/>
      <c r="AM194" s="766"/>
      <c r="AN194" s="363"/>
      <c r="AO194" s="714"/>
    </row>
    <row r="195" spans="1:41" s="340" customFormat="1">
      <c r="A195" s="273"/>
      <c r="B195" s="361"/>
      <c r="C195" s="272"/>
      <c r="D195" s="365"/>
      <c r="E195" s="272"/>
      <c r="F195" s="273"/>
      <c r="G195" s="273"/>
      <c r="H195" s="273"/>
      <c r="I195" s="273"/>
      <c r="J195" s="273"/>
      <c r="K195" s="973"/>
      <c r="L195" s="36"/>
      <c r="M195" s="713"/>
      <c r="N195" s="273"/>
      <c r="O195" s="1159"/>
      <c r="P195" s="363"/>
      <c r="Q195" s="363"/>
      <c r="R195" s="273"/>
      <c r="S195" s="273"/>
      <c r="T195" s="273"/>
      <c r="U195" s="273"/>
      <c r="V195" s="769"/>
      <c r="W195" s="273"/>
      <c r="X195" s="578"/>
      <c r="Y195" s="343"/>
      <c r="Z195" s="273"/>
      <c r="AA195" s="273"/>
      <c r="AB195" s="273"/>
      <c r="AC195" s="1077"/>
      <c r="AD195" s="364"/>
      <c r="AE195" s="273"/>
      <c r="AF195" s="364"/>
      <c r="AG195" s="364"/>
      <c r="AH195" s="1062"/>
      <c r="AI195" s="1052"/>
      <c r="AJ195" s="364"/>
      <c r="AK195" s="364"/>
      <c r="AL195" s="364"/>
      <c r="AM195" s="766"/>
      <c r="AN195" s="363"/>
      <c r="AO195" s="714"/>
    </row>
    <row r="196" spans="1:41" s="340" customFormat="1">
      <c r="A196" s="273"/>
      <c r="B196" s="361"/>
      <c r="C196" s="272"/>
      <c r="D196" s="365"/>
      <c r="E196" s="272"/>
      <c r="F196" s="273"/>
      <c r="G196" s="273"/>
      <c r="H196" s="273"/>
      <c r="I196" s="273"/>
      <c r="J196" s="273"/>
      <c r="K196" s="973"/>
      <c r="L196" s="36"/>
      <c r="M196" s="713"/>
      <c r="N196" s="273"/>
      <c r="O196" s="1159"/>
      <c r="P196" s="363"/>
      <c r="Q196" s="363"/>
      <c r="R196" s="273"/>
      <c r="S196" s="273"/>
      <c r="T196" s="273"/>
      <c r="U196" s="273"/>
      <c r="V196" s="769"/>
      <c r="W196" s="273"/>
      <c r="X196" s="578"/>
      <c r="Y196" s="343"/>
      <c r="Z196" s="273"/>
      <c r="AA196" s="273"/>
      <c r="AB196" s="273"/>
      <c r="AC196" s="1077"/>
      <c r="AD196" s="364"/>
      <c r="AE196" s="273"/>
      <c r="AF196" s="364"/>
      <c r="AG196" s="364"/>
      <c r="AH196" s="1062"/>
      <c r="AI196" s="1052"/>
      <c r="AJ196" s="364"/>
      <c r="AK196" s="364"/>
      <c r="AL196" s="364"/>
      <c r="AM196" s="766"/>
      <c r="AN196" s="363"/>
      <c r="AO196" s="714"/>
    </row>
    <row r="197" spans="1:41" s="340" customFormat="1">
      <c r="A197" s="273"/>
      <c r="B197" s="361"/>
      <c r="C197" s="272"/>
      <c r="D197" s="365"/>
      <c r="E197" s="272"/>
      <c r="F197" s="273"/>
      <c r="G197" s="273"/>
      <c r="H197" s="273"/>
      <c r="I197" s="273"/>
      <c r="J197" s="273"/>
      <c r="K197" s="973"/>
      <c r="L197" s="36"/>
      <c r="M197" s="713"/>
      <c r="N197" s="273"/>
      <c r="O197" s="1159"/>
      <c r="P197" s="363"/>
      <c r="Q197" s="363"/>
      <c r="R197" s="273"/>
      <c r="S197" s="273"/>
      <c r="T197" s="273"/>
      <c r="U197" s="273"/>
      <c r="V197" s="769"/>
      <c r="W197" s="273"/>
      <c r="X197" s="578"/>
      <c r="Y197" s="343"/>
      <c r="Z197" s="273"/>
      <c r="AA197" s="273"/>
      <c r="AB197" s="273"/>
      <c r="AC197" s="1077"/>
      <c r="AD197" s="364"/>
      <c r="AE197" s="273"/>
      <c r="AF197" s="364"/>
      <c r="AG197" s="364"/>
      <c r="AH197" s="1062"/>
      <c r="AI197" s="1052"/>
      <c r="AJ197" s="364"/>
      <c r="AK197" s="364"/>
      <c r="AL197" s="364"/>
      <c r="AM197" s="766"/>
      <c r="AN197" s="363"/>
      <c r="AO197" s="714"/>
    </row>
    <row r="198" spans="1:41" s="340" customFormat="1">
      <c r="A198" s="273"/>
      <c r="B198" s="361"/>
      <c r="C198" s="272"/>
      <c r="D198" s="365"/>
      <c r="E198" s="272"/>
      <c r="F198" s="273"/>
      <c r="G198" s="273"/>
      <c r="H198" s="273"/>
      <c r="I198" s="273"/>
      <c r="J198" s="273"/>
      <c r="K198" s="973"/>
      <c r="L198" s="36"/>
      <c r="M198" s="713"/>
      <c r="N198" s="273"/>
      <c r="O198" s="1159"/>
      <c r="P198" s="363"/>
      <c r="Q198" s="363"/>
      <c r="R198" s="273"/>
      <c r="S198" s="273"/>
      <c r="T198" s="273"/>
      <c r="U198" s="273"/>
      <c r="V198" s="769"/>
      <c r="W198" s="273"/>
      <c r="X198" s="578"/>
      <c r="Y198" s="343"/>
      <c r="Z198" s="273"/>
      <c r="AA198" s="273"/>
      <c r="AB198" s="273"/>
      <c r="AC198" s="1077"/>
      <c r="AD198" s="364"/>
      <c r="AE198" s="273"/>
      <c r="AF198" s="364"/>
      <c r="AG198" s="364"/>
      <c r="AH198" s="1062"/>
      <c r="AI198" s="1052"/>
      <c r="AJ198" s="364"/>
      <c r="AK198" s="364"/>
      <c r="AL198" s="364"/>
      <c r="AM198" s="766"/>
      <c r="AN198" s="363"/>
      <c r="AO198" s="714"/>
    </row>
    <row r="199" spans="1:41" s="340" customFormat="1">
      <c r="A199" s="273"/>
      <c r="B199" s="361"/>
      <c r="C199" s="272"/>
      <c r="D199" s="365"/>
      <c r="E199" s="272"/>
      <c r="F199" s="273"/>
      <c r="G199" s="273"/>
      <c r="H199" s="273"/>
      <c r="I199" s="273"/>
      <c r="J199" s="273"/>
      <c r="K199" s="973"/>
      <c r="L199" s="36"/>
      <c r="M199" s="713"/>
      <c r="N199" s="273"/>
      <c r="O199" s="1159"/>
      <c r="P199" s="363"/>
      <c r="Q199" s="363"/>
      <c r="R199" s="273"/>
      <c r="S199" s="273"/>
      <c r="T199" s="273"/>
      <c r="U199" s="273"/>
      <c r="V199" s="769"/>
      <c r="W199" s="273"/>
      <c r="X199" s="578"/>
      <c r="Y199" s="343"/>
      <c r="Z199" s="273"/>
      <c r="AA199" s="273"/>
      <c r="AB199" s="273"/>
      <c r="AC199" s="1077"/>
      <c r="AD199" s="364"/>
      <c r="AE199" s="273"/>
      <c r="AF199" s="364"/>
      <c r="AG199" s="364"/>
      <c r="AH199" s="1062"/>
      <c r="AI199" s="1052"/>
      <c r="AJ199" s="364"/>
      <c r="AK199" s="364"/>
      <c r="AL199" s="364"/>
      <c r="AM199" s="766"/>
      <c r="AN199" s="363"/>
      <c r="AO199" s="714"/>
    </row>
    <row r="200" spans="1:41" s="340" customFormat="1">
      <c r="A200" s="273"/>
      <c r="B200" s="361"/>
      <c r="C200" s="272"/>
      <c r="D200" s="365"/>
      <c r="E200" s="272"/>
      <c r="F200" s="273"/>
      <c r="G200" s="273"/>
      <c r="H200" s="273"/>
      <c r="I200" s="273"/>
      <c r="J200" s="273"/>
      <c r="K200" s="973"/>
      <c r="L200" s="36"/>
      <c r="M200" s="713"/>
      <c r="N200" s="273"/>
      <c r="O200" s="1159"/>
      <c r="P200" s="363"/>
      <c r="Q200" s="363"/>
      <c r="R200" s="273"/>
      <c r="S200" s="273"/>
      <c r="T200" s="273"/>
      <c r="U200" s="273"/>
      <c r="V200" s="769"/>
      <c r="W200" s="273"/>
      <c r="X200" s="578"/>
      <c r="Y200" s="343"/>
      <c r="Z200" s="273"/>
      <c r="AA200" s="273"/>
      <c r="AB200" s="273"/>
      <c r="AC200" s="1077"/>
      <c r="AD200" s="364"/>
      <c r="AE200" s="273"/>
      <c r="AF200" s="364"/>
      <c r="AG200" s="364"/>
      <c r="AH200" s="1062"/>
      <c r="AI200" s="1052"/>
      <c r="AJ200" s="364"/>
      <c r="AK200" s="364"/>
      <c r="AL200" s="364"/>
      <c r="AM200" s="766"/>
      <c r="AN200" s="363"/>
      <c r="AO200" s="714"/>
    </row>
    <row r="201" spans="1:41" s="340" customFormat="1">
      <c r="A201" s="273"/>
      <c r="B201" s="361"/>
      <c r="C201" s="272"/>
      <c r="D201" s="365"/>
      <c r="E201" s="272"/>
      <c r="F201" s="273"/>
      <c r="G201" s="273"/>
      <c r="H201" s="273"/>
      <c r="I201" s="273"/>
      <c r="J201" s="273"/>
      <c r="K201" s="973"/>
      <c r="L201" s="36"/>
      <c r="M201" s="713"/>
      <c r="N201" s="273"/>
      <c r="O201" s="1159"/>
      <c r="P201" s="363"/>
      <c r="Q201" s="363"/>
      <c r="R201" s="273"/>
      <c r="S201" s="273"/>
      <c r="T201" s="273"/>
      <c r="U201" s="273"/>
      <c r="V201" s="769"/>
      <c r="W201" s="273"/>
      <c r="X201" s="578"/>
      <c r="Y201" s="343"/>
      <c r="Z201" s="273"/>
      <c r="AA201" s="273"/>
      <c r="AB201" s="273"/>
      <c r="AC201" s="1077"/>
      <c r="AD201" s="364"/>
      <c r="AE201" s="273"/>
      <c r="AF201" s="364"/>
      <c r="AG201" s="364"/>
      <c r="AH201" s="1062"/>
      <c r="AI201" s="1052"/>
      <c r="AJ201" s="364"/>
      <c r="AK201" s="364"/>
      <c r="AL201" s="364"/>
      <c r="AM201" s="766"/>
      <c r="AN201" s="363"/>
      <c r="AO201" s="714"/>
    </row>
    <row r="202" spans="1:41" s="340" customFormat="1">
      <c r="A202" s="273"/>
      <c r="B202" s="361"/>
      <c r="C202" s="272"/>
      <c r="D202" s="365"/>
      <c r="E202" s="272"/>
      <c r="F202" s="273"/>
      <c r="G202" s="273"/>
      <c r="H202" s="273"/>
      <c r="I202" s="273"/>
      <c r="J202" s="273"/>
      <c r="K202" s="973"/>
      <c r="L202" s="36"/>
      <c r="M202" s="713"/>
      <c r="N202" s="273"/>
      <c r="O202" s="1159"/>
      <c r="P202" s="363"/>
      <c r="Q202" s="363"/>
      <c r="R202" s="273"/>
      <c r="S202" s="273"/>
      <c r="T202" s="273"/>
      <c r="U202" s="273"/>
      <c r="V202" s="769"/>
      <c r="W202" s="273"/>
      <c r="X202" s="578"/>
      <c r="Y202" s="343"/>
      <c r="Z202" s="273"/>
      <c r="AA202" s="273"/>
      <c r="AB202" s="273"/>
      <c r="AC202" s="1077"/>
      <c r="AD202" s="364"/>
      <c r="AE202" s="273"/>
      <c r="AF202" s="364"/>
      <c r="AG202" s="364"/>
      <c r="AH202" s="1062"/>
      <c r="AI202" s="1052"/>
      <c r="AJ202" s="364"/>
      <c r="AK202" s="364"/>
      <c r="AL202" s="364"/>
      <c r="AM202" s="766"/>
      <c r="AN202" s="363"/>
      <c r="AO202" s="714"/>
    </row>
    <row r="203" spans="1:41" s="340" customFormat="1">
      <c r="A203" s="273"/>
      <c r="B203" s="361"/>
      <c r="C203" s="272"/>
      <c r="D203" s="365"/>
      <c r="E203" s="272"/>
      <c r="F203" s="273"/>
      <c r="G203" s="273"/>
      <c r="H203" s="273"/>
      <c r="I203" s="273"/>
      <c r="J203" s="273"/>
      <c r="K203" s="973"/>
      <c r="L203" s="36"/>
      <c r="M203" s="713"/>
      <c r="N203" s="273"/>
      <c r="O203" s="1159"/>
      <c r="P203" s="363"/>
      <c r="Q203" s="363"/>
      <c r="R203" s="273"/>
      <c r="S203" s="273"/>
      <c r="T203" s="273"/>
      <c r="U203" s="273"/>
      <c r="V203" s="769"/>
      <c r="W203" s="273"/>
      <c r="X203" s="578"/>
      <c r="Y203" s="343"/>
      <c r="Z203" s="273"/>
      <c r="AA203" s="273"/>
      <c r="AB203" s="273"/>
      <c r="AC203" s="1077"/>
      <c r="AD203" s="364"/>
      <c r="AE203" s="273"/>
      <c r="AF203" s="364"/>
      <c r="AG203" s="364"/>
      <c r="AH203" s="1062"/>
      <c r="AI203" s="1052"/>
      <c r="AJ203" s="364"/>
      <c r="AK203" s="364"/>
      <c r="AL203" s="364"/>
      <c r="AM203" s="766"/>
      <c r="AN203" s="363"/>
      <c r="AO203" s="714"/>
    </row>
    <row r="204" spans="1:41" s="340" customFormat="1">
      <c r="A204" s="273"/>
      <c r="B204" s="361"/>
      <c r="C204" s="272"/>
      <c r="D204" s="365"/>
      <c r="E204" s="272"/>
      <c r="F204" s="273"/>
      <c r="G204" s="273"/>
      <c r="H204" s="273"/>
      <c r="I204" s="273"/>
      <c r="J204" s="273"/>
      <c r="K204" s="973"/>
      <c r="L204" s="36"/>
      <c r="M204" s="713"/>
      <c r="N204" s="273"/>
      <c r="O204" s="1159"/>
      <c r="P204" s="363"/>
      <c r="Q204" s="363"/>
      <c r="R204" s="273"/>
      <c r="S204" s="273"/>
      <c r="T204" s="273"/>
      <c r="U204" s="273"/>
      <c r="V204" s="769"/>
      <c r="W204" s="273"/>
      <c r="X204" s="578"/>
      <c r="Y204" s="343"/>
      <c r="Z204" s="273"/>
      <c r="AA204" s="273"/>
      <c r="AB204" s="273"/>
      <c r="AC204" s="1077"/>
      <c r="AD204" s="364"/>
      <c r="AE204" s="273"/>
      <c r="AF204" s="364"/>
      <c r="AG204" s="364"/>
      <c r="AH204" s="1062"/>
      <c r="AI204" s="1052"/>
      <c r="AJ204" s="364"/>
      <c r="AK204" s="364"/>
      <c r="AL204" s="364"/>
      <c r="AM204" s="766"/>
      <c r="AN204" s="363"/>
      <c r="AO204" s="714"/>
    </row>
    <row r="205" spans="1:41" s="340" customFormat="1">
      <c r="A205" s="273"/>
      <c r="B205" s="361"/>
      <c r="C205" s="272"/>
      <c r="D205" s="365"/>
      <c r="E205" s="272"/>
      <c r="F205" s="273"/>
      <c r="G205" s="273"/>
      <c r="H205" s="273"/>
      <c r="I205" s="273"/>
      <c r="J205" s="273"/>
      <c r="K205" s="973"/>
      <c r="L205" s="36"/>
      <c r="M205" s="713"/>
      <c r="N205" s="273"/>
      <c r="O205" s="1159"/>
      <c r="P205" s="363"/>
      <c r="Q205" s="363"/>
      <c r="R205" s="273"/>
      <c r="S205" s="273"/>
      <c r="T205" s="273"/>
      <c r="U205" s="273"/>
      <c r="V205" s="769"/>
      <c r="W205" s="273"/>
      <c r="X205" s="578"/>
      <c r="Y205" s="343"/>
      <c r="Z205" s="273"/>
      <c r="AA205" s="273"/>
      <c r="AB205" s="273"/>
      <c r="AC205" s="1077"/>
      <c r="AD205" s="364"/>
      <c r="AE205" s="273"/>
      <c r="AF205" s="364"/>
      <c r="AG205" s="364"/>
      <c r="AH205" s="1062"/>
      <c r="AI205" s="1052"/>
      <c r="AJ205" s="364"/>
      <c r="AK205" s="364"/>
      <c r="AL205" s="364"/>
      <c r="AM205" s="766"/>
      <c r="AN205" s="363"/>
      <c r="AO205" s="714"/>
    </row>
    <row r="206" spans="1:41" s="340" customFormat="1">
      <c r="A206" s="273"/>
      <c r="B206" s="361"/>
      <c r="C206" s="272"/>
      <c r="D206" s="365"/>
      <c r="E206" s="272"/>
      <c r="F206" s="273"/>
      <c r="G206" s="273"/>
      <c r="H206" s="273"/>
      <c r="I206" s="273"/>
      <c r="J206" s="273"/>
      <c r="K206" s="973"/>
      <c r="L206" s="36"/>
      <c r="M206" s="713"/>
      <c r="N206" s="273"/>
      <c r="O206" s="1159"/>
      <c r="P206" s="363"/>
      <c r="Q206" s="363"/>
      <c r="R206" s="273"/>
      <c r="S206" s="273"/>
      <c r="T206" s="273"/>
      <c r="U206" s="273"/>
      <c r="V206" s="769"/>
      <c r="W206" s="273"/>
      <c r="X206" s="578"/>
      <c r="Y206" s="343"/>
      <c r="Z206" s="273"/>
      <c r="AA206" s="273"/>
      <c r="AB206" s="273"/>
      <c r="AC206" s="1077"/>
      <c r="AD206" s="364"/>
      <c r="AE206" s="273"/>
      <c r="AF206" s="364"/>
      <c r="AG206" s="364"/>
      <c r="AH206" s="1062"/>
      <c r="AI206" s="1052"/>
      <c r="AJ206" s="364"/>
      <c r="AK206" s="364"/>
      <c r="AL206" s="364"/>
      <c r="AM206" s="766"/>
      <c r="AN206" s="363"/>
      <c r="AO206" s="714"/>
    </row>
    <row r="207" spans="1:41" s="340" customFormat="1">
      <c r="A207" s="273"/>
      <c r="B207" s="361"/>
      <c r="C207" s="272"/>
      <c r="D207" s="365"/>
      <c r="E207" s="272"/>
      <c r="F207" s="273"/>
      <c r="G207" s="273"/>
      <c r="H207" s="273"/>
      <c r="I207" s="273"/>
      <c r="J207" s="273"/>
      <c r="K207" s="973"/>
      <c r="L207" s="36"/>
      <c r="M207" s="713"/>
      <c r="N207" s="273"/>
      <c r="O207" s="1159"/>
      <c r="P207" s="363"/>
      <c r="Q207" s="363"/>
      <c r="R207" s="273"/>
      <c r="S207" s="273"/>
      <c r="T207" s="273"/>
      <c r="U207" s="273"/>
      <c r="V207" s="769"/>
      <c r="W207" s="273"/>
      <c r="X207" s="578"/>
      <c r="Y207" s="343"/>
      <c r="Z207" s="273"/>
      <c r="AA207" s="273"/>
      <c r="AB207" s="273"/>
      <c r="AC207" s="1077"/>
      <c r="AD207" s="364"/>
      <c r="AE207" s="273"/>
      <c r="AF207" s="364"/>
      <c r="AG207" s="364"/>
      <c r="AH207" s="1062"/>
      <c r="AI207" s="1052"/>
      <c r="AJ207" s="364"/>
      <c r="AK207" s="364"/>
      <c r="AL207" s="364"/>
      <c r="AM207" s="766"/>
      <c r="AN207" s="363"/>
      <c r="AO207" s="714"/>
    </row>
    <row r="208" spans="1:41" s="340" customFormat="1">
      <c r="A208" s="273"/>
      <c r="B208" s="361"/>
      <c r="C208" s="272"/>
      <c r="D208" s="365"/>
      <c r="E208" s="272"/>
      <c r="F208" s="273"/>
      <c r="G208" s="273"/>
      <c r="H208" s="273"/>
      <c r="I208" s="273"/>
      <c r="J208" s="273"/>
      <c r="K208" s="973"/>
      <c r="L208" s="36"/>
      <c r="M208" s="713"/>
      <c r="N208" s="273"/>
      <c r="O208" s="1159"/>
      <c r="P208" s="363"/>
      <c r="Q208" s="363"/>
      <c r="R208" s="273"/>
      <c r="S208" s="273"/>
      <c r="T208" s="273"/>
      <c r="U208" s="273"/>
      <c r="V208" s="769"/>
      <c r="W208" s="273"/>
      <c r="X208" s="578"/>
      <c r="Y208" s="343"/>
      <c r="Z208" s="273"/>
      <c r="AA208" s="273"/>
      <c r="AB208" s="273"/>
      <c r="AC208" s="1077"/>
      <c r="AD208" s="364"/>
      <c r="AE208" s="273"/>
      <c r="AF208" s="364"/>
      <c r="AG208" s="364"/>
      <c r="AH208" s="1062"/>
      <c r="AI208" s="1052"/>
      <c r="AJ208" s="364"/>
      <c r="AK208" s="364"/>
      <c r="AL208" s="364"/>
      <c r="AM208" s="766"/>
      <c r="AN208" s="363"/>
      <c r="AO208" s="714"/>
    </row>
    <row r="209" spans="1:41" s="340" customFormat="1">
      <c r="A209" s="273"/>
      <c r="B209" s="361"/>
      <c r="C209" s="272"/>
      <c r="D209" s="365"/>
      <c r="E209" s="272"/>
      <c r="F209" s="273"/>
      <c r="G209" s="273"/>
      <c r="H209" s="273"/>
      <c r="I209" s="273"/>
      <c r="J209" s="273"/>
      <c r="K209" s="973"/>
      <c r="L209" s="36"/>
      <c r="M209" s="713"/>
      <c r="N209" s="273"/>
      <c r="O209" s="1159"/>
      <c r="P209" s="363"/>
      <c r="Q209" s="363"/>
      <c r="R209" s="273"/>
      <c r="S209" s="273"/>
      <c r="T209" s="273"/>
      <c r="U209" s="273"/>
      <c r="V209" s="769"/>
      <c r="W209" s="273"/>
      <c r="X209" s="578"/>
      <c r="Y209" s="343"/>
      <c r="Z209" s="273"/>
      <c r="AA209" s="273"/>
      <c r="AB209" s="273"/>
      <c r="AC209" s="1077"/>
      <c r="AD209" s="364"/>
      <c r="AE209" s="273"/>
      <c r="AF209" s="364"/>
      <c r="AG209" s="364"/>
      <c r="AH209" s="1062"/>
      <c r="AI209" s="1052"/>
      <c r="AJ209" s="364"/>
      <c r="AK209" s="364"/>
      <c r="AL209" s="364"/>
      <c r="AM209" s="766"/>
      <c r="AN209" s="363"/>
      <c r="AO209" s="714"/>
    </row>
    <row r="210" spans="1:41" s="340" customFormat="1">
      <c r="A210" s="273"/>
      <c r="B210" s="361"/>
      <c r="C210" s="272"/>
      <c r="D210" s="365"/>
      <c r="E210" s="272"/>
      <c r="F210" s="273"/>
      <c r="G210" s="273"/>
      <c r="H210" s="273"/>
      <c r="I210" s="273"/>
      <c r="J210" s="273"/>
      <c r="K210" s="973"/>
      <c r="L210" s="36"/>
      <c r="M210" s="713"/>
      <c r="N210" s="273"/>
      <c r="O210" s="1159"/>
      <c r="P210" s="363"/>
      <c r="Q210" s="363"/>
      <c r="R210" s="273"/>
      <c r="S210" s="273"/>
      <c r="T210" s="273"/>
      <c r="U210" s="273"/>
      <c r="V210" s="769"/>
      <c r="W210" s="273"/>
      <c r="X210" s="578"/>
      <c r="Y210" s="343"/>
      <c r="Z210" s="273"/>
      <c r="AA210" s="273"/>
      <c r="AB210" s="273"/>
      <c r="AC210" s="1077"/>
      <c r="AD210" s="364"/>
      <c r="AE210" s="273"/>
      <c r="AF210" s="364"/>
      <c r="AG210" s="364"/>
      <c r="AH210" s="1062"/>
      <c r="AI210" s="1052"/>
      <c r="AJ210" s="364"/>
      <c r="AK210" s="364"/>
      <c r="AL210" s="364"/>
      <c r="AM210" s="766"/>
      <c r="AN210" s="363"/>
      <c r="AO210" s="714"/>
    </row>
    <row r="211" spans="1:41" s="340" customFormat="1">
      <c r="A211" s="273"/>
      <c r="B211" s="361"/>
      <c r="C211" s="272"/>
      <c r="D211" s="365"/>
      <c r="E211" s="272"/>
      <c r="F211" s="273"/>
      <c r="G211" s="273"/>
      <c r="H211" s="273"/>
      <c r="I211" s="273"/>
      <c r="J211" s="273"/>
      <c r="K211" s="973"/>
      <c r="L211" s="36"/>
      <c r="M211" s="713"/>
      <c r="N211" s="273"/>
      <c r="O211" s="1159"/>
      <c r="P211" s="363"/>
      <c r="Q211" s="363"/>
      <c r="R211" s="273"/>
      <c r="S211" s="273"/>
      <c r="T211" s="273"/>
      <c r="U211" s="273"/>
      <c r="V211" s="769"/>
      <c r="W211" s="273"/>
      <c r="X211" s="578"/>
      <c r="Y211" s="343"/>
      <c r="Z211" s="273"/>
      <c r="AA211" s="273"/>
      <c r="AB211" s="273"/>
      <c r="AC211" s="1077"/>
      <c r="AD211" s="364"/>
      <c r="AE211" s="273"/>
      <c r="AF211" s="364"/>
      <c r="AG211" s="364"/>
      <c r="AH211" s="1062"/>
      <c r="AI211" s="1052"/>
      <c r="AJ211" s="364"/>
      <c r="AK211" s="364"/>
      <c r="AL211" s="364"/>
      <c r="AM211" s="766"/>
      <c r="AN211" s="363"/>
      <c r="AO211" s="714"/>
    </row>
    <row r="212" spans="1:41" s="340" customFormat="1">
      <c r="A212" s="273"/>
      <c r="B212" s="361"/>
      <c r="C212" s="272"/>
      <c r="D212" s="365"/>
      <c r="E212" s="272"/>
      <c r="F212" s="273"/>
      <c r="G212" s="273"/>
      <c r="H212" s="273"/>
      <c r="I212" s="273"/>
      <c r="J212" s="273"/>
      <c r="K212" s="973"/>
      <c r="L212" s="36"/>
      <c r="M212" s="713"/>
      <c r="N212" s="273"/>
      <c r="O212" s="1159"/>
      <c r="P212" s="363"/>
      <c r="Q212" s="363"/>
      <c r="R212" s="273"/>
      <c r="S212" s="273"/>
      <c r="T212" s="273"/>
      <c r="U212" s="273"/>
      <c r="V212" s="769"/>
      <c r="W212" s="273"/>
      <c r="X212" s="578"/>
      <c r="Y212" s="343"/>
      <c r="Z212" s="273"/>
      <c r="AA212" s="273"/>
      <c r="AB212" s="273"/>
      <c r="AC212" s="1077"/>
      <c r="AD212" s="364"/>
      <c r="AE212" s="273"/>
      <c r="AF212" s="364"/>
      <c r="AG212" s="364"/>
      <c r="AH212" s="1062"/>
      <c r="AI212" s="1052"/>
      <c r="AJ212" s="364"/>
      <c r="AK212" s="364"/>
      <c r="AL212" s="364"/>
      <c r="AM212" s="766"/>
      <c r="AN212" s="363"/>
      <c r="AO212" s="714"/>
    </row>
    <row r="213" spans="1:41" s="340" customFormat="1">
      <c r="A213" s="273"/>
      <c r="B213" s="361"/>
      <c r="C213" s="272"/>
      <c r="D213" s="365"/>
      <c r="E213" s="272"/>
      <c r="F213" s="273"/>
      <c r="G213" s="273"/>
      <c r="H213" s="273"/>
      <c r="I213" s="273"/>
      <c r="J213" s="273"/>
      <c r="K213" s="973"/>
      <c r="L213" s="36"/>
      <c r="M213" s="713"/>
      <c r="N213" s="273"/>
      <c r="O213" s="1159"/>
      <c r="P213" s="363"/>
      <c r="Q213" s="363"/>
      <c r="R213" s="273"/>
      <c r="S213" s="273"/>
      <c r="T213" s="273"/>
      <c r="U213" s="273"/>
      <c r="V213" s="769"/>
      <c r="W213" s="273"/>
      <c r="X213" s="578"/>
      <c r="Y213" s="343"/>
      <c r="Z213" s="273"/>
      <c r="AA213" s="273"/>
      <c r="AB213" s="273"/>
      <c r="AC213" s="1077"/>
      <c r="AD213" s="364"/>
      <c r="AE213" s="273"/>
      <c r="AF213" s="364"/>
      <c r="AG213" s="364"/>
      <c r="AH213" s="1062"/>
      <c r="AI213" s="1052"/>
      <c r="AJ213" s="364"/>
      <c r="AK213" s="364"/>
      <c r="AL213" s="364"/>
      <c r="AM213" s="766"/>
      <c r="AN213" s="363"/>
      <c r="AO213" s="714"/>
    </row>
    <row r="214" spans="1:41" s="340" customFormat="1">
      <c r="A214" s="273"/>
      <c r="B214" s="361"/>
      <c r="C214" s="272"/>
      <c r="D214" s="365"/>
      <c r="E214" s="272"/>
      <c r="F214" s="273"/>
      <c r="G214" s="273"/>
      <c r="H214" s="273"/>
      <c r="I214" s="273"/>
      <c r="J214" s="273"/>
      <c r="K214" s="973"/>
      <c r="L214" s="36"/>
      <c r="M214" s="713"/>
      <c r="N214" s="273"/>
      <c r="O214" s="1159"/>
      <c r="P214" s="363"/>
      <c r="Q214" s="363"/>
      <c r="R214" s="273"/>
      <c r="S214" s="273"/>
      <c r="T214" s="273"/>
      <c r="U214" s="273"/>
      <c r="V214" s="769"/>
      <c r="W214" s="273"/>
      <c r="X214" s="578"/>
      <c r="Y214" s="343"/>
      <c r="Z214" s="273"/>
      <c r="AA214" s="273"/>
      <c r="AB214" s="273"/>
      <c r="AC214" s="1077"/>
      <c r="AD214" s="364"/>
      <c r="AE214" s="273"/>
      <c r="AF214" s="364"/>
      <c r="AG214" s="364"/>
      <c r="AH214" s="1062"/>
      <c r="AI214" s="1052"/>
      <c r="AJ214" s="364"/>
      <c r="AK214" s="364"/>
      <c r="AL214" s="364"/>
      <c r="AM214" s="766"/>
      <c r="AN214" s="363"/>
      <c r="AO214" s="714"/>
    </row>
    <row r="215" spans="1:41" s="340" customFormat="1">
      <c r="A215" s="273"/>
      <c r="B215" s="361"/>
      <c r="C215" s="272"/>
      <c r="D215" s="365"/>
      <c r="E215" s="272"/>
      <c r="F215" s="273"/>
      <c r="G215" s="273"/>
      <c r="H215" s="273"/>
      <c r="I215" s="273"/>
      <c r="J215" s="273"/>
      <c r="K215" s="973"/>
      <c r="L215" s="36"/>
      <c r="M215" s="713"/>
      <c r="N215" s="273"/>
      <c r="O215" s="1159"/>
      <c r="P215" s="363"/>
      <c r="Q215" s="363"/>
      <c r="R215" s="273"/>
      <c r="S215" s="273"/>
      <c r="T215" s="273"/>
      <c r="U215" s="273"/>
      <c r="V215" s="769"/>
      <c r="W215" s="273"/>
      <c r="X215" s="578"/>
      <c r="Y215" s="343"/>
      <c r="Z215" s="273"/>
      <c r="AA215" s="273"/>
      <c r="AB215" s="273"/>
      <c r="AC215" s="1077"/>
      <c r="AD215" s="364"/>
      <c r="AE215" s="273"/>
      <c r="AF215" s="364"/>
      <c r="AG215" s="364"/>
      <c r="AH215" s="1062"/>
      <c r="AI215" s="1052"/>
      <c r="AJ215" s="364"/>
      <c r="AK215" s="364"/>
      <c r="AL215" s="364"/>
      <c r="AM215" s="766"/>
      <c r="AN215" s="363"/>
      <c r="AO215" s="714"/>
    </row>
    <row r="216" spans="1:41" s="340" customFormat="1">
      <c r="A216" s="273"/>
      <c r="B216" s="361"/>
      <c r="C216" s="272"/>
      <c r="D216" s="365"/>
      <c r="E216" s="272"/>
      <c r="F216" s="273"/>
      <c r="G216" s="273"/>
      <c r="H216" s="273"/>
      <c r="I216" s="273"/>
      <c r="J216" s="273"/>
      <c r="K216" s="973"/>
      <c r="L216" s="36"/>
      <c r="M216" s="713"/>
      <c r="N216" s="273"/>
      <c r="O216" s="1159"/>
      <c r="P216" s="363"/>
      <c r="Q216" s="363"/>
      <c r="R216" s="273"/>
      <c r="S216" s="273"/>
      <c r="T216" s="273"/>
      <c r="U216" s="273"/>
      <c r="V216" s="769"/>
      <c r="W216" s="273"/>
      <c r="X216" s="578"/>
      <c r="Y216" s="343"/>
      <c r="Z216" s="273"/>
      <c r="AA216" s="273"/>
      <c r="AB216" s="273"/>
      <c r="AC216" s="1077"/>
      <c r="AD216" s="364"/>
      <c r="AE216" s="273"/>
      <c r="AF216" s="364"/>
      <c r="AG216" s="364"/>
      <c r="AH216" s="1062"/>
      <c r="AI216" s="1052"/>
      <c r="AJ216" s="364"/>
      <c r="AK216" s="364"/>
      <c r="AL216" s="364"/>
      <c r="AM216" s="766"/>
      <c r="AN216" s="363"/>
      <c r="AO216" s="714"/>
    </row>
    <row r="217" spans="1:41" s="340" customFormat="1">
      <c r="A217" s="273"/>
      <c r="B217" s="361"/>
      <c r="C217" s="272"/>
      <c r="D217" s="365"/>
      <c r="E217" s="272"/>
      <c r="F217" s="273"/>
      <c r="G217" s="273"/>
      <c r="H217" s="273"/>
      <c r="I217" s="273"/>
      <c r="J217" s="273"/>
      <c r="K217" s="973"/>
      <c r="L217" s="36"/>
      <c r="M217" s="713"/>
      <c r="N217" s="273"/>
      <c r="O217" s="1159"/>
      <c r="P217" s="363"/>
      <c r="Q217" s="363"/>
      <c r="R217" s="273"/>
      <c r="S217" s="273"/>
      <c r="T217" s="273"/>
      <c r="U217" s="273"/>
      <c r="V217" s="769"/>
      <c r="W217" s="273"/>
      <c r="X217" s="578"/>
      <c r="Y217" s="343"/>
      <c r="Z217" s="273"/>
      <c r="AA217" s="273"/>
      <c r="AB217" s="273"/>
      <c r="AC217" s="1077"/>
      <c r="AD217" s="364"/>
      <c r="AE217" s="273"/>
      <c r="AF217" s="364"/>
      <c r="AG217" s="364"/>
      <c r="AH217" s="1062"/>
      <c r="AI217" s="1052"/>
      <c r="AJ217" s="364"/>
      <c r="AK217" s="364"/>
      <c r="AL217" s="364"/>
      <c r="AM217" s="766"/>
      <c r="AN217" s="363"/>
      <c r="AO217" s="714"/>
    </row>
    <row r="218" spans="1:41" s="340" customFormat="1">
      <c r="A218" s="273"/>
      <c r="B218" s="361"/>
      <c r="C218" s="272"/>
      <c r="D218" s="365"/>
      <c r="E218" s="272"/>
      <c r="F218" s="273"/>
      <c r="G218" s="273"/>
      <c r="H218" s="273"/>
      <c r="I218" s="273"/>
      <c r="J218" s="273"/>
      <c r="K218" s="973"/>
      <c r="L218" s="36"/>
      <c r="M218" s="713"/>
      <c r="N218" s="273"/>
      <c r="O218" s="1159"/>
      <c r="P218" s="363"/>
      <c r="Q218" s="363"/>
      <c r="R218" s="273"/>
      <c r="S218" s="273"/>
      <c r="T218" s="273"/>
      <c r="U218" s="273"/>
      <c r="V218" s="769"/>
      <c r="W218" s="273"/>
      <c r="X218" s="578"/>
      <c r="Y218" s="343"/>
      <c r="Z218" s="273"/>
      <c r="AA218" s="273"/>
      <c r="AB218" s="273"/>
      <c r="AC218" s="1077"/>
      <c r="AD218" s="364"/>
      <c r="AE218" s="273"/>
      <c r="AF218" s="364"/>
      <c r="AG218" s="364"/>
      <c r="AH218" s="1062"/>
      <c r="AI218" s="1052"/>
      <c r="AJ218" s="364"/>
      <c r="AK218" s="364"/>
      <c r="AL218" s="364"/>
      <c r="AM218" s="766"/>
      <c r="AN218" s="363"/>
      <c r="AO218" s="714"/>
    </row>
    <row r="219" spans="1:41" s="340" customFormat="1">
      <c r="A219" s="273"/>
      <c r="B219" s="361"/>
      <c r="C219" s="272"/>
      <c r="D219" s="365"/>
      <c r="E219" s="272"/>
      <c r="F219" s="273"/>
      <c r="G219" s="273"/>
      <c r="H219" s="273"/>
      <c r="I219" s="273"/>
      <c r="J219" s="273"/>
      <c r="K219" s="973"/>
      <c r="L219" s="36"/>
      <c r="M219" s="713"/>
      <c r="N219" s="273"/>
      <c r="O219" s="1159"/>
      <c r="P219" s="363"/>
      <c r="Q219" s="363"/>
      <c r="R219" s="273"/>
      <c r="S219" s="273"/>
      <c r="T219" s="273"/>
      <c r="U219" s="273"/>
      <c r="V219" s="769"/>
      <c r="W219" s="273"/>
      <c r="X219" s="578"/>
      <c r="Y219" s="343"/>
      <c r="Z219" s="273"/>
      <c r="AA219" s="273"/>
      <c r="AB219" s="273"/>
      <c r="AC219" s="1077"/>
      <c r="AD219" s="364"/>
      <c r="AE219" s="273"/>
      <c r="AF219" s="364"/>
      <c r="AG219" s="364"/>
      <c r="AH219" s="1062"/>
      <c r="AI219" s="1052"/>
      <c r="AJ219" s="364"/>
      <c r="AK219" s="364"/>
      <c r="AL219" s="364"/>
      <c r="AM219" s="766"/>
      <c r="AN219" s="363"/>
      <c r="AO219" s="714"/>
    </row>
    <row r="220" spans="1:41" s="340" customFormat="1">
      <c r="A220" s="273"/>
      <c r="B220" s="361"/>
      <c r="C220" s="272"/>
      <c r="D220" s="365"/>
      <c r="E220" s="272"/>
      <c r="F220" s="273"/>
      <c r="G220" s="273"/>
      <c r="H220" s="273"/>
      <c r="I220" s="273"/>
      <c r="J220" s="273"/>
      <c r="K220" s="973"/>
      <c r="L220" s="36"/>
      <c r="M220" s="713"/>
      <c r="N220" s="273"/>
      <c r="O220" s="1159"/>
      <c r="P220" s="363"/>
      <c r="Q220" s="363"/>
      <c r="R220" s="273"/>
      <c r="S220" s="273"/>
      <c r="T220" s="273"/>
      <c r="U220" s="273"/>
      <c r="V220" s="769"/>
      <c r="W220" s="273"/>
      <c r="X220" s="578"/>
      <c r="Y220" s="343"/>
      <c r="Z220" s="273"/>
      <c r="AA220" s="273"/>
      <c r="AB220" s="273"/>
      <c r="AC220" s="1077"/>
      <c r="AD220" s="364"/>
      <c r="AE220" s="273"/>
      <c r="AF220" s="364"/>
      <c r="AG220" s="364"/>
      <c r="AH220" s="1062"/>
      <c r="AI220" s="1052"/>
      <c r="AJ220" s="364"/>
      <c r="AK220" s="364"/>
      <c r="AL220" s="364"/>
      <c r="AM220" s="766"/>
      <c r="AN220" s="363"/>
      <c r="AO220" s="714"/>
    </row>
    <row r="221" spans="1:41" s="340" customFormat="1">
      <c r="A221" s="273"/>
      <c r="B221" s="361"/>
      <c r="C221" s="272"/>
      <c r="D221" s="365"/>
      <c r="E221" s="272"/>
      <c r="F221" s="273"/>
      <c r="G221" s="273"/>
      <c r="H221" s="273"/>
      <c r="I221" s="273"/>
      <c r="J221" s="273"/>
      <c r="K221" s="973"/>
      <c r="L221" s="36"/>
      <c r="M221" s="713"/>
      <c r="N221" s="273"/>
      <c r="O221" s="1159"/>
      <c r="P221" s="363"/>
      <c r="Q221" s="363"/>
      <c r="R221" s="273"/>
      <c r="S221" s="273"/>
      <c r="T221" s="273"/>
      <c r="U221" s="273"/>
      <c r="V221" s="769"/>
      <c r="W221" s="273"/>
      <c r="X221" s="578"/>
      <c r="Y221" s="343"/>
      <c r="Z221" s="273"/>
      <c r="AA221" s="273"/>
      <c r="AB221" s="273"/>
      <c r="AC221" s="1077"/>
      <c r="AD221" s="364"/>
      <c r="AE221" s="273"/>
      <c r="AF221" s="364"/>
      <c r="AG221" s="364"/>
      <c r="AH221" s="1062"/>
      <c r="AI221" s="1052"/>
      <c r="AJ221" s="364"/>
      <c r="AK221" s="364"/>
      <c r="AL221" s="364"/>
      <c r="AM221" s="766"/>
      <c r="AN221" s="363"/>
      <c r="AO221" s="714"/>
    </row>
    <row r="222" spans="1:41" s="340" customFormat="1">
      <c r="A222" s="273"/>
      <c r="B222" s="361"/>
      <c r="C222" s="272"/>
      <c r="D222" s="365"/>
      <c r="E222" s="272"/>
      <c r="F222" s="273"/>
      <c r="G222" s="273"/>
      <c r="H222" s="273"/>
      <c r="I222" s="273"/>
      <c r="J222" s="273"/>
      <c r="K222" s="973"/>
      <c r="L222" s="36"/>
      <c r="M222" s="713"/>
      <c r="N222" s="273"/>
      <c r="O222" s="1159"/>
      <c r="P222" s="363"/>
      <c r="Q222" s="363"/>
      <c r="R222" s="273"/>
      <c r="S222" s="273"/>
      <c r="T222" s="273"/>
      <c r="U222" s="273"/>
      <c r="V222" s="769"/>
      <c r="W222" s="273"/>
      <c r="X222" s="578"/>
      <c r="Y222" s="343"/>
      <c r="Z222" s="273"/>
      <c r="AA222" s="273"/>
      <c r="AB222" s="273"/>
      <c r="AC222" s="1077"/>
      <c r="AD222" s="364"/>
      <c r="AE222" s="273"/>
      <c r="AF222" s="364"/>
      <c r="AG222" s="364"/>
      <c r="AH222" s="1062"/>
      <c r="AI222" s="1052"/>
      <c r="AJ222" s="364"/>
      <c r="AK222" s="364"/>
      <c r="AL222" s="364"/>
      <c r="AM222" s="766"/>
      <c r="AN222" s="363"/>
      <c r="AO222" s="714"/>
    </row>
    <row r="223" spans="1:41" s="340" customFormat="1">
      <c r="A223" s="273"/>
      <c r="B223" s="361"/>
      <c r="C223" s="272"/>
      <c r="D223" s="365"/>
      <c r="E223" s="272"/>
      <c r="F223" s="273"/>
      <c r="G223" s="273"/>
      <c r="H223" s="273"/>
      <c r="I223" s="273"/>
      <c r="J223" s="273"/>
      <c r="K223" s="973"/>
      <c r="L223" s="36"/>
      <c r="M223" s="713"/>
      <c r="N223" s="273"/>
      <c r="O223" s="1159"/>
      <c r="P223" s="363"/>
      <c r="Q223" s="363"/>
      <c r="R223" s="273"/>
      <c r="S223" s="273"/>
      <c r="T223" s="273"/>
      <c r="U223" s="273"/>
      <c r="V223" s="769"/>
      <c r="W223" s="273"/>
      <c r="X223" s="578"/>
      <c r="Y223" s="343"/>
      <c r="Z223" s="273"/>
      <c r="AA223" s="273"/>
      <c r="AB223" s="273"/>
      <c r="AC223" s="1077"/>
      <c r="AD223" s="364"/>
      <c r="AE223" s="273"/>
      <c r="AF223" s="364"/>
      <c r="AG223" s="364"/>
      <c r="AH223" s="1062"/>
      <c r="AI223" s="1052"/>
      <c r="AJ223" s="364"/>
      <c r="AK223" s="364"/>
      <c r="AL223" s="364"/>
      <c r="AM223" s="766"/>
      <c r="AN223" s="363"/>
      <c r="AO223" s="714"/>
    </row>
    <row r="224" spans="1:41" s="340" customFormat="1">
      <c r="A224" s="273"/>
      <c r="B224" s="361"/>
      <c r="C224" s="272"/>
      <c r="D224" s="365"/>
      <c r="E224" s="272"/>
      <c r="F224" s="273"/>
      <c r="G224" s="273"/>
      <c r="H224" s="273"/>
      <c r="I224" s="273"/>
      <c r="J224" s="273"/>
      <c r="K224" s="973"/>
      <c r="L224" s="36"/>
      <c r="M224" s="713"/>
      <c r="N224" s="273"/>
      <c r="O224" s="1159"/>
      <c r="P224" s="363"/>
      <c r="Q224" s="363"/>
      <c r="R224" s="273"/>
      <c r="S224" s="273"/>
      <c r="T224" s="273"/>
      <c r="U224" s="273"/>
      <c r="V224" s="769"/>
      <c r="W224" s="273"/>
      <c r="X224" s="578"/>
      <c r="Y224" s="343"/>
      <c r="Z224" s="273"/>
      <c r="AA224" s="273"/>
      <c r="AB224" s="273"/>
      <c r="AC224" s="1077"/>
      <c r="AD224" s="364"/>
      <c r="AE224" s="273"/>
      <c r="AF224" s="364"/>
      <c r="AG224" s="364"/>
      <c r="AH224" s="1062"/>
      <c r="AI224" s="1052"/>
      <c r="AJ224" s="364"/>
      <c r="AK224" s="364"/>
      <c r="AL224" s="364"/>
      <c r="AM224" s="766"/>
      <c r="AN224" s="363"/>
      <c r="AO224" s="714"/>
    </row>
    <row r="225" spans="1:41" s="340" customFormat="1">
      <c r="A225" s="273"/>
      <c r="B225" s="361"/>
      <c r="C225" s="272"/>
      <c r="D225" s="365"/>
      <c r="E225" s="272"/>
      <c r="F225" s="273"/>
      <c r="G225" s="273"/>
      <c r="H225" s="273"/>
      <c r="I225" s="273"/>
      <c r="J225" s="273"/>
      <c r="K225" s="973"/>
      <c r="L225" s="36"/>
      <c r="M225" s="713"/>
      <c r="N225" s="273"/>
      <c r="O225" s="1159"/>
      <c r="P225" s="363"/>
      <c r="Q225" s="363"/>
      <c r="R225" s="273"/>
      <c r="S225" s="273"/>
      <c r="T225" s="273"/>
      <c r="U225" s="273"/>
      <c r="V225" s="769"/>
      <c r="W225" s="273"/>
      <c r="X225" s="578"/>
      <c r="Y225" s="343"/>
      <c r="Z225" s="273"/>
      <c r="AA225" s="273"/>
      <c r="AB225" s="273"/>
      <c r="AC225" s="1077"/>
      <c r="AD225" s="364"/>
      <c r="AE225" s="273"/>
      <c r="AF225" s="364"/>
      <c r="AG225" s="364"/>
      <c r="AH225" s="1062"/>
      <c r="AI225" s="1052"/>
      <c r="AJ225" s="364"/>
      <c r="AK225" s="364"/>
      <c r="AL225" s="364"/>
      <c r="AM225" s="766"/>
      <c r="AN225" s="363"/>
      <c r="AO225" s="714"/>
    </row>
    <row r="226" spans="1:41" s="340" customFormat="1">
      <c r="A226" s="273"/>
      <c r="B226" s="361"/>
      <c r="C226" s="272"/>
      <c r="D226" s="365"/>
      <c r="E226" s="272"/>
      <c r="F226" s="273"/>
      <c r="G226" s="273"/>
      <c r="H226" s="273"/>
      <c r="I226" s="273"/>
      <c r="J226" s="273"/>
      <c r="K226" s="973"/>
      <c r="L226" s="36"/>
      <c r="M226" s="713"/>
      <c r="N226" s="273"/>
      <c r="O226" s="1159"/>
      <c r="P226" s="363"/>
      <c r="Q226" s="363"/>
      <c r="R226" s="273"/>
      <c r="S226" s="273"/>
      <c r="T226" s="273"/>
      <c r="U226" s="273"/>
      <c r="V226" s="769"/>
      <c r="W226" s="273"/>
      <c r="X226" s="578"/>
      <c r="Y226" s="343"/>
      <c r="Z226" s="273"/>
      <c r="AA226" s="273"/>
      <c r="AB226" s="273"/>
      <c r="AC226" s="1077"/>
      <c r="AD226" s="364"/>
      <c r="AE226" s="273"/>
      <c r="AF226" s="364"/>
      <c r="AG226" s="364"/>
      <c r="AH226" s="1062"/>
      <c r="AI226" s="1052"/>
      <c r="AJ226" s="364"/>
      <c r="AK226" s="364"/>
      <c r="AL226" s="364"/>
      <c r="AM226" s="766"/>
      <c r="AN226" s="363"/>
      <c r="AO226" s="714"/>
    </row>
    <row r="227" spans="1:41" s="340" customFormat="1">
      <c r="A227" s="273"/>
      <c r="B227" s="361"/>
      <c r="C227" s="272"/>
      <c r="D227" s="365"/>
      <c r="E227" s="272"/>
      <c r="F227" s="273"/>
      <c r="G227" s="273"/>
      <c r="H227" s="273"/>
      <c r="I227" s="273"/>
      <c r="J227" s="273"/>
      <c r="K227" s="973"/>
      <c r="L227" s="36"/>
      <c r="M227" s="713"/>
      <c r="N227" s="273"/>
      <c r="O227" s="1159"/>
      <c r="P227" s="363"/>
      <c r="Q227" s="363"/>
      <c r="R227" s="273"/>
      <c r="S227" s="273"/>
      <c r="T227" s="273"/>
      <c r="U227" s="273"/>
      <c r="V227" s="769"/>
      <c r="W227" s="273"/>
      <c r="X227" s="578"/>
      <c r="Y227" s="343"/>
      <c r="Z227" s="273"/>
      <c r="AA227" s="273"/>
      <c r="AB227" s="273"/>
      <c r="AC227" s="1077"/>
      <c r="AD227" s="364"/>
      <c r="AE227" s="273"/>
      <c r="AF227" s="364"/>
      <c r="AG227" s="364"/>
      <c r="AH227" s="1062"/>
      <c r="AI227" s="1052"/>
      <c r="AJ227" s="364"/>
      <c r="AK227" s="364"/>
      <c r="AL227" s="364"/>
      <c r="AM227" s="766"/>
      <c r="AN227" s="363"/>
      <c r="AO227" s="714"/>
    </row>
    <row r="228" spans="1:41" s="340" customFormat="1">
      <c r="A228" s="273"/>
      <c r="B228" s="361"/>
      <c r="C228" s="272"/>
      <c r="D228" s="365"/>
      <c r="E228" s="272"/>
      <c r="F228" s="273"/>
      <c r="G228" s="273"/>
      <c r="H228" s="273"/>
      <c r="I228" s="273"/>
      <c r="J228" s="273"/>
      <c r="K228" s="973"/>
      <c r="L228" s="36"/>
      <c r="M228" s="713"/>
      <c r="N228" s="273"/>
      <c r="O228" s="1159"/>
      <c r="P228" s="363"/>
      <c r="Q228" s="363"/>
      <c r="R228" s="273"/>
      <c r="S228" s="273"/>
      <c r="T228" s="273"/>
      <c r="U228" s="273"/>
      <c r="V228" s="769"/>
      <c r="W228" s="273"/>
      <c r="X228" s="578"/>
      <c r="Y228" s="343"/>
      <c r="Z228" s="273"/>
      <c r="AA228" s="273"/>
      <c r="AB228" s="273"/>
      <c r="AC228" s="1077"/>
      <c r="AD228" s="364"/>
      <c r="AE228" s="273"/>
      <c r="AF228" s="364"/>
      <c r="AG228" s="364"/>
      <c r="AH228" s="1062"/>
      <c r="AI228" s="1052"/>
      <c r="AJ228" s="364"/>
      <c r="AK228" s="364"/>
      <c r="AL228" s="364"/>
      <c r="AM228" s="766"/>
      <c r="AN228" s="363"/>
      <c r="AO228" s="714"/>
    </row>
    <row r="229" spans="1:41">
      <c r="A229" s="273"/>
      <c r="B229" s="361"/>
      <c r="C229" s="272"/>
      <c r="D229" s="365"/>
      <c r="E229" s="272"/>
      <c r="F229" s="273"/>
      <c r="G229" s="273"/>
      <c r="H229" s="273"/>
      <c r="I229" s="273"/>
      <c r="J229" s="273"/>
      <c r="K229" s="973"/>
      <c r="N229" s="273"/>
      <c r="O229" s="1159"/>
      <c r="P229" s="363"/>
      <c r="Q229" s="363"/>
      <c r="R229" s="273"/>
      <c r="S229" s="273"/>
      <c r="T229" s="273"/>
      <c r="U229" s="363"/>
      <c r="V229" s="769"/>
      <c r="W229" s="273"/>
      <c r="X229" s="578"/>
      <c r="Z229" s="273"/>
      <c r="AA229" s="273"/>
      <c r="AB229" s="273"/>
      <c r="AC229" s="1077"/>
      <c r="AD229" s="364"/>
      <c r="AE229" s="273"/>
      <c r="AF229" s="364"/>
      <c r="AG229" s="364"/>
      <c r="AJ229" s="364"/>
      <c r="AK229" s="364"/>
      <c r="AL229" s="364"/>
      <c r="AM229" s="766"/>
      <c r="AN229" s="272"/>
      <c r="AO229" s="753"/>
    </row>
    <row r="230" spans="1:41">
      <c r="A230" s="273"/>
      <c r="B230" s="361"/>
      <c r="C230" s="272"/>
      <c r="D230" s="365"/>
      <c r="E230" s="272"/>
      <c r="F230" s="273"/>
      <c r="G230" s="273"/>
      <c r="H230" s="273"/>
      <c r="I230" s="273"/>
      <c r="J230" s="273"/>
      <c r="K230" s="973"/>
      <c r="N230" s="273"/>
      <c r="O230" s="1159"/>
      <c r="P230" s="363"/>
      <c r="Q230" s="363"/>
      <c r="R230" s="273"/>
      <c r="S230" s="273"/>
      <c r="T230" s="273"/>
      <c r="U230" s="363"/>
      <c r="V230" s="769"/>
      <c r="W230" s="273"/>
      <c r="X230" s="578"/>
      <c r="Z230" s="273"/>
      <c r="AA230" s="273"/>
      <c r="AB230" s="273"/>
      <c r="AC230" s="1077"/>
      <c r="AD230" s="364"/>
      <c r="AE230" s="273"/>
      <c r="AF230" s="364"/>
      <c r="AG230" s="364"/>
      <c r="AJ230" s="364"/>
      <c r="AK230" s="364"/>
      <c r="AL230" s="364"/>
      <c r="AM230" s="766"/>
      <c r="AN230" s="272"/>
      <c r="AO230" s="753"/>
    </row>
    <row r="231" spans="1:41">
      <c r="A231" s="273"/>
      <c r="B231" s="361"/>
      <c r="C231" s="272"/>
      <c r="D231" s="365"/>
      <c r="E231" s="272"/>
      <c r="F231" s="273"/>
      <c r="G231" s="273"/>
      <c r="H231" s="273"/>
      <c r="I231" s="273"/>
      <c r="J231" s="273"/>
      <c r="K231" s="973"/>
      <c r="N231" s="273"/>
      <c r="O231" s="1159"/>
      <c r="P231" s="363"/>
      <c r="Q231" s="363"/>
      <c r="R231" s="273"/>
      <c r="S231" s="273"/>
      <c r="T231" s="273"/>
      <c r="U231" s="363"/>
      <c r="V231" s="769"/>
      <c r="W231" s="273"/>
      <c r="X231" s="578"/>
      <c r="Z231" s="273"/>
      <c r="AA231" s="273"/>
      <c r="AB231" s="273"/>
      <c r="AC231" s="1077"/>
      <c r="AD231" s="364"/>
      <c r="AE231" s="273"/>
      <c r="AF231" s="364"/>
      <c r="AG231" s="364"/>
      <c r="AJ231" s="364"/>
      <c r="AK231" s="364"/>
      <c r="AL231" s="364"/>
      <c r="AM231" s="766"/>
      <c r="AN231" s="272"/>
      <c r="AO231" s="753"/>
    </row>
    <row r="232" spans="1:41">
      <c r="A232" s="273"/>
      <c r="B232" s="361"/>
      <c r="C232" s="272"/>
      <c r="D232" s="365"/>
      <c r="E232" s="272"/>
      <c r="F232" s="273"/>
      <c r="G232" s="273"/>
      <c r="H232" s="273"/>
      <c r="I232" s="273"/>
      <c r="J232" s="273"/>
      <c r="K232" s="973"/>
      <c r="N232" s="273"/>
      <c r="O232" s="1159"/>
      <c r="P232" s="363"/>
      <c r="Q232" s="363"/>
      <c r="R232" s="273"/>
      <c r="S232" s="273"/>
      <c r="T232" s="273"/>
      <c r="U232" s="363"/>
      <c r="V232" s="769"/>
      <c r="W232" s="273"/>
      <c r="X232" s="578"/>
      <c r="Z232" s="273"/>
      <c r="AA232" s="273"/>
      <c r="AB232" s="273"/>
      <c r="AC232" s="1077"/>
      <c r="AD232" s="364"/>
      <c r="AE232" s="273"/>
      <c r="AF232" s="364"/>
      <c r="AG232" s="364"/>
      <c r="AJ232" s="364"/>
      <c r="AK232" s="364"/>
      <c r="AL232" s="364"/>
      <c r="AM232" s="766"/>
      <c r="AN232" s="272"/>
      <c r="AO232" s="753"/>
    </row>
    <row r="233" spans="1:41">
      <c r="A233" s="273"/>
      <c r="B233" s="361"/>
      <c r="C233" s="272"/>
      <c r="D233" s="365"/>
      <c r="E233" s="272"/>
      <c r="F233" s="273"/>
      <c r="G233" s="273"/>
      <c r="H233" s="273"/>
      <c r="I233" s="273"/>
      <c r="J233" s="273"/>
      <c r="K233" s="973"/>
      <c r="N233" s="273"/>
      <c r="O233" s="1159"/>
      <c r="P233" s="363"/>
      <c r="Q233" s="363"/>
      <c r="R233" s="273"/>
      <c r="S233" s="273"/>
      <c r="T233" s="273"/>
      <c r="U233" s="363"/>
      <c r="V233" s="769"/>
      <c r="W233" s="273"/>
      <c r="X233" s="578"/>
      <c r="Z233" s="273"/>
      <c r="AA233" s="273"/>
      <c r="AB233" s="273"/>
      <c r="AC233" s="1077"/>
      <c r="AD233" s="364"/>
      <c r="AE233" s="273"/>
      <c r="AF233" s="364"/>
      <c r="AG233" s="364"/>
      <c r="AJ233" s="364"/>
      <c r="AK233" s="364"/>
      <c r="AL233" s="364"/>
      <c r="AM233" s="766"/>
      <c r="AN233" s="272"/>
      <c r="AO233" s="753"/>
    </row>
    <row r="234" spans="1:41">
      <c r="A234" s="273"/>
      <c r="B234" s="361"/>
      <c r="C234" s="272"/>
      <c r="D234" s="365"/>
      <c r="E234" s="272"/>
      <c r="F234" s="273"/>
      <c r="G234" s="273"/>
      <c r="H234" s="273"/>
      <c r="I234" s="273"/>
      <c r="J234" s="273"/>
      <c r="K234" s="973"/>
      <c r="N234" s="273"/>
      <c r="O234" s="1159"/>
      <c r="P234" s="363"/>
      <c r="Q234" s="363"/>
      <c r="R234" s="273"/>
      <c r="S234" s="273"/>
      <c r="T234" s="273"/>
      <c r="U234" s="363"/>
      <c r="V234" s="769"/>
      <c r="W234" s="273"/>
      <c r="X234" s="578"/>
      <c r="Z234" s="273"/>
      <c r="AA234" s="273"/>
      <c r="AB234" s="273"/>
      <c r="AC234" s="1077"/>
      <c r="AD234" s="364"/>
      <c r="AE234" s="273"/>
      <c r="AF234" s="364"/>
      <c r="AG234" s="364"/>
      <c r="AJ234" s="364"/>
      <c r="AK234" s="364"/>
      <c r="AL234" s="364"/>
      <c r="AM234" s="766"/>
      <c r="AN234" s="272"/>
      <c r="AO234" s="753"/>
    </row>
    <row r="235" spans="1:41">
      <c r="A235" s="273"/>
      <c r="B235" s="361"/>
      <c r="C235" s="272"/>
      <c r="D235" s="365"/>
      <c r="E235" s="272"/>
      <c r="F235" s="273"/>
      <c r="G235" s="273"/>
      <c r="H235" s="273"/>
      <c r="I235" s="273"/>
      <c r="J235" s="273"/>
      <c r="K235" s="973"/>
      <c r="N235" s="273"/>
      <c r="O235" s="1159"/>
      <c r="P235" s="363"/>
      <c r="Q235" s="363"/>
      <c r="R235" s="273"/>
      <c r="S235" s="273"/>
      <c r="T235" s="273"/>
      <c r="U235" s="363"/>
      <c r="V235" s="769"/>
      <c r="W235" s="273"/>
      <c r="X235" s="578"/>
      <c r="Z235" s="273"/>
      <c r="AA235" s="273"/>
      <c r="AB235" s="273"/>
      <c r="AC235" s="1077"/>
      <c r="AD235" s="364"/>
      <c r="AE235" s="273"/>
      <c r="AF235" s="364"/>
      <c r="AG235" s="364"/>
      <c r="AJ235" s="364"/>
      <c r="AK235" s="364"/>
      <c r="AL235" s="364"/>
      <c r="AM235" s="766"/>
      <c r="AN235" s="272"/>
      <c r="AO235" s="753"/>
    </row>
  </sheetData>
  <autoFilter ref="A2:AD37" xr:uid="{6E147DCE-A6F4-47F7-9F8B-7CFC47C10580}"/>
  <mergeCells count="16">
    <mergeCell ref="AM9:AM10"/>
    <mergeCell ref="A70:A72"/>
    <mergeCell ref="AJ9:AJ10"/>
    <mergeCell ref="AE9:AE10"/>
    <mergeCell ref="O9:O10"/>
    <mergeCell ref="AF1:AL1"/>
    <mergeCell ref="L2:M2"/>
    <mergeCell ref="B9:B10"/>
    <mergeCell ref="V9:V10"/>
    <mergeCell ref="G9:G10"/>
    <mergeCell ref="AK9:AK10"/>
    <mergeCell ref="AL9:AL10"/>
    <mergeCell ref="AF9:AF10"/>
    <mergeCell ref="AI9:AI10"/>
    <mergeCell ref="AH9:AH10"/>
    <mergeCell ref="AG9:AG10"/>
  </mergeCells>
  <phoneticPr fontId="9"/>
  <conditionalFormatting sqref="Y3:Y35 Y38:Y229">
    <cfRule type="containsText" dxfId="4" priority="4" operator="containsText" text="Under Lease">
      <formula>NOT(ISERROR(SEARCH("Under Lease",Y3)))</formula>
    </cfRule>
    <cfRule type="containsText" dxfId="3" priority="5" operator="containsText" text="Yes">
      <formula>NOT(ISERROR(SEARCH("Yes",Y3)))</formula>
    </cfRule>
  </conditionalFormatting>
  <conditionalFormatting sqref="AC3:AF9 AC10:AD10 AC11:AF16 AC17:AE17 AC18:AF23 AC24:AE37 AC38:AF68 AC69:AE76 AC70:AF89 AC90:AE90 AC91:AF113 AC114:AE114 AC115:AF130 AC131:AE131 AC132:AF229">
    <cfRule type="containsText" dxfId="2" priority="6" operator="containsText" text="No">
      <formula>NOT(ISERROR(SEARCH("No",AC3)))</formula>
    </cfRule>
  </conditionalFormatting>
  <dataValidations disablePrompts="1" count="1">
    <dataValidation type="list" allowBlank="1" showInputMessage="1" showErrorMessage="1" sqref="AA132:AA1048576" xr:uid="{9D73FB16-8883-4E77-BD44-3FD98885EA0C}">
      <formula1>"YES,NO,-"</formula1>
    </dataValidation>
  </dataValidations>
  <pageMargins left="0.70866141732283472" right="0.70866141732283472" top="0.74803149606299213" bottom="0.74803149606299213" header="0.31496062992125984" footer="0.31496062992125984"/>
  <pageSetup paperSize="8" scale="70" orientation="landscape" r:id="rId1"/>
  <ignoredErrors>
    <ignoredError sqref="L11" unlockedFormula="1"/>
  </ignoredError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C7D07-8591-4C7B-BFCE-9E590D768B7F}">
  <sheetPr>
    <tabColor rgb="FFFF0000"/>
    <pageSetUpPr fitToPage="1"/>
  </sheetPr>
  <dimension ref="A1:BO94"/>
  <sheetViews>
    <sheetView showGridLines="0" zoomScale="85" zoomScaleNormal="85" zoomScaleSheetLayoutView="55" workbookViewId="0">
      <pane xSplit="6" ySplit="4" topLeftCell="G5" activePane="bottomRight" state="frozen"/>
      <selection pane="topRight" activeCell="L96" sqref="L96"/>
      <selection pane="bottomLeft" activeCell="L96" sqref="L96"/>
      <selection pane="bottomRight" activeCell="J25" sqref="J25:J29"/>
    </sheetView>
  </sheetViews>
  <sheetFormatPr defaultColWidth="9" defaultRowHeight="16.5"/>
  <cols>
    <col min="1" max="1" width="1.625" style="400" customWidth="1"/>
    <col min="2" max="2" width="4.875" style="400" customWidth="1"/>
    <col min="3" max="3" width="8.125" style="400" customWidth="1"/>
    <col min="4" max="4" width="8.625" style="400" customWidth="1"/>
    <col min="5" max="5" width="16.75" style="400" customWidth="1"/>
    <col min="6" max="6" width="17.375" style="400" customWidth="1"/>
    <col min="7" max="7" width="8.875" style="400" customWidth="1"/>
    <col min="8" max="10" width="8.625" style="400" customWidth="1"/>
    <col min="11" max="11" width="16.5" style="400" bestFit="1" customWidth="1"/>
    <col min="12" max="16" width="13.625" style="400" customWidth="1"/>
    <col min="17" max="17" width="4.875" style="400" hidden="1" customWidth="1"/>
    <col min="18" max="18" width="6.875" style="400" customWidth="1"/>
    <col min="19" max="19" width="13.625" style="400" customWidth="1"/>
    <col min="20" max="20" width="6.375" style="400" bestFit="1" customWidth="1"/>
    <col min="21" max="21" width="13.625" style="400" customWidth="1"/>
    <col min="22" max="22" width="6.875" style="400" customWidth="1"/>
    <col min="23" max="24" width="12.125" style="400" customWidth="1"/>
    <col min="25" max="25" width="6.875" style="400" customWidth="1"/>
    <col min="26" max="27" width="12.125" style="400" customWidth="1"/>
    <col min="28" max="28" width="6.875" style="400" customWidth="1"/>
    <col min="29" max="30" width="12.125" style="400" customWidth="1"/>
    <col min="31" max="31" width="6.875" style="400" customWidth="1"/>
    <col min="32" max="33" width="12.125" style="400" customWidth="1"/>
    <col min="34" max="34" width="6.875" style="400" customWidth="1"/>
    <col min="35" max="36" width="12.125" style="400" customWidth="1"/>
    <col min="37" max="37" width="6.75" style="400" hidden="1" customWidth="1"/>
    <col min="38" max="39" width="12.375" style="400" hidden="1" customWidth="1"/>
    <col min="40" max="42" width="13.625" style="400" customWidth="1"/>
    <col min="43" max="43" width="3.625" style="391" customWidth="1"/>
    <col min="44" max="53" width="13.625" style="400" customWidth="1"/>
    <col min="54" max="54" width="22.25" style="412" customWidth="1"/>
    <col min="55" max="16384" width="9" style="400"/>
  </cols>
  <sheetData>
    <row r="1" spans="1:67" s="391" customFormat="1">
      <c r="BB1" s="392"/>
    </row>
    <row r="2" spans="1:67" ht="17.25" thickBot="1">
      <c r="A2" s="393"/>
      <c r="B2" s="1555" t="s">
        <v>1183</v>
      </c>
      <c r="C2" s="395"/>
      <c r="D2" s="395"/>
      <c r="E2" s="395"/>
      <c r="F2" s="395"/>
      <c r="G2" s="395"/>
      <c r="H2" s="393"/>
      <c r="I2" s="393"/>
      <c r="J2" s="393"/>
      <c r="K2" s="393"/>
      <c r="L2" s="396"/>
      <c r="M2" s="396"/>
      <c r="N2" s="396"/>
      <c r="O2" s="393"/>
      <c r="P2" s="393"/>
      <c r="Q2" s="393"/>
      <c r="R2" s="393"/>
      <c r="S2" s="393"/>
      <c r="T2" s="393"/>
      <c r="U2" s="393"/>
      <c r="V2" s="393"/>
      <c r="W2" s="393"/>
      <c r="X2" s="393"/>
      <c r="Y2" s="393"/>
      <c r="Z2" s="393"/>
      <c r="AA2" s="393"/>
      <c r="AB2" s="393"/>
      <c r="AC2" s="751"/>
      <c r="AD2" s="752"/>
      <c r="AE2" s="393"/>
      <c r="AF2" s="393"/>
      <c r="AG2" s="393"/>
      <c r="AH2" s="393"/>
      <c r="AI2" s="393"/>
      <c r="AJ2" s="393"/>
      <c r="AK2" s="393"/>
      <c r="AL2" s="393"/>
      <c r="AM2" s="393"/>
      <c r="AN2" s="397"/>
      <c r="AO2" s="397"/>
      <c r="AP2" s="393"/>
      <c r="AQ2" s="398"/>
      <c r="AR2" s="393"/>
      <c r="AS2" s="393"/>
      <c r="AT2" s="393"/>
      <c r="AU2" s="393"/>
      <c r="AV2" s="393"/>
      <c r="AW2" s="393"/>
      <c r="AX2" s="393"/>
      <c r="AY2" s="399"/>
      <c r="AZ2" s="399"/>
      <c r="BA2" s="399"/>
      <c r="BB2" s="395"/>
      <c r="BC2" s="2700"/>
      <c r="BD2" s="2700"/>
      <c r="BE2" s="393"/>
      <c r="BF2" s="393"/>
      <c r="BG2" s="393"/>
      <c r="BH2" s="393"/>
      <c r="BI2" s="393"/>
      <c r="BJ2" s="393"/>
      <c r="BK2" s="393"/>
      <c r="BL2" s="393"/>
      <c r="BM2" s="393"/>
      <c r="BN2" s="393"/>
      <c r="BO2" s="393"/>
    </row>
    <row r="3" spans="1:67" s="405" customFormat="1" ht="28.15" customHeight="1">
      <c r="A3" s="401"/>
      <c r="B3" s="2701" t="s">
        <v>24</v>
      </c>
      <c r="C3" s="2687" t="s">
        <v>1184</v>
      </c>
      <c r="D3" s="2695" t="s">
        <v>1185</v>
      </c>
      <c r="E3" s="2705" t="s">
        <v>1186</v>
      </c>
      <c r="F3" s="2706"/>
      <c r="G3" s="2687" t="s">
        <v>1187</v>
      </c>
      <c r="H3" s="2687" t="s">
        <v>1188</v>
      </c>
      <c r="I3" s="2687" t="s">
        <v>1189</v>
      </c>
      <c r="J3" s="2687" t="s">
        <v>1190</v>
      </c>
      <c r="K3" s="2687" t="s">
        <v>102</v>
      </c>
      <c r="L3" s="2687" t="s">
        <v>103</v>
      </c>
      <c r="M3" s="2687" t="s">
        <v>104</v>
      </c>
      <c r="N3" s="2687" t="s">
        <v>105</v>
      </c>
      <c r="O3" s="2687" t="s">
        <v>1191</v>
      </c>
      <c r="P3" s="2687" t="s">
        <v>1192</v>
      </c>
      <c r="Q3" s="402"/>
      <c r="R3" s="2694" t="s">
        <v>1193</v>
      </c>
      <c r="S3" s="2695"/>
      <c r="T3" s="2695"/>
      <c r="U3" s="2696"/>
      <c r="V3" s="2694" t="s">
        <v>107</v>
      </c>
      <c r="W3" s="2695"/>
      <c r="X3" s="2696"/>
      <c r="Y3" s="2694" t="s">
        <v>238</v>
      </c>
      <c r="Z3" s="2695"/>
      <c r="AA3" s="2696"/>
      <c r="AB3" s="2694" t="s">
        <v>109</v>
      </c>
      <c r="AC3" s="2695"/>
      <c r="AD3" s="2696"/>
      <c r="AE3" s="2694" t="s">
        <v>110</v>
      </c>
      <c r="AF3" s="2695"/>
      <c r="AG3" s="2696"/>
      <c r="AH3" s="2694" t="s">
        <v>111</v>
      </c>
      <c r="AI3" s="2695"/>
      <c r="AJ3" s="2696"/>
      <c r="AK3" s="2694" t="s">
        <v>112</v>
      </c>
      <c r="AL3" s="2695"/>
      <c r="AM3" s="2696"/>
      <c r="AN3" s="2687" t="s">
        <v>1194</v>
      </c>
      <c r="AO3" s="2687" t="s">
        <v>1195</v>
      </c>
      <c r="AP3" s="2698" t="s">
        <v>1196</v>
      </c>
      <c r="AQ3" s="403"/>
      <c r="AR3" s="2713" t="s">
        <v>1197</v>
      </c>
      <c r="AS3" s="2687"/>
      <c r="AT3" s="2687" t="s">
        <v>1198</v>
      </c>
      <c r="AU3" s="2687"/>
      <c r="AV3" s="2687" t="s">
        <v>1199</v>
      </c>
      <c r="AW3" s="2687"/>
      <c r="AX3" s="2687" t="s">
        <v>1200</v>
      </c>
      <c r="AY3" s="2687"/>
      <c r="AZ3" s="2687" t="s">
        <v>1201</v>
      </c>
      <c r="BA3" s="2687"/>
      <c r="BB3" s="2710" t="s">
        <v>1202</v>
      </c>
      <c r="BC3" s="2712"/>
      <c r="BD3" s="2712"/>
      <c r="BE3" s="401"/>
      <c r="BF3" s="401"/>
      <c r="BG3" s="401"/>
      <c r="BH3" s="401"/>
      <c r="BI3" s="401"/>
      <c r="BJ3" s="401"/>
      <c r="BK3" s="401"/>
      <c r="BL3" s="401"/>
      <c r="BM3" s="401"/>
      <c r="BN3" s="404"/>
      <c r="BO3" s="404"/>
    </row>
    <row r="4" spans="1:67" s="405" customFormat="1" ht="28.15" customHeight="1" thickBot="1">
      <c r="A4" s="401"/>
      <c r="B4" s="2702"/>
      <c r="C4" s="2703"/>
      <c r="D4" s="2704"/>
      <c r="E4" s="2707"/>
      <c r="F4" s="2708"/>
      <c r="G4" s="2688"/>
      <c r="H4" s="2709"/>
      <c r="I4" s="2688"/>
      <c r="J4" s="2688"/>
      <c r="K4" s="2688"/>
      <c r="L4" s="2688"/>
      <c r="M4" s="2688"/>
      <c r="N4" s="2688"/>
      <c r="O4" s="2688"/>
      <c r="P4" s="2688"/>
      <c r="Q4" s="406"/>
      <c r="R4" s="980" t="s">
        <v>115</v>
      </c>
      <c r="S4" s="979" t="s">
        <v>1203</v>
      </c>
      <c r="T4" s="986" t="s">
        <v>1204</v>
      </c>
      <c r="U4" s="979" t="s">
        <v>1205</v>
      </c>
      <c r="V4" s="894" t="s">
        <v>115</v>
      </c>
      <c r="W4" s="894" t="s">
        <v>1206</v>
      </c>
      <c r="X4" s="894" t="s">
        <v>1207</v>
      </c>
      <c r="Y4" s="894" t="s">
        <v>115</v>
      </c>
      <c r="Z4" s="894" t="s">
        <v>1206</v>
      </c>
      <c r="AA4" s="894" t="s">
        <v>1207</v>
      </c>
      <c r="AB4" s="894" t="s">
        <v>115</v>
      </c>
      <c r="AC4" s="894" t="s">
        <v>1206</v>
      </c>
      <c r="AD4" s="894" t="s">
        <v>1207</v>
      </c>
      <c r="AE4" s="894" t="s">
        <v>115</v>
      </c>
      <c r="AF4" s="894" t="s">
        <v>1206</v>
      </c>
      <c r="AG4" s="894" t="s">
        <v>1207</v>
      </c>
      <c r="AH4" s="894" t="s">
        <v>115</v>
      </c>
      <c r="AI4" s="894" t="s">
        <v>1206</v>
      </c>
      <c r="AJ4" s="894" t="s">
        <v>1207</v>
      </c>
      <c r="AK4" s="894" t="s">
        <v>115</v>
      </c>
      <c r="AL4" s="894" t="s">
        <v>1206</v>
      </c>
      <c r="AM4" s="894" t="s">
        <v>1207</v>
      </c>
      <c r="AN4" s="2697"/>
      <c r="AO4" s="2697"/>
      <c r="AP4" s="2699"/>
      <c r="AQ4" s="403"/>
      <c r="AR4" s="941" t="s">
        <v>1208</v>
      </c>
      <c r="AS4" s="942" t="s">
        <v>1209</v>
      </c>
      <c r="AT4" s="942" t="s">
        <v>1208</v>
      </c>
      <c r="AU4" s="942" t="s">
        <v>1209</v>
      </c>
      <c r="AV4" s="942" t="s">
        <v>1208</v>
      </c>
      <c r="AW4" s="942" t="s">
        <v>1209</v>
      </c>
      <c r="AX4" s="942" t="s">
        <v>1208</v>
      </c>
      <c r="AY4" s="942" t="s">
        <v>1209</v>
      </c>
      <c r="AZ4" s="942" t="s">
        <v>1208</v>
      </c>
      <c r="BA4" s="942" t="s">
        <v>1209</v>
      </c>
      <c r="BB4" s="2711"/>
      <c r="BC4" s="401"/>
      <c r="BD4" s="401"/>
      <c r="BE4" s="401"/>
      <c r="BF4" s="401"/>
      <c r="BG4" s="401"/>
      <c r="BH4" s="401"/>
      <c r="BI4" s="401"/>
      <c r="BJ4" s="401"/>
      <c r="BK4" s="401"/>
      <c r="BL4" s="401"/>
      <c r="BM4" s="401"/>
      <c r="BN4" s="404"/>
      <c r="BO4" s="404"/>
    </row>
    <row r="5" spans="1:67" ht="16.5" customHeight="1">
      <c r="A5" s="394"/>
      <c r="B5" s="2623">
        <v>1</v>
      </c>
      <c r="C5" s="2635">
        <v>14</v>
      </c>
      <c r="D5" s="2638" t="s">
        <v>1210</v>
      </c>
      <c r="E5" s="2643" t="s">
        <v>1211</v>
      </c>
      <c r="F5" s="2646" t="s">
        <v>1212</v>
      </c>
      <c r="G5" s="2678">
        <v>999.58</v>
      </c>
      <c r="H5" s="2679">
        <v>6.4699999999999994E-2</v>
      </c>
      <c r="I5" s="2679"/>
      <c r="J5" s="2679" t="s">
        <v>1213</v>
      </c>
      <c r="K5" s="891" t="s">
        <v>125</v>
      </c>
      <c r="L5" s="902">
        <f>+'ref.지급기준 (2)'!F4*'ref.지급기준 (2)'!D4/'ref.지급기준 (2)'!$Q$2</f>
        <v>1049559000</v>
      </c>
      <c r="M5" s="902">
        <f>+L5*10%</f>
        <v>104955900</v>
      </c>
      <c r="N5" s="1007">
        <f t="shared" ref="N5:N73" si="0">SUM(L5:M5)</f>
        <v>1154514900</v>
      </c>
      <c r="O5" s="2689" t="s">
        <v>1214</v>
      </c>
      <c r="P5" s="2692" t="s">
        <v>1215</v>
      </c>
      <c r="Q5" s="874" t="b">
        <f t="shared" ref="Q5:Q43" si="1">+AN5=N5</f>
        <v>1</v>
      </c>
      <c r="R5" s="983">
        <v>0</v>
      </c>
      <c r="S5" s="984"/>
      <c r="T5" s="2657">
        <v>1470</v>
      </c>
      <c r="U5" s="985">
        <f>+S5/T5</f>
        <v>0</v>
      </c>
      <c r="V5" s="906" t="str">
        <f>+IFERROR(W5/$N5,"-")</f>
        <v>-</v>
      </c>
      <c r="W5" s="922" t="s">
        <v>1216</v>
      </c>
      <c r="X5" s="923">
        <v>45716</v>
      </c>
      <c r="Y5" s="922">
        <f t="shared" ref="Y5:Y68" si="2">+IFERROR(Z5/$N5,"-")</f>
        <v>0</v>
      </c>
      <c r="Z5" s="922"/>
      <c r="AA5" s="923">
        <f>+EDATE(X5,1)+3</f>
        <v>45747</v>
      </c>
      <c r="AB5" s="922">
        <f t="shared" ref="AB5:AB68" si="3">+IFERROR(AC5/$N5,"-")</f>
        <v>0</v>
      </c>
      <c r="AC5" s="922"/>
      <c r="AD5" s="923">
        <f>+EDATE(AA5,3)</f>
        <v>45838</v>
      </c>
      <c r="AE5" s="922">
        <f t="shared" ref="AE5:AE68" si="4">+IFERROR(AF5/$N5,"-")</f>
        <v>0</v>
      </c>
      <c r="AF5" s="922"/>
      <c r="AG5" s="923">
        <f>+EDATE(AA5,4)</f>
        <v>45869</v>
      </c>
      <c r="AH5" s="922">
        <f t="shared" ref="AH5:AH68" si="5">+IFERROR(AI5/$N$6,"-")</f>
        <v>0</v>
      </c>
      <c r="AI5" s="922"/>
      <c r="AJ5" s="923">
        <f>+EDATE(AA5,6)</f>
        <v>45930</v>
      </c>
      <c r="AK5" s="922"/>
      <c r="AL5" s="922"/>
      <c r="AM5" s="922"/>
      <c r="AN5" s="924">
        <f>+N5</f>
        <v>1154514900</v>
      </c>
      <c r="AO5" s="924">
        <f>+AN5*'ref.지급기준 (2)'!G4</f>
        <v>115451490</v>
      </c>
      <c r="AP5" s="930">
        <f>X5</f>
        <v>45716</v>
      </c>
      <c r="AQ5" s="407"/>
      <c r="AR5" s="946">
        <f>+$AN5*'ref.지급기준 (2)'!G4</f>
        <v>115451490</v>
      </c>
      <c r="AS5" s="924" t="str">
        <f>+W5</f>
        <v>-</v>
      </c>
      <c r="AT5" s="924">
        <f>+$AN5*'ref.지급기준 (2)'!I4</f>
        <v>230902980</v>
      </c>
      <c r="AU5" s="924">
        <f>+Z5</f>
        <v>0</v>
      </c>
      <c r="AV5" s="924">
        <f>+$AN5*'ref.지급기준 (2)'!K4</f>
        <v>461805960</v>
      </c>
      <c r="AW5" s="924"/>
      <c r="AX5" s="924">
        <f>+$AN5*'ref.지급기준 (2)'!M4</f>
        <v>288628725</v>
      </c>
      <c r="AY5" s="924"/>
      <c r="AZ5" s="924">
        <f>+$AN5*'ref.지급기준 (2)'!O4</f>
        <v>57725745</v>
      </c>
      <c r="BA5" s="996"/>
      <c r="BB5" s="2684" t="s">
        <v>1217</v>
      </c>
      <c r="BC5" s="393"/>
      <c r="BD5" s="393" t="b">
        <f t="shared" ref="BD5:BD73" si="6">+(AZ5+AX5+AV5+AT5+AR5)=N5</f>
        <v>1</v>
      </c>
      <c r="BE5" s="393"/>
      <c r="BF5" s="393"/>
      <c r="BG5" s="393"/>
      <c r="BH5" s="393"/>
      <c r="BI5" s="393"/>
      <c r="BJ5" s="393"/>
      <c r="BK5" s="393"/>
      <c r="BL5" s="393"/>
      <c r="BM5" s="393"/>
      <c r="BN5" s="408"/>
      <c r="BO5" s="408"/>
    </row>
    <row r="6" spans="1:67" ht="16.5" customHeight="1">
      <c r="A6" s="394"/>
      <c r="B6" s="2624"/>
      <c r="C6" s="2636"/>
      <c r="D6" s="2639"/>
      <c r="E6" s="2644"/>
      <c r="F6" s="2647"/>
      <c r="G6" s="2669"/>
      <c r="H6" s="2675"/>
      <c r="I6" s="2675"/>
      <c r="J6" s="2675"/>
      <c r="K6" s="875" t="s">
        <v>126</v>
      </c>
      <c r="L6" s="896">
        <f>+'ref.지급기준 (2)'!F5*'ref.지급기준 (2)'!D5/'ref.지급기준 (2)'!$Q$2</f>
        <v>549769000</v>
      </c>
      <c r="M6" s="896" t="s">
        <v>1218</v>
      </c>
      <c r="N6" s="1002">
        <f t="shared" si="0"/>
        <v>549769000</v>
      </c>
      <c r="O6" s="2690"/>
      <c r="P6" s="2693"/>
      <c r="Q6" s="874" t="b">
        <f t="shared" si="1"/>
        <v>1</v>
      </c>
      <c r="R6" s="908">
        <f t="shared" ref="R6:R73" si="7">+IFERROR(S6/N6,"-")</f>
        <v>0.64448968566798059</v>
      </c>
      <c r="S6" s="909">
        <f>+IFERROR(W6+Z6+AC6+AF6+AI6+AL6,"-")</f>
        <v>354320450</v>
      </c>
      <c r="T6" s="2657"/>
      <c r="U6" s="914">
        <f>+S6/T5</f>
        <v>241034.31972789115</v>
      </c>
      <c r="V6" s="925">
        <f t="shared" ref="V6:V49" si="8">+IFERROR(W6/$N6,"-")</f>
        <v>0.55000000000000004</v>
      </c>
      <c r="W6" s="880">
        <v>302372950</v>
      </c>
      <c r="X6" s="881">
        <v>45450</v>
      </c>
      <c r="Y6" s="879">
        <f t="shared" si="2"/>
        <v>9.448968566798055E-2</v>
      </c>
      <c r="Z6" s="882">
        <v>51947500</v>
      </c>
      <c r="AA6" s="881">
        <v>45456</v>
      </c>
      <c r="AB6" s="877">
        <f t="shared" si="3"/>
        <v>0</v>
      </c>
      <c r="AC6" s="877"/>
      <c r="AD6" s="883">
        <f>EDATE(AA5,6)</f>
        <v>45930</v>
      </c>
      <c r="AE6" s="877">
        <f t="shared" si="4"/>
        <v>0</v>
      </c>
      <c r="AF6" s="877"/>
      <c r="AG6" s="883"/>
      <c r="AH6" s="877">
        <f t="shared" si="5"/>
        <v>0</v>
      </c>
      <c r="AI6" s="877"/>
      <c r="AJ6" s="877"/>
      <c r="AK6" s="877">
        <f>+IFERROR(AL6/$N$6,"-")</f>
        <v>0</v>
      </c>
      <c r="AL6" s="877"/>
      <c r="AM6" s="877"/>
      <c r="AN6" s="884">
        <f t="shared" ref="AN6:AN74" si="9">+N6</f>
        <v>549769000</v>
      </c>
      <c r="AO6" s="884">
        <f>+AN6*'ref.지급기준 (2)'!K5+AN6*('ref.지급기준 (2)'!G5+'ref.지급기준 (2)'!I5)-S6</f>
        <v>195448550</v>
      </c>
      <c r="AP6" s="885">
        <f>+AD6</f>
        <v>45930</v>
      </c>
      <c r="AQ6" s="407"/>
      <c r="AR6" s="945">
        <f>+$AN6*'ref.지급기준 (2)'!G5</f>
        <v>302372950</v>
      </c>
      <c r="AS6" s="884">
        <f>+W6</f>
        <v>302372950</v>
      </c>
      <c r="AT6" s="884">
        <f>+$AN6*'ref.지급기준 (2)'!I5</f>
        <v>82465350</v>
      </c>
      <c r="AU6" s="884">
        <f t="shared" ref="AU6:AU74" si="10">+Z6</f>
        <v>51947500</v>
      </c>
      <c r="AV6" s="884">
        <f>+$AN6*'ref.지급기준 (2)'!K5</f>
        <v>164930700</v>
      </c>
      <c r="AW6" s="884"/>
      <c r="AX6" s="884">
        <f>+$AN6*'ref.지급기준 (2)'!M5</f>
        <v>0</v>
      </c>
      <c r="AY6" s="884"/>
      <c r="AZ6" s="884">
        <f>+$AN6*'ref.지급기준 (2)'!O5</f>
        <v>0</v>
      </c>
      <c r="BA6" s="890"/>
      <c r="BB6" s="2683"/>
      <c r="BC6" s="393"/>
      <c r="BD6" s="393" t="b">
        <f t="shared" si="6"/>
        <v>1</v>
      </c>
      <c r="BE6" s="393"/>
      <c r="BF6" s="393"/>
      <c r="BG6" s="393"/>
      <c r="BH6" s="393"/>
      <c r="BI6" s="393"/>
      <c r="BJ6" s="393"/>
      <c r="BK6" s="393"/>
      <c r="BL6" s="393"/>
      <c r="BM6" s="393"/>
      <c r="BN6" s="408"/>
      <c r="BO6" s="408"/>
    </row>
    <row r="7" spans="1:67" ht="16.5" customHeight="1">
      <c r="A7" s="394"/>
      <c r="B7" s="2624"/>
      <c r="C7" s="2636"/>
      <c r="D7" s="2639"/>
      <c r="E7" s="2644"/>
      <c r="F7" s="2647"/>
      <c r="G7" s="2669"/>
      <c r="H7" s="2675"/>
      <c r="I7" s="2675"/>
      <c r="J7" s="2675"/>
      <c r="K7" s="875" t="s">
        <v>127</v>
      </c>
      <c r="L7" s="896">
        <f>+'ref.지급기준 (2)'!F6*'ref.지급기준 (2)'!D6/'ref.지급기준 (2)'!$Q$2</f>
        <v>0</v>
      </c>
      <c r="M7" s="896" t="s">
        <v>1218</v>
      </c>
      <c r="N7" s="1002">
        <f t="shared" si="0"/>
        <v>0</v>
      </c>
      <c r="O7" s="2690"/>
      <c r="P7" s="2693"/>
      <c r="Q7" s="874" t="b">
        <f t="shared" si="1"/>
        <v>1</v>
      </c>
      <c r="R7" s="908" t="str">
        <f t="shared" si="7"/>
        <v>-</v>
      </c>
      <c r="S7" s="909"/>
      <c r="T7" s="2657"/>
      <c r="U7" s="914">
        <f>+S7/T5</f>
        <v>0</v>
      </c>
      <c r="V7" s="908" t="str">
        <f t="shared" si="8"/>
        <v>-</v>
      </c>
      <c r="W7" s="877"/>
      <c r="X7" s="877"/>
      <c r="Y7" s="877" t="str">
        <f t="shared" si="2"/>
        <v>-</v>
      </c>
      <c r="Z7" s="877"/>
      <c r="AA7" s="883"/>
      <c r="AB7" s="877" t="str">
        <f t="shared" si="3"/>
        <v>-</v>
      </c>
      <c r="AC7" s="877"/>
      <c r="AD7" s="883"/>
      <c r="AE7" s="877" t="str">
        <f t="shared" si="4"/>
        <v>-</v>
      </c>
      <c r="AF7" s="877"/>
      <c r="AG7" s="883"/>
      <c r="AH7" s="877">
        <f t="shared" si="5"/>
        <v>0</v>
      </c>
      <c r="AI7" s="877"/>
      <c r="AJ7" s="877"/>
      <c r="AK7" s="877">
        <f>+IFERROR(AL7/$N$6,"-")</f>
        <v>0</v>
      </c>
      <c r="AL7" s="877"/>
      <c r="AM7" s="877"/>
      <c r="AN7" s="884">
        <f t="shared" si="9"/>
        <v>0</v>
      </c>
      <c r="AO7" s="884">
        <f>+AR7+AT7</f>
        <v>0</v>
      </c>
      <c r="AP7" s="885"/>
      <c r="AQ7" s="407"/>
      <c r="AR7" s="945">
        <f>+$AN7*'ref.지급기준 (2)'!G6</f>
        <v>0</v>
      </c>
      <c r="AS7" s="884">
        <f t="shared" ref="AS7:AS74" si="11">+W7</f>
        <v>0</v>
      </c>
      <c r="AT7" s="884">
        <f>+$AN7*'ref.지급기준 (2)'!I6</f>
        <v>0</v>
      </c>
      <c r="AU7" s="884">
        <f t="shared" si="10"/>
        <v>0</v>
      </c>
      <c r="AV7" s="884">
        <f>+$AN7*'ref.지급기준 (2)'!K6</f>
        <v>0</v>
      </c>
      <c r="AW7" s="884"/>
      <c r="AX7" s="884">
        <f>+$AN7*'ref.지급기준 (2)'!M6</f>
        <v>0</v>
      </c>
      <c r="AY7" s="884"/>
      <c r="AZ7" s="884">
        <f>+$AN7*'ref.지급기준 (2)'!O6</f>
        <v>0</v>
      </c>
      <c r="BA7" s="890"/>
      <c r="BB7" s="2683"/>
      <c r="BC7" s="393"/>
      <c r="BD7" s="393" t="b">
        <f t="shared" si="6"/>
        <v>1</v>
      </c>
      <c r="BE7" s="393"/>
      <c r="BF7" s="393"/>
      <c r="BG7" s="393"/>
      <c r="BH7" s="393"/>
      <c r="BI7" s="393"/>
      <c r="BJ7" s="393"/>
      <c r="BK7" s="393"/>
      <c r="BL7" s="393"/>
      <c r="BM7" s="393"/>
      <c r="BN7" s="408"/>
      <c r="BO7" s="408"/>
    </row>
    <row r="8" spans="1:67" ht="16.5" customHeight="1">
      <c r="A8" s="394"/>
      <c r="B8" s="2624"/>
      <c r="C8" s="2636"/>
      <c r="D8" s="2639"/>
      <c r="E8" s="2644"/>
      <c r="F8" s="2647"/>
      <c r="G8" s="2669"/>
      <c r="H8" s="2675"/>
      <c r="I8" s="2675"/>
      <c r="J8" s="2675"/>
      <c r="K8" s="875" t="s">
        <v>128</v>
      </c>
      <c r="L8" s="896">
        <f>+'ref.지급기준 (2)'!F7*'ref.지급기준 (2)'!D7/'ref.지급기준 (2)'!$Q$2</f>
        <v>0</v>
      </c>
      <c r="M8" s="896" t="s">
        <v>1218</v>
      </c>
      <c r="N8" s="1002">
        <f t="shared" si="0"/>
        <v>0</v>
      </c>
      <c r="O8" s="2690"/>
      <c r="P8" s="2693"/>
      <c r="Q8" s="874" t="b">
        <f t="shared" si="1"/>
        <v>1</v>
      </c>
      <c r="R8" s="908" t="str">
        <f t="shared" si="7"/>
        <v>-</v>
      </c>
      <c r="S8" s="909"/>
      <c r="T8" s="2657"/>
      <c r="U8" s="914">
        <f>+S8/T5</f>
        <v>0</v>
      </c>
      <c r="V8" s="908" t="str">
        <f t="shared" si="8"/>
        <v>-</v>
      </c>
      <c r="W8" s="877"/>
      <c r="X8" s="877"/>
      <c r="Y8" s="877" t="str">
        <f t="shared" si="2"/>
        <v>-</v>
      </c>
      <c r="Z8" s="877"/>
      <c r="AA8" s="883"/>
      <c r="AB8" s="877" t="str">
        <f t="shared" si="3"/>
        <v>-</v>
      </c>
      <c r="AC8" s="877"/>
      <c r="AD8" s="883"/>
      <c r="AE8" s="877" t="str">
        <f t="shared" si="4"/>
        <v>-</v>
      </c>
      <c r="AF8" s="877"/>
      <c r="AG8" s="883"/>
      <c r="AH8" s="877">
        <f t="shared" si="5"/>
        <v>0</v>
      </c>
      <c r="AI8" s="877"/>
      <c r="AJ8" s="877"/>
      <c r="AK8" s="877">
        <f t="shared" ref="AK8:AK73" si="12">+IFERROR(AL8/$N$6,"-")</f>
        <v>0</v>
      </c>
      <c r="AL8" s="877"/>
      <c r="AM8" s="877"/>
      <c r="AN8" s="884">
        <f t="shared" si="9"/>
        <v>0</v>
      </c>
      <c r="AO8" s="884">
        <f>+AR8+AT8</f>
        <v>0</v>
      </c>
      <c r="AP8" s="885"/>
      <c r="AQ8" s="407"/>
      <c r="AR8" s="945">
        <f>+$AN8*'ref.지급기준 (2)'!G7</f>
        <v>0</v>
      </c>
      <c r="AS8" s="884">
        <f t="shared" si="11"/>
        <v>0</v>
      </c>
      <c r="AT8" s="884">
        <f>+$AN8*'ref.지급기준 (2)'!I7</f>
        <v>0</v>
      </c>
      <c r="AU8" s="884">
        <f t="shared" si="10"/>
        <v>0</v>
      </c>
      <c r="AV8" s="884">
        <f>+$AN8*'ref.지급기준 (2)'!K7</f>
        <v>0</v>
      </c>
      <c r="AW8" s="884"/>
      <c r="AX8" s="884">
        <f>+$AN8*'ref.지급기준 (2)'!M7</f>
        <v>0</v>
      </c>
      <c r="AY8" s="884"/>
      <c r="AZ8" s="884">
        <f>+$AN8*'ref.지급기준 (2)'!O7</f>
        <v>0</v>
      </c>
      <c r="BA8" s="890"/>
      <c r="BB8" s="2683"/>
      <c r="BC8" s="393"/>
      <c r="BD8" s="393" t="b">
        <f t="shared" si="6"/>
        <v>1</v>
      </c>
      <c r="BE8" s="393"/>
      <c r="BF8" s="393"/>
      <c r="BG8" s="393"/>
      <c r="BH8" s="393"/>
      <c r="BI8" s="393"/>
      <c r="BJ8" s="393"/>
      <c r="BK8" s="393"/>
      <c r="BL8" s="393"/>
      <c r="BM8" s="393"/>
      <c r="BN8" s="408"/>
      <c r="BO8" s="408"/>
    </row>
    <row r="9" spans="1:67" ht="16.5" customHeight="1">
      <c r="A9" s="394"/>
      <c r="B9" s="2624"/>
      <c r="C9" s="2636"/>
      <c r="D9" s="2639"/>
      <c r="E9" s="2644"/>
      <c r="F9" s="2648"/>
      <c r="G9" s="2670"/>
      <c r="H9" s="2676"/>
      <c r="I9" s="2676"/>
      <c r="J9" s="2676"/>
      <c r="K9" s="999" t="s">
        <v>129</v>
      </c>
      <c r="L9" s="900"/>
      <c r="M9" s="900"/>
      <c r="N9" s="1003">
        <f>SUM(L9:M9)</f>
        <v>0</v>
      </c>
      <c r="O9" s="2690"/>
      <c r="P9" s="2693"/>
      <c r="Q9" s="874"/>
      <c r="R9" s="910"/>
      <c r="S9" s="911"/>
      <c r="T9" s="2665"/>
      <c r="U9" s="915">
        <f>+S9/T5</f>
        <v>0</v>
      </c>
      <c r="V9" s="910" t="str">
        <f t="shared" si="8"/>
        <v>-</v>
      </c>
      <c r="W9" s="926"/>
      <c r="X9" s="926"/>
      <c r="Y9" s="926" t="str">
        <f t="shared" si="2"/>
        <v>-</v>
      </c>
      <c r="Z9" s="926"/>
      <c r="AA9" s="927"/>
      <c r="AB9" s="926" t="str">
        <f t="shared" si="3"/>
        <v>-</v>
      </c>
      <c r="AC9" s="926"/>
      <c r="AD9" s="927"/>
      <c r="AE9" s="926" t="str">
        <f t="shared" si="4"/>
        <v>-</v>
      </c>
      <c r="AF9" s="926"/>
      <c r="AG9" s="927"/>
      <c r="AH9" s="926">
        <f t="shared" si="5"/>
        <v>0</v>
      </c>
      <c r="AI9" s="926"/>
      <c r="AJ9" s="926"/>
      <c r="AK9" s="926"/>
      <c r="AL9" s="926"/>
      <c r="AM9" s="926"/>
      <c r="AN9" s="928">
        <f t="shared" si="9"/>
        <v>0</v>
      </c>
      <c r="AO9" s="928">
        <f>+AR9+AT9</f>
        <v>0</v>
      </c>
      <c r="AP9" s="931"/>
      <c r="AQ9" s="407"/>
      <c r="AR9" s="947">
        <f>+$AN9*'ref.지급기준 (2)'!G8</f>
        <v>0</v>
      </c>
      <c r="AS9" s="928">
        <f t="shared" si="11"/>
        <v>0</v>
      </c>
      <c r="AT9" s="928">
        <f>+$AN9*'ref.지급기준 (2)'!I8</f>
        <v>0</v>
      </c>
      <c r="AU9" s="928">
        <f t="shared" si="10"/>
        <v>0</v>
      </c>
      <c r="AV9" s="928">
        <f>+$AN9*'ref.지급기준 (2)'!K8</f>
        <v>0</v>
      </c>
      <c r="AW9" s="928"/>
      <c r="AX9" s="928">
        <f>+$AN9*'ref.지급기준 (2)'!M8</f>
        <v>0</v>
      </c>
      <c r="AY9" s="928"/>
      <c r="AZ9" s="928">
        <f>+$AN9*'ref.지급기준 (2)'!O8</f>
        <v>0</v>
      </c>
      <c r="BA9" s="997"/>
      <c r="BB9" s="2683"/>
      <c r="BC9" s="393"/>
      <c r="BD9" s="393"/>
      <c r="BE9" s="393"/>
      <c r="BF9" s="393"/>
      <c r="BG9" s="393"/>
      <c r="BH9" s="393"/>
      <c r="BI9" s="393"/>
      <c r="BJ9" s="393"/>
      <c r="BK9" s="393"/>
      <c r="BL9" s="393"/>
      <c r="BM9" s="393"/>
      <c r="BN9" s="408"/>
      <c r="BO9" s="408"/>
    </row>
    <row r="10" spans="1:67" ht="16.5" customHeight="1">
      <c r="A10" s="394"/>
      <c r="B10" s="2624"/>
      <c r="C10" s="2636"/>
      <c r="D10" s="2639"/>
      <c r="E10" s="2644"/>
      <c r="F10" s="2646" t="s">
        <v>152</v>
      </c>
      <c r="G10" s="2668">
        <v>999.58</v>
      </c>
      <c r="H10" s="2674">
        <v>6.4699999999999994E-2</v>
      </c>
      <c r="I10" s="2674"/>
      <c r="J10" s="2674" t="s">
        <v>1213</v>
      </c>
      <c r="K10" s="893" t="s">
        <v>125</v>
      </c>
      <c r="L10" s="904">
        <f>+'ref.지급기준 (2)'!F9*'ref.지급기준 (2)'!D9/'ref.지급기준 (2)'!$Q$2</f>
        <v>1049559000</v>
      </c>
      <c r="M10" s="904">
        <f>+L10*10%</f>
        <v>104955900</v>
      </c>
      <c r="N10" s="1012">
        <f t="shared" si="0"/>
        <v>1154514900</v>
      </c>
      <c r="O10" s="2690"/>
      <c r="P10" s="2693"/>
      <c r="Q10" s="874" t="b">
        <f t="shared" si="1"/>
        <v>1</v>
      </c>
      <c r="R10" s="906">
        <f t="shared" si="7"/>
        <v>0</v>
      </c>
      <c r="S10" s="907"/>
      <c r="T10" s="2656">
        <v>1470</v>
      </c>
      <c r="U10" s="913">
        <f>+S10/T10</f>
        <v>0</v>
      </c>
      <c r="V10" s="912">
        <f>+IFERROR(W10/$N10,"-")</f>
        <v>0</v>
      </c>
      <c r="W10" s="912"/>
      <c r="X10" s="916">
        <v>45716</v>
      </c>
      <c r="Y10" s="912">
        <f t="shared" si="2"/>
        <v>0</v>
      </c>
      <c r="Z10" s="912"/>
      <c r="AA10" s="916">
        <f>+EDATE(X10,1)+3</f>
        <v>45747</v>
      </c>
      <c r="AB10" s="912">
        <f t="shared" si="3"/>
        <v>0</v>
      </c>
      <c r="AC10" s="912"/>
      <c r="AD10" s="916">
        <f>+EDATE(AA10,3)</f>
        <v>45838</v>
      </c>
      <c r="AE10" s="912">
        <f t="shared" si="4"/>
        <v>0</v>
      </c>
      <c r="AF10" s="912"/>
      <c r="AG10" s="916">
        <f>+EDATE(AA10,4)</f>
        <v>45869</v>
      </c>
      <c r="AH10" s="912">
        <f t="shared" si="5"/>
        <v>0</v>
      </c>
      <c r="AI10" s="912"/>
      <c r="AJ10" s="916">
        <f>+EDATE(AA10,6)</f>
        <v>45930</v>
      </c>
      <c r="AK10" s="912">
        <f t="shared" si="12"/>
        <v>0</v>
      </c>
      <c r="AL10" s="912"/>
      <c r="AM10" s="912"/>
      <c r="AN10" s="920">
        <f t="shared" si="9"/>
        <v>1154514900</v>
      </c>
      <c r="AO10" s="920">
        <f>+AN10*'ref.지급기준 (2)'!G9</f>
        <v>115451490</v>
      </c>
      <c r="AP10" s="921">
        <f>+X10</f>
        <v>45716</v>
      </c>
      <c r="AQ10" s="407"/>
      <c r="AR10" s="946">
        <f>+$AN10*'ref.지급기준 (2)'!G9</f>
        <v>115451490</v>
      </c>
      <c r="AS10" s="924">
        <f t="shared" si="11"/>
        <v>0</v>
      </c>
      <c r="AT10" s="924">
        <f>+$AN10*'ref.지급기준 (2)'!I9</f>
        <v>230902980</v>
      </c>
      <c r="AU10" s="924">
        <f t="shared" si="10"/>
        <v>0</v>
      </c>
      <c r="AV10" s="924">
        <f>+$AN10*'ref.지급기준 (2)'!K9</f>
        <v>461805960</v>
      </c>
      <c r="AW10" s="924"/>
      <c r="AX10" s="924">
        <f>+$AN10*'ref.지급기준 (2)'!M9</f>
        <v>288628725</v>
      </c>
      <c r="AY10" s="924"/>
      <c r="AZ10" s="924">
        <f>+$AN10*'ref.지급기준 (2)'!O9</f>
        <v>57725745</v>
      </c>
      <c r="BA10" s="996"/>
      <c r="BB10" s="2683"/>
      <c r="BC10" s="393"/>
      <c r="BD10" s="393" t="b">
        <f t="shared" si="6"/>
        <v>1</v>
      </c>
      <c r="BE10" s="393"/>
      <c r="BF10" s="393"/>
      <c r="BG10" s="393"/>
      <c r="BH10" s="393"/>
      <c r="BI10" s="393"/>
      <c r="BJ10" s="393"/>
      <c r="BK10" s="393"/>
      <c r="BL10" s="393"/>
      <c r="BM10" s="393"/>
      <c r="BN10" s="408"/>
      <c r="BO10" s="408"/>
    </row>
    <row r="11" spans="1:67" ht="16.5" customHeight="1">
      <c r="A11" s="394"/>
      <c r="B11" s="2624"/>
      <c r="C11" s="2636"/>
      <c r="D11" s="2639"/>
      <c r="E11" s="2644"/>
      <c r="F11" s="2647"/>
      <c r="G11" s="2669"/>
      <c r="H11" s="2675"/>
      <c r="I11" s="2675"/>
      <c r="J11" s="2675"/>
      <c r="K11" s="875" t="s">
        <v>126</v>
      </c>
      <c r="L11" s="896">
        <f>+'ref.지급기준 (2)'!F10*'ref.지급기준 (2)'!D10/'ref.지급기준 (2)'!$Q$2</f>
        <v>549769000</v>
      </c>
      <c r="M11" s="896" t="s">
        <v>1218</v>
      </c>
      <c r="N11" s="1002">
        <f t="shared" si="0"/>
        <v>549769000</v>
      </c>
      <c r="O11" s="2690"/>
      <c r="P11" s="2693"/>
      <c r="Q11" s="874" t="b">
        <f t="shared" si="1"/>
        <v>1</v>
      </c>
      <c r="R11" s="908">
        <f t="shared" si="7"/>
        <v>0.64448968566798059</v>
      </c>
      <c r="S11" s="909">
        <f t="shared" ref="S11:S73" si="13">+IFERROR(W11+Z11+AC11+AF11+AI11+AL11,"-")</f>
        <v>354320450</v>
      </c>
      <c r="T11" s="2657"/>
      <c r="U11" s="914">
        <f>+S11/T10</f>
        <v>241034.31972789115</v>
      </c>
      <c r="V11" s="879">
        <f t="shared" si="8"/>
        <v>0.55000000000000004</v>
      </c>
      <c r="W11" s="880">
        <v>302372950</v>
      </c>
      <c r="X11" s="881">
        <v>45450</v>
      </c>
      <c r="Y11" s="879">
        <f t="shared" si="2"/>
        <v>9.448968566798055E-2</v>
      </c>
      <c r="Z11" s="882">
        <v>51947500</v>
      </c>
      <c r="AA11" s="881">
        <v>45456</v>
      </c>
      <c r="AB11" s="877">
        <f t="shared" si="3"/>
        <v>0</v>
      </c>
      <c r="AC11" s="877"/>
      <c r="AD11" s="883">
        <f>EDATE(AA10,6)</f>
        <v>45930</v>
      </c>
      <c r="AE11" s="877">
        <f t="shared" si="4"/>
        <v>0</v>
      </c>
      <c r="AF11" s="877"/>
      <c r="AG11" s="883"/>
      <c r="AH11" s="877">
        <f t="shared" si="5"/>
        <v>0</v>
      </c>
      <c r="AI11" s="877"/>
      <c r="AJ11" s="877"/>
      <c r="AK11" s="877">
        <f t="shared" si="12"/>
        <v>0</v>
      </c>
      <c r="AL11" s="877"/>
      <c r="AM11" s="877"/>
      <c r="AN11" s="884">
        <f t="shared" si="9"/>
        <v>549769000</v>
      </c>
      <c r="AO11" s="884">
        <f>+AN11*'ref.지급기준 (2)'!K10+AN11*('ref.지급기준 (2)'!G10+'ref.지급기준 (2)'!I10)-S11</f>
        <v>195448550</v>
      </c>
      <c r="AP11" s="885">
        <f>+AD11</f>
        <v>45930</v>
      </c>
      <c r="AQ11" s="407"/>
      <c r="AR11" s="945">
        <f>+$AN11*'ref.지급기준 (2)'!G10</f>
        <v>302372950</v>
      </c>
      <c r="AS11" s="884">
        <f t="shared" si="11"/>
        <v>302372950</v>
      </c>
      <c r="AT11" s="884">
        <f>+$AN11*'ref.지급기준 (2)'!I10</f>
        <v>82465350</v>
      </c>
      <c r="AU11" s="884">
        <f t="shared" si="10"/>
        <v>51947500</v>
      </c>
      <c r="AV11" s="884">
        <f>+$AN11*'ref.지급기준 (2)'!K10</f>
        <v>164930700</v>
      </c>
      <c r="AW11" s="884"/>
      <c r="AX11" s="884">
        <f>+$AN11*'ref.지급기준 (2)'!M10</f>
        <v>0</v>
      </c>
      <c r="AY11" s="884"/>
      <c r="AZ11" s="884">
        <f>+$AN11*'ref.지급기준 (2)'!O10</f>
        <v>0</v>
      </c>
      <c r="BA11" s="890"/>
      <c r="BB11" s="2683"/>
      <c r="BC11" s="393"/>
      <c r="BD11" s="393" t="b">
        <f t="shared" si="6"/>
        <v>1</v>
      </c>
      <c r="BE11" s="393"/>
      <c r="BF11" s="393"/>
      <c r="BG11" s="393"/>
      <c r="BH11" s="393"/>
      <c r="BI11" s="393"/>
      <c r="BJ11" s="393"/>
      <c r="BK11" s="393"/>
      <c r="BL11" s="393"/>
      <c r="BM11" s="393"/>
      <c r="BN11" s="408"/>
      <c r="BO11" s="408"/>
    </row>
    <row r="12" spans="1:67" ht="16.5" customHeight="1">
      <c r="A12" s="394"/>
      <c r="B12" s="2624"/>
      <c r="C12" s="2636"/>
      <c r="D12" s="2639"/>
      <c r="E12" s="2644"/>
      <c r="F12" s="2647"/>
      <c r="G12" s="2669"/>
      <c r="H12" s="2675"/>
      <c r="I12" s="2675"/>
      <c r="J12" s="2675"/>
      <c r="K12" s="875" t="s">
        <v>127</v>
      </c>
      <c r="L12" s="896">
        <f>+'ref.지급기준 (2)'!F11*'ref.지급기준 (2)'!D11/'ref.지급기준 (2)'!$Q$2</f>
        <v>0</v>
      </c>
      <c r="M12" s="896" t="s">
        <v>1218</v>
      </c>
      <c r="N12" s="1002">
        <f t="shared" si="0"/>
        <v>0</v>
      </c>
      <c r="O12" s="2690"/>
      <c r="P12" s="2693"/>
      <c r="Q12" s="874" t="b">
        <f t="shared" si="1"/>
        <v>1</v>
      </c>
      <c r="R12" s="908" t="str">
        <f t="shared" si="7"/>
        <v>-</v>
      </c>
      <c r="S12" s="909"/>
      <c r="T12" s="2657"/>
      <c r="U12" s="914">
        <f>+S12/T10</f>
        <v>0</v>
      </c>
      <c r="V12" s="877" t="str">
        <f t="shared" si="8"/>
        <v>-</v>
      </c>
      <c r="W12" s="877"/>
      <c r="X12" s="883"/>
      <c r="Y12" s="877" t="str">
        <f t="shared" si="2"/>
        <v>-</v>
      </c>
      <c r="Z12" s="877"/>
      <c r="AA12" s="883"/>
      <c r="AB12" s="877" t="str">
        <f t="shared" si="3"/>
        <v>-</v>
      </c>
      <c r="AC12" s="877"/>
      <c r="AD12" s="883"/>
      <c r="AE12" s="877" t="str">
        <f t="shared" si="4"/>
        <v>-</v>
      </c>
      <c r="AF12" s="877"/>
      <c r="AG12" s="883"/>
      <c r="AH12" s="877">
        <f t="shared" si="5"/>
        <v>0</v>
      </c>
      <c r="AI12" s="877"/>
      <c r="AJ12" s="877"/>
      <c r="AK12" s="877">
        <f t="shared" si="12"/>
        <v>0</v>
      </c>
      <c r="AL12" s="877"/>
      <c r="AM12" s="877"/>
      <c r="AN12" s="884">
        <f t="shared" si="9"/>
        <v>0</v>
      </c>
      <c r="AO12" s="884">
        <f>+AR12+AT12</f>
        <v>0</v>
      </c>
      <c r="AP12" s="885"/>
      <c r="AQ12" s="407"/>
      <c r="AR12" s="945">
        <f>+$AN12*'ref.지급기준 (2)'!G11</f>
        <v>0</v>
      </c>
      <c r="AS12" s="884">
        <f t="shared" si="11"/>
        <v>0</v>
      </c>
      <c r="AT12" s="884">
        <f>+$AN12*'ref.지급기준 (2)'!I11</f>
        <v>0</v>
      </c>
      <c r="AU12" s="884">
        <f t="shared" si="10"/>
        <v>0</v>
      </c>
      <c r="AV12" s="884">
        <f>+$AN12*'ref.지급기준 (2)'!K11</f>
        <v>0</v>
      </c>
      <c r="AW12" s="884"/>
      <c r="AX12" s="884">
        <f>+$AN12*'ref.지급기준 (2)'!M11</f>
        <v>0</v>
      </c>
      <c r="AY12" s="884"/>
      <c r="AZ12" s="884">
        <f>+$AN12*'ref.지급기준 (2)'!O11</f>
        <v>0</v>
      </c>
      <c r="BA12" s="890"/>
      <c r="BB12" s="2683"/>
      <c r="BC12" s="393"/>
      <c r="BD12" s="393" t="b">
        <f t="shared" si="6"/>
        <v>1</v>
      </c>
      <c r="BE12" s="393"/>
      <c r="BF12" s="393"/>
      <c r="BG12" s="393"/>
      <c r="BH12" s="393"/>
      <c r="BI12" s="393"/>
      <c r="BJ12" s="393"/>
      <c r="BK12" s="393"/>
      <c r="BL12" s="393"/>
      <c r="BM12" s="393"/>
      <c r="BN12" s="408"/>
      <c r="BO12" s="408"/>
    </row>
    <row r="13" spans="1:67" ht="16.5" customHeight="1">
      <c r="A13" s="394"/>
      <c r="B13" s="2624"/>
      <c r="C13" s="2636"/>
      <c r="D13" s="2639"/>
      <c r="E13" s="2644"/>
      <c r="F13" s="2647"/>
      <c r="G13" s="2669"/>
      <c r="H13" s="2675"/>
      <c r="I13" s="2675"/>
      <c r="J13" s="2675"/>
      <c r="K13" s="875" t="s">
        <v>128</v>
      </c>
      <c r="L13" s="896">
        <f>+'ref.지급기준 (2)'!F12*'ref.지급기준 (2)'!D12/'ref.지급기준 (2)'!$Q$2</f>
        <v>0</v>
      </c>
      <c r="M13" s="896" t="s">
        <v>1218</v>
      </c>
      <c r="N13" s="1002">
        <f t="shared" si="0"/>
        <v>0</v>
      </c>
      <c r="O13" s="2690"/>
      <c r="P13" s="2693"/>
      <c r="Q13" s="874" t="b">
        <f t="shared" si="1"/>
        <v>1</v>
      </c>
      <c r="R13" s="908" t="str">
        <f t="shared" si="7"/>
        <v>-</v>
      </c>
      <c r="S13" s="909"/>
      <c r="T13" s="2657"/>
      <c r="U13" s="914">
        <f>+S13/T10</f>
        <v>0</v>
      </c>
      <c r="V13" s="877" t="str">
        <f t="shared" si="8"/>
        <v>-</v>
      </c>
      <c r="W13" s="877"/>
      <c r="X13" s="883"/>
      <c r="Y13" s="877" t="str">
        <f t="shared" si="2"/>
        <v>-</v>
      </c>
      <c r="Z13" s="877"/>
      <c r="AA13" s="883"/>
      <c r="AB13" s="877" t="str">
        <f t="shared" si="3"/>
        <v>-</v>
      </c>
      <c r="AC13" s="877"/>
      <c r="AD13" s="883"/>
      <c r="AE13" s="877" t="str">
        <f t="shared" si="4"/>
        <v>-</v>
      </c>
      <c r="AF13" s="877"/>
      <c r="AG13" s="883"/>
      <c r="AH13" s="877">
        <f t="shared" si="5"/>
        <v>0</v>
      </c>
      <c r="AI13" s="877"/>
      <c r="AJ13" s="877"/>
      <c r="AK13" s="877">
        <f t="shared" si="12"/>
        <v>0</v>
      </c>
      <c r="AL13" s="877"/>
      <c r="AM13" s="877"/>
      <c r="AN13" s="884">
        <f t="shared" si="9"/>
        <v>0</v>
      </c>
      <c r="AO13" s="884">
        <f>+AR13+AT13</f>
        <v>0</v>
      </c>
      <c r="AP13" s="885"/>
      <c r="AQ13" s="407"/>
      <c r="AR13" s="945">
        <f>+$AN13*'ref.지급기준 (2)'!G12</f>
        <v>0</v>
      </c>
      <c r="AS13" s="884">
        <f t="shared" si="11"/>
        <v>0</v>
      </c>
      <c r="AT13" s="884">
        <f>+$AN13*'ref.지급기준 (2)'!I12</f>
        <v>0</v>
      </c>
      <c r="AU13" s="884">
        <f t="shared" si="10"/>
        <v>0</v>
      </c>
      <c r="AV13" s="884">
        <f>+$AN13*'ref.지급기준 (2)'!K12</f>
        <v>0</v>
      </c>
      <c r="AW13" s="884"/>
      <c r="AX13" s="884">
        <f>+$AN13*'ref.지급기준 (2)'!M12</f>
        <v>0</v>
      </c>
      <c r="AY13" s="884"/>
      <c r="AZ13" s="884">
        <f>+$AN13*'ref.지급기준 (2)'!O12</f>
        <v>0</v>
      </c>
      <c r="BA13" s="890"/>
      <c r="BB13" s="2683"/>
      <c r="BC13" s="393"/>
      <c r="BD13" s="393" t="b">
        <f t="shared" si="6"/>
        <v>1</v>
      </c>
      <c r="BE13" s="393"/>
      <c r="BF13" s="393"/>
      <c r="BG13" s="393"/>
      <c r="BH13" s="393"/>
      <c r="BI13" s="393"/>
      <c r="BJ13" s="393"/>
      <c r="BK13" s="393"/>
      <c r="BL13" s="393"/>
      <c r="BM13" s="393"/>
      <c r="BN13" s="408"/>
      <c r="BO13" s="408"/>
    </row>
    <row r="14" spans="1:67" ht="16.5" customHeight="1" thickBot="1">
      <c r="A14" s="394"/>
      <c r="B14" s="2624"/>
      <c r="C14" s="2636"/>
      <c r="D14" s="2639"/>
      <c r="E14" s="2644"/>
      <c r="F14" s="2648"/>
      <c r="G14" s="2670"/>
      <c r="H14" s="2676"/>
      <c r="I14" s="2676"/>
      <c r="J14" s="2676"/>
      <c r="K14" s="999" t="s">
        <v>129</v>
      </c>
      <c r="L14" s="900"/>
      <c r="M14" s="900"/>
      <c r="N14" s="1003"/>
      <c r="O14" s="2690"/>
      <c r="P14" s="2693"/>
      <c r="Q14" s="874"/>
      <c r="R14" s="910"/>
      <c r="S14" s="911"/>
      <c r="T14" s="2665"/>
      <c r="U14" s="915">
        <f>+S14/T10</f>
        <v>0</v>
      </c>
      <c r="V14" s="910" t="str">
        <f t="shared" si="8"/>
        <v>-</v>
      </c>
      <c r="W14" s="926"/>
      <c r="X14" s="926"/>
      <c r="Y14" s="926" t="str">
        <f t="shared" si="2"/>
        <v>-</v>
      </c>
      <c r="Z14" s="926"/>
      <c r="AA14" s="927"/>
      <c r="AB14" s="926" t="str">
        <f t="shared" si="3"/>
        <v>-</v>
      </c>
      <c r="AC14" s="926"/>
      <c r="AD14" s="927"/>
      <c r="AE14" s="926" t="str">
        <f t="shared" si="4"/>
        <v>-</v>
      </c>
      <c r="AF14" s="926"/>
      <c r="AG14" s="927"/>
      <c r="AH14" s="926">
        <f t="shared" si="5"/>
        <v>0</v>
      </c>
      <c r="AI14" s="926"/>
      <c r="AJ14" s="926"/>
      <c r="AK14" s="926"/>
      <c r="AL14" s="926"/>
      <c r="AM14" s="926"/>
      <c r="AN14" s="928">
        <f t="shared" si="9"/>
        <v>0</v>
      </c>
      <c r="AO14" s="928">
        <f>+AR14+AT14</f>
        <v>0</v>
      </c>
      <c r="AP14" s="931"/>
      <c r="AQ14" s="407"/>
      <c r="AR14" s="947">
        <f>+$AN14*'ref.지급기준 (2)'!G13</f>
        <v>0</v>
      </c>
      <c r="AS14" s="928">
        <f t="shared" si="11"/>
        <v>0</v>
      </c>
      <c r="AT14" s="928">
        <f>+$AN14*'ref.지급기준 (2)'!I13</f>
        <v>0</v>
      </c>
      <c r="AU14" s="928">
        <f t="shared" si="10"/>
        <v>0</v>
      </c>
      <c r="AV14" s="928">
        <f>+$AN14*'ref.지급기준 (2)'!K13</f>
        <v>0</v>
      </c>
      <c r="AW14" s="928"/>
      <c r="AX14" s="928">
        <f>+$AN14*'ref.지급기준 (2)'!M13</f>
        <v>0</v>
      </c>
      <c r="AY14" s="928"/>
      <c r="AZ14" s="928">
        <f>+$AN14*'ref.지급기준 (2)'!O13</f>
        <v>0</v>
      </c>
      <c r="BA14" s="997"/>
      <c r="BB14" s="2683"/>
      <c r="BC14" s="393"/>
      <c r="BD14" s="393"/>
      <c r="BE14" s="393"/>
      <c r="BF14" s="393"/>
      <c r="BG14" s="393"/>
      <c r="BH14" s="393"/>
      <c r="BI14" s="393"/>
      <c r="BJ14" s="393"/>
      <c r="BK14" s="393"/>
      <c r="BL14" s="393"/>
      <c r="BM14" s="393"/>
      <c r="BN14" s="408"/>
      <c r="BO14" s="408"/>
    </row>
    <row r="15" spans="1:67" ht="16.5" customHeight="1">
      <c r="A15" s="394"/>
      <c r="B15" s="2624"/>
      <c r="C15" s="2636"/>
      <c r="D15" s="2639"/>
      <c r="E15" s="2644"/>
      <c r="F15" s="2646" t="s">
        <v>1219</v>
      </c>
      <c r="G15" s="2668">
        <v>999.6</v>
      </c>
      <c r="H15" s="2674">
        <v>6.1899999999999997E-2</v>
      </c>
      <c r="I15" s="2674"/>
      <c r="J15" s="2674" t="s">
        <v>1213</v>
      </c>
      <c r="K15" s="893" t="s">
        <v>125</v>
      </c>
      <c r="L15" s="904">
        <f>+'ref.지급기준 (2)'!F14*'ref.지급기준 (2)'!D14/'ref.지급기준 (2)'!$Q$2</f>
        <v>1049580000</v>
      </c>
      <c r="M15" s="904">
        <f>+L15*10%</f>
        <v>104958000</v>
      </c>
      <c r="N15" s="1012">
        <f t="shared" si="0"/>
        <v>1154538000</v>
      </c>
      <c r="O15" s="2690"/>
      <c r="P15" s="2693"/>
      <c r="Q15" s="874" t="b">
        <f t="shared" si="1"/>
        <v>1</v>
      </c>
      <c r="R15" s="906">
        <f t="shared" si="7"/>
        <v>0</v>
      </c>
      <c r="S15" s="907"/>
      <c r="T15" s="2656">
        <v>1470</v>
      </c>
      <c r="U15" s="913">
        <f>+S15/T15</f>
        <v>0</v>
      </c>
      <c r="V15" s="878">
        <f>+IFERROR(W15/$N15,"-")</f>
        <v>0</v>
      </c>
      <c r="W15" s="877"/>
      <c r="X15" s="883">
        <v>45716</v>
      </c>
      <c r="Y15" s="877">
        <f t="shared" si="2"/>
        <v>0</v>
      </c>
      <c r="Z15" s="877"/>
      <c r="AA15" s="883">
        <f>+EDATE(X15,1)+3</f>
        <v>45747</v>
      </c>
      <c r="AB15" s="877">
        <f t="shared" si="3"/>
        <v>0</v>
      </c>
      <c r="AC15" s="877"/>
      <c r="AD15" s="883">
        <f>+EDATE(AA15,3)</f>
        <v>45838</v>
      </c>
      <c r="AE15" s="877">
        <f t="shared" si="4"/>
        <v>0</v>
      </c>
      <c r="AF15" s="877"/>
      <c r="AG15" s="883">
        <f>+EDATE(AA15,4)</f>
        <v>45869</v>
      </c>
      <c r="AH15" s="877">
        <f t="shared" si="5"/>
        <v>0</v>
      </c>
      <c r="AI15" s="877"/>
      <c r="AJ15" s="883">
        <f>+EDATE(AA15,6)</f>
        <v>45930</v>
      </c>
      <c r="AK15" s="877">
        <f t="shared" si="12"/>
        <v>0</v>
      </c>
      <c r="AL15" s="877"/>
      <c r="AM15" s="877"/>
      <c r="AN15" s="884">
        <f t="shared" si="9"/>
        <v>1154538000</v>
      </c>
      <c r="AO15" s="884">
        <f>+AN15*'ref.지급기준 (2)'!G14</f>
        <v>115453800</v>
      </c>
      <c r="AP15" s="885">
        <f>+X15</f>
        <v>45716</v>
      </c>
      <c r="AQ15" s="407"/>
      <c r="AR15" s="946">
        <f>+$AN15*'ref.지급기준 (2)'!G14</f>
        <v>115453800</v>
      </c>
      <c r="AS15" s="924">
        <f t="shared" si="11"/>
        <v>0</v>
      </c>
      <c r="AT15" s="924">
        <f>+$AN15*'ref.지급기준 (2)'!I14</f>
        <v>230907600</v>
      </c>
      <c r="AU15" s="924">
        <f t="shared" si="10"/>
        <v>0</v>
      </c>
      <c r="AV15" s="924">
        <f>+$AN15*'ref.지급기준 (2)'!K14</f>
        <v>461815200</v>
      </c>
      <c r="AW15" s="924"/>
      <c r="AX15" s="924">
        <f>+$AN15*'ref.지급기준 (2)'!M14</f>
        <v>288634500</v>
      </c>
      <c r="AY15" s="924"/>
      <c r="AZ15" s="924">
        <f>+$AN15*'ref.지급기준 (2)'!O14</f>
        <v>57726900</v>
      </c>
      <c r="BA15" s="996"/>
      <c r="BB15" s="2683"/>
      <c r="BC15" s="393"/>
      <c r="BD15" s="393" t="b">
        <f t="shared" si="6"/>
        <v>1</v>
      </c>
      <c r="BE15" s="393"/>
      <c r="BF15" s="393"/>
      <c r="BG15" s="393"/>
      <c r="BH15" s="393"/>
      <c r="BI15" s="393"/>
      <c r="BJ15" s="393"/>
      <c r="BK15" s="393"/>
      <c r="BL15" s="393"/>
      <c r="BM15" s="393"/>
      <c r="BN15" s="408"/>
      <c r="BO15" s="408"/>
    </row>
    <row r="16" spans="1:67" ht="16.5" customHeight="1">
      <c r="A16" s="394"/>
      <c r="B16" s="2624"/>
      <c r="C16" s="2636"/>
      <c r="D16" s="2639"/>
      <c r="E16" s="2644"/>
      <c r="F16" s="2647"/>
      <c r="G16" s="2669"/>
      <c r="H16" s="2675"/>
      <c r="I16" s="2675"/>
      <c r="J16" s="2675"/>
      <c r="K16" s="875" t="s">
        <v>126</v>
      </c>
      <c r="L16" s="896">
        <f>+'ref.지급기준 (2)'!F15*'ref.지급기준 (2)'!D15/'ref.지급기준 (2)'!$Q$2</f>
        <v>549780000</v>
      </c>
      <c r="M16" s="896" t="s">
        <v>1218</v>
      </c>
      <c r="N16" s="1002">
        <f t="shared" si="0"/>
        <v>549780000</v>
      </c>
      <c r="O16" s="2690"/>
      <c r="P16" s="2693"/>
      <c r="Q16" s="874" t="b">
        <f t="shared" si="1"/>
        <v>1</v>
      </c>
      <c r="R16" s="908">
        <f t="shared" si="7"/>
        <v>0.64448779511804721</v>
      </c>
      <c r="S16" s="909">
        <f t="shared" si="13"/>
        <v>354326500</v>
      </c>
      <c r="T16" s="2657"/>
      <c r="U16" s="914">
        <f>+S16/T15</f>
        <v>241038.43537414967</v>
      </c>
      <c r="V16" s="879">
        <f t="shared" si="8"/>
        <v>0.55000000000000004</v>
      </c>
      <c r="W16" s="880">
        <v>302379000</v>
      </c>
      <c r="X16" s="881">
        <v>45450</v>
      </c>
      <c r="Y16" s="879">
        <f t="shared" si="2"/>
        <v>9.4487795118047224E-2</v>
      </c>
      <c r="Z16" s="882">
        <v>51947500</v>
      </c>
      <c r="AA16" s="881">
        <v>45456</v>
      </c>
      <c r="AB16" s="877">
        <f t="shared" si="3"/>
        <v>0</v>
      </c>
      <c r="AC16" s="877"/>
      <c r="AD16" s="883">
        <f>EDATE(AA15,6)</f>
        <v>45930</v>
      </c>
      <c r="AE16" s="877">
        <f t="shared" si="4"/>
        <v>0</v>
      </c>
      <c r="AF16" s="877"/>
      <c r="AG16" s="883"/>
      <c r="AH16" s="877">
        <f t="shared" si="5"/>
        <v>0</v>
      </c>
      <c r="AI16" s="877"/>
      <c r="AJ16" s="877"/>
      <c r="AK16" s="877">
        <f t="shared" si="12"/>
        <v>0</v>
      </c>
      <c r="AL16" s="877"/>
      <c r="AM16" s="877"/>
      <c r="AN16" s="884">
        <f t="shared" si="9"/>
        <v>549780000</v>
      </c>
      <c r="AO16" s="884">
        <f>+AN16*'ref.지급기준 (2)'!K15+AN16*('ref.지급기준 (2)'!G15+'ref.지급기준 (2)'!I15)-S16</f>
        <v>195453500</v>
      </c>
      <c r="AP16" s="885">
        <f>+AD16</f>
        <v>45930</v>
      </c>
      <c r="AQ16" s="407"/>
      <c r="AR16" s="945">
        <f>+$AN16*'ref.지급기준 (2)'!G15</f>
        <v>302379000</v>
      </c>
      <c r="AS16" s="884">
        <f t="shared" si="11"/>
        <v>302379000</v>
      </c>
      <c r="AT16" s="884">
        <f>+$AN16*'ref.지급기준 (2)'!I15</f>
        <v>82467000</v>
      </c>
      <c r="AU16" s="884">
        <f t="shared" si="10"/>
        <v>51947500</v>
      </c>
      <c r="AV16" s="884">
        <f>+$AN16*'ref.지급기준 (2)'!K15</f>
        <v>164934000</v>
      </c>
      <c r="AW16" s="884"/>
      <c r="AX16" s="884">
        <f>+$AN16*'ref.지급기준 (2)'!M15</f>
        <v>0</v>
      </c>
      <c r="AY16" s="884"/>
      <c r="AZ16" s="884">
        <f>+$AN16*'ref.지급기준 (2)'!O15</f>
        <v>0</v>
      </c>
      <c r="BA16" s="890"/>
      <c r="BB16" s="2683"/>
      <c r="BC16" s="393"/>
      <c r="BD16" s="393" t="b">
        <f t="shared" si="6"/>
        <v>1</v>
      </c>
      <c r="BE16" s="393"/>
      <c r="BF16" s="393"/>
      <c r="BG16" s="393"/>
      <c r="BH16" s="393"/>
      <c r="BI16" s="393"/>
      <c r="BJ16" s="393"/>
      <c r="BK16" s="393"/>
      <c r="BL16" s="393"/>
      <c r="BM16" s="393"/>
      <c r="BN16" s="408"/>
      <c r="BO16" s="408"/>
    </row>
    <row r="17" spans="1:67" ht="16.5" customHeight="1">
      <c r="A17" s="394"/>
      <c r="B17" s="2624"/>
      <c r="C17" s="2636"/>
      <c r="D17" s="2639"/>
      <c r="E17" s="2644"/>
      <c r="F17" s="2647"/>
      <c r="G17" s="2669"/>
      <c r="H17" s="2675"/>
      <c r="I17" s="2675"/>
      <c r="J17" s="2675"/>
      <c r="K17" s="875" t="s">
        <v>127</v>
      </c>
      <c r="L17" s="896">
        <f>+'ref.지급기준 (2)'!F16*'ref.지급기준 (2)'!D16/'ref.지급기준 (2)'!$Q$2</f>
        <v>0</v>
      </c>
      <c r="M17" s="896" t="s">
        <v>1218</v>
      </c>
      <c r="N17" s="1002">
        <f t="shared" si="0"/>
        <v>0</v>
      </c>
      <c r="O17" s="2690"/>
      <c r="P17" s="2693"/>
      <c r="Q17" s="874" t="b">
        <f t="shared" si="1"/>
        <v>1</v>
      </c>
      <c r="R17" s="908" t="str">
        <f t="shared" si="7"/>
        <v>-</v>
      </c>
      <c r="S17" s="909"/>
      <c r="T17" s="2657"/>
      <c r="U17" s="914">
        <f>+S17/T15</f>
        <v>0</v>
      </c>
      <c r="V17" s="877" t="str">
        <f t="shared" si="8"/>
        <v>-</v>
      </c>
      <c r="W17" s="877"/>
      <c r="X17" s="883"/>
      <c r="Y17" s="877" t="str">
        <f t="shared" si="2"/>
        <v>-</v>
      </c>
      <c r="Z17" s="877"/>
      <c r="AA17" s="883"/>
      <c r="AB17" s="877" t="str">
        <f t="shared" si="3"/>
        <v>-</v>
      </c>
      <c r="AC17" s="877"/>
      <c r="AD17" s="883"/>
      <c r="AE17" s="877" t="str">
        <f t="shared" si="4"/>
        <v>-</v>
      </c>
      <c r="AF17" s="877"/>
      <c r="AG17" s="883"/>
      <c r="AH17" s="877">
        <f t="shared" si="5"/>
        <v>0</v>
      </c>
      <c r="AI17" s="877"/>
      <c r="AJ17" s="877"/>
      <c r="AK17" s="877">
        <f t="shared" si="12"/>
        <v>0</v>
      </c>
      <c r="AL17" s="877"/>
      <c r="AM17" s="877"/>
      <c r="AN17" s="884">
        <f t="shared" si="9"/>
        <v>0</v>
      </c>
      <c r="AO17" s="884">
        <f>+AR17+AT17</f>
        <v>0</v>
      </c>
      <c r="AP17" s="885"/>
      <c r="AQ17" s="407"/>
      <c r="AR17" s="945">
        <f>+$AN17*'ref.지급기준 (2)'!G16</f>
        <v>0</v>
      </c>
      <c r="AS17" s="884">
        <f t="shared" si="11"/>
        <v>0</v>
      </c>
      <c r="AT17" s="884">
        <f>+$AN17*'ref.지급기준 (2)'!I16</f>
        <v>0</v>
      </c>
      <c r="AU17" s="884">
        <f t="shared" si="10"/>
        <v>0</v>
      </c>
      <c r="AV17" s="884">
        <f>+$AN17*'ref.지급기준 (2)'!K16</f>
        <v>0</v>
      </c>
      <c r="AW17" s="884"/>
      <c r="AX17" s="884">
        <f>+$AN17*'ref.지급기준 (2)'!M16</f>
        <v>0</v>
      </c>
      <c r="AY17" s="884"/>
      <c r="AZ17" s="884">
        <f>+$AN17*'ref.지급기준 (2)'!O16</f>
        <v>0</v>
      </c>
      <c r="BA17" s="890"/>
      <c r="BB17" s="2683"/>
      <c r="BC17" s="393"/>
      <c r="BD17" s="393" t="b">
        <f t="shared" si="6"/>
        <v>1</v>
      </c>
      <c r="BE17" s="393"/>
      <c r="BF17" s="393"/>
      <c r="BG17" s="393"/>
      <c r="BH17" s="393"/>
      <c r="BI17" s="393"/>
      <c r="BJ17" s="393"/>
      <c r="BK17" s="393"/>
      <c r="BL17" s="393"/>
      <c r="BM17" s="393"/>
      <c r="BN17" s="408"/>
      <c r="BO17" s="408"/>
    </row>
    <row r="18" spans="1:67" ht="16.5" customHeight="1">
      <c r="A18" s="394"/>
      <c r="B18" s="2624"/>
      <c r="C18" s="2636"/>
      <c r="D18" s="2639"/>
      <c r="E18" s="2644"/>
      <c r="F18" s="2647"/>
      <c r="G18" s="2669"/>
      <c r="H18" s="2675"/>
      <c r="I18" s="2675"/>
      <c r="J18" s="2675"/>
      <c r="K18" s="875" t="s">
        <v>128</v>
      </c>
      <c r="L18" s="896">
        <f>+'ref.지급기준 (2)'!F17*'ref.지급기준 (2)'!D17/'ref.지급기준 (2)'!$Q$2</f>
        <v>0</v>
      </c>
      <c r="M18" s="896" t="s">
        <v>1218</v>
      </c>
      <c r="N18" s="1002">
        <f t="shared" si="0"/>
        <v>0</v>
      </c>
      <c r="O18" s="2690"/>
      <c r="P18" s="2693"/>
      <c r="Q18" s="874" t="b">
        <f t="shared" si="1"/>
        <v>1</v>
      </c>
      <c r="R18" s="908" t="str">
        <f t="shared" si="7"/>
        <v>-</v>
      </c>
      <c r="S18" s="909"/>
      <c r="T18" s="2657"/>
      <c r="U18" s="914">
        <f>+S18/T15</f>
        <v>0</v>
      </c>
      <c r="V18" s="877" t="str">
        <f t="shared" si="8"/>
        <v>-</v>
      </c>
      <c r="W18" s="877"/>
      <c r="X18" s="883"/>
      <c r="Y18" s="877" t="str">
        <f t="shared" si="2"/>
        <v>-</v>
      </c>
      <c r="Z18" s="877"/>
      <c r="AA18" s="883"/>
      <c r="AB18" s="877" t="str">
        <f t="shared" si="3"/>
        <v>-</v>
      </c>
      <c r="AC18" s="877"/>
      <c r="AD18" s="883"/>
      <c r="AE18" s="877" t="str">
        <f t="shared" si="4"/>
        <v>-</v>
      </c>
      <c r="AF18" s="877"/>
      <c r="AG18" s="883"/>
      <c r="AH18" s="877">
        <f t="shared" si="5"/>
        <v>0</v>
      </c>
      <c r="AI18" s="877"/>
      <c r="AJ18" s="877"/>
      <c r="AK18" s="877">
        <f t="shared" si="12"/>
        <v>0</v>
      </c>
      <c r="AL18" s="877"/>
      <c r="AM18" s="877"/>
      <c r="AN18" s="884">
        <f t="shared" si="9"/>
        <v>0</v>
      </c>
      <c r="AO18" s="884">
        <f>+AR18+AT18</f>
        <v>0</v>
      </c>
      <c r="AP18" s="885"/>
      <c r="AQ18" s="407"/>
      <c r="AR18" s="945">
        <f>+$AN18*'ref.지급기준 (2)'!G17</f>
        <v>0</v>
      </c>
      <c r="AS18" s="884">
        <f t="shared" si="11"/>
        <v>0</v>
      </c>
      <c r="AT18" s="884">
        <f>+$AN18*'ref.지급기준 (2)'!I17</f>
        <v>0</v>
      </c>
      <c r="AU18" s="884">
        <f t="shared" si="10"/>
        <v>0</v>
      </c>
      <c r="AV18" s="884">
        <f>+$AN18*'ref.지급기준 (2)'!K17</f>
        <v>0</v>
      </c>
      <c r="AW18" s="884">
        <f>+$AN22*'ref.지급기준 (2)'!O21</f>
        <v>0</v>
      </c>
      <c r="AX18" s="884">
        <f>+$AN18*'ref.지급기준 (2)'!M17</f>
        <v>0</v>
      </c>
      <c r="AY18" s="884"/>
      <c r="AZ18" s="884">
        <f>+$AN18*'ref.지급기준 (2)'!O17</f>
        <v>0</v>
      </c>
      <c r="BA18" s="890"/>
      <c r="BB18" s="2683"/>
      <c r="BC18" s="393"/>
      <c r="BD18" s="393" t="b">
        <f t="shared" si="6"/>
        <v>1</v>
      </c>
      <c r="BE18" s="393"/>
      <c r="BF18" s="393"/>
      <c r="BG18" s="393"/>
      <c r="BH18" s="393"/>
      <c r="BI18" s="393"/>
      <c r="BJ18" s="393"/>
      <c r="BK18" s="393"/>
      <c r="BL18" s="393"/>
      <c r="BM18" s="393"/>
      <c r="BN18" s="408"/>
      <c r="BO18" s="408"/>
    </row>
    <row r="19" spans="1:67" ht="16.5" customHeight="1" thickBot="1">
      <c r="A19" s="394"/>
      <c r="B19" s="2624"/>
      <c r="C19" s="2636"/>
      <c r="D19" s="2639"/>
      <c r="E19" s="2644"/>
      <c r="F19" s="2648"/>
      <c r="G19" s="2670"/>
      <c r="H19" s="2676"/>
      <c r="I19" s="2676"/>
      <c r="J19" s="2676"/>
      <c r="K19" s="999" t="s">
        <v>129</v>
      </c>
      <c r="L19" s="900"/>
      <c r="M19" s="900"/>
      <c r="N19" s="1003"/>
      <c r="O19" s="2690"/>
      <c r="P19" s="2693"/>
      <c r="Q19" s="874"/>
      <c r="R19" s="910"/>
      <c r="S19" s="911"/>
      <c r="T19" s="2665"/>
      <c r="U19" s="915">
        <f>+S19/T15</f>
        <v>0</v>
      </c>
      <c r="V19" s="910" t="str">
        <f t="shared" si="8"/>
        <v>-</v>
      </c>
      <c r="W19" s="926"/>
      <c r="X19" s="926"/>
      <c r="Y19" s="926" t="str">
        <f t="shared" si="2"/>
        <v>-</v>
      </c>
      <c r="Z19" s="926"/>
      <c r="AA19" s="927"/>
      <c r="AB19" s="926" t="str">
        <f t="shared" si="3"/>
        <v>-</v>
      </c>
      <c r="AC19" s="926"/>
      <c r="AD19" s="927"/>
      <c r="AE19" s="926" t="str">
        <f t="shared" si="4"/>
        <v>-</v>
      </c>
      <c r="AF19" s="926"/>
      <c r="AG19" s="927"/>
      <c r="AH19" s="926">
        <f t="shared" si="5"/>
        <v>0</v>
      </c>
      <c r="AI19" s="926"/>
      <c r="AJ19" s="926"/>
      <c r="AK19" s="926"/>
      <c r="AL19" s="926"/>
      <c r="AM19" s="926"/>
      <c r="AN19" s="928">
        <f t="shared" si="9"/>
        <v>0</v>
      </c>
      <c r="AO19" s="928">
        <f>+AR19+AT19</f>
        <v>0</v>
      </c>
      <c r="AP19" s="931"/>
      <c r="AQ19" s="407"/>
      <c r="AR19" s="947">
        <f>+$AN19*'ref.지급기준 (2)'!G18</f>
        <v>0</v>
      </c>
      <c r="AS19" s="928">
        <f t="shared" si="11"/>
        <v>0</v>
      </c>
      <c r="AT19" s="928">
        <f>+$AN19*'ref.지급기준 (2)'!I18</f>
        <v>0</v>
      </c>
      <c r="AU19" s="928">
        <f t="shared" si="10"/>
        <v>0</v>
      </c>
      <c r="AV19" s="928">
        <f>+$AN19*'ref.지급기준 (2)'!K18</f>
        <v>0</v>
      </c>
      <c r="AW19" s="928"/>
      <c r="AX19" s="928">
        <f>+$AN19*'ref.지급기준 (2)'!M18</f>
        <v>0</v>
      </c>
      <c r="AY19" s="928"/>
      <c r="AZ19" s="928">
        <f>+$AN19*'ref.지급기준 (2)'!O18</f>
        <v>0</v>
      </c>
      <c r="BA19" s="997"/>
      <c r="BB19" s="2683"/>
      <c r="BC19" s="393"/>
      <c r="BD19" s="393"/>
      <c r="BE19" s="393"/>
      <c r="BF19" s="393"/>
      <c r="BG19" s="393"/>
      <c r="BH19" s="393"/>
      <c r="BI19" s="393"/>
      <c r="BJ19" s="393"/>
      <c r="BK19" s="393"/>
      <c r="BL19" s="393"/>
      <c r="BM19" s="393"/>
      <c r="BN19" s="408"/>
      <c r="BO19" s="408"/>
    </row>
    <row r="20" spans="1:67" ht="16.5" customHeight="1">
      <c r="A20" s="394"/>
      <c r="B20" s="2624"/>
      <c r="C20" s="2636"/>
      <c r="D20" s="2639"/>
      <c r="E20" s="2644"/>
      <c r="F20" s="2646" t="s">
        <v>154</v>
      </c>
      <c r="G20" s="2668">
        <v>999.6</v>
      </c>
      <c r="H20" s="2671">
        <v>6.1899999999999997E-2</v>
      </c>
      <c r="I20" s="2674"/>
      <c r="J20" s="2674" t="s">
        <v>1213</v>
      </c>
      <c r="K20" s="893" t="s">
        <v>125</v>
      </c>
      <c r="L20" s="904">
        <f>+'ref.지급기준 (2)'!F19*'ref.지급기준 (2)'!D19/'ref.지급기준 (2)'!$Q$2</f>
        <v>1049580000</v>
      </c>
      <c r="M20" s="904" t="s">
        <v>1218</v>
      </c>
      <c r="N20" s="1012">
        <f t="shared" si="0"/>
        <v>1049580000</v>
      </c>
      <c r="O20" s="2690"/>
      <c r="P20" s="2693"/>
      <c r="Q20" s="874" t="b">
        <f t="shared" si="1"/>
        <v>1</v>
      </c>
      <c r="R20" s="906">
        <f t="shared" si="7"/>
        <v>0</v>
      </c>
      <c r="S20" s="907"/>
      <c r="T20" s="2656">
        <v>1470</v>
      </c>
      <c r="U20" s="913">
        <f>+S20/T20</f>
        <v>0</v>
      </c>
      <c r="V20" s="878">
        <f>+IFERROR(W20/$N20,"-")</f>
        <v>0</v>
      </c>
      <c r="W20" s="877"/>
      <c r="X20" s="883">
        <v>45716</v>
      </c>
      <c r="Y20" s="877">
        <f t="shared" si="2"/>
        <v>0</v>
      </c>
      <c r="Z20" s="877"/>
      <c r="AA20" s="883">
        <f>+EDATE(X20,1)+3</f>
        <v>45747</v>
      </c>
      <c r="AB20" s="877">
        <f t="shared" si="3"/>
        <v>0</v>
      </c>
      <c r="AC20" s="877"/>
      <c r="AD20" s="883">
        <f>+EDATE(AA20,3)</f>
        <v>45838</v>
      </c>
      <c r="AE20" s="877">
        <f t="shared" si="4"/>
        <v>0</v>
      </c>
      <c r="AF20" s="877"/>
      <c r="AG20" s="883">
        <f>+EDATE(AA20,4)</f>
        <v>45869</v>
      </c>
      <c r="AH20" s="877">
        <f t="shared" si="5"/>
        <v>0</v>
      </c>
      <c r="AI20" s="877"/>
      <c r="AJ20" s="883">
        <f>+EDATE(AA20,6)</f>
        <v>45930</v>
      </c>
      <c r="AK20" s="877">
        <f t="shared" si="12"/>
        <v>0</v>
      </c>
      <c r="AL20" s="877"/>
      <c r="AM20" s="877"/>
      <c r="AN20" s="884">
        <f t="shared" si="9"/>
        <v>1049580000</v>
      </c>
      <c r="AO20" s="884">
        <f>+AN20*'ref.지급기준 (2)'!G19</f>
        <v>104958000</v>
      </c>
      <c r="AP20" s="885">
        <f>+X20</f>
        <v>45716</v>
      </c>
      <c r="AQ20" s="407"/>
      <c r="AR20" s="946">
        <f>+$AN20*'ref.지급기준 (2)'!G19</f>
        <v>104958000</v>
      </c>
      <c r="AS20" s="924">
        <f t="shared" si="11"/>
        <v>0</v>
      </c>
      <c r="AT20" s="924">
        <f>+$AN20*'ref.지급기준 (2)'!I19</f>
        <v>209916000</v>
      </c>
      <c r="AU20" s="924">
        <f t="shared" si="10"/>
        <v>0</v>
      </c>
      <c r="AV20" s="924">
        <f>+$AN20*'ref.지급기준 (2)'!K19</f>
        <v>419832000</v>
      </c>
      <c r="AW20" s="924">
        <f>+$AN23*'ref.지급기준 (2)'!O22</f>
        <v>0</v>
      </c>
      <c r="AX20" s="924">
        <f>+$AN20*'ref.지급기준 (2)'!M19</f>
        <v>262395000</v>
      </c>
      <c r="AY20" s="924"/>
      <c r="AZ20" s="924">
        <f>+$AN20*'ref.지급기준 (2)'!O19</f>
        <v>52479000</v>
      </c>
      <c r="BA20" s="996"/>
      <c r="BB20" s="2683"/>
      <c r="BC20" s="393"/>
      <c r="BD20" s="393" t="b">
        <f t="shared" si="6"/>
        <v>1</v>
      </c>
      <c r="BE20" s="393"/>
      <c r="BF20" s="393"/>
      <c r="BG20" s="393"/>
      <c r="BH20" s="393"/>
      <c r="BI20" s="393"/>
      <c r="BJ20" s="393"/>
      <c r="BK20" s="393"/>
      <c r="BL20" s="393"/>
      <c r="BM20" s="393"/>
      <c r="BN20" s="408"/>
      <c r="BO20" s="408"/>
    </row>
    <row r="21" spans="1:67" ht="16.5" customHeight="1">
      <c r="A21" s="394"/>
      <c r="B21" s="2624"/>
      <c r="C21" s="2636"/>
      <c r="D21" s="2639"/>
      <c r="E21" s="2644"/>
      <c r="F21" s="2647"/>
      <c r="G21" s="2669"/>
      <c r="H21" s="2672"/>
      <c r="I21" s="2675"/>
      <c r="J21" s="2675"/>
      <c r="K21" s="875" t="s">
        <v>126</v>
      </c>
      <c r="L21" s="896">
        <f>+'ref.지급기준 (2)'!F20*'ref.지급기준 (2)'!D20/'ref.지급기준 (2)'!$Q$2</f>
        <v>549780000</v>
      </c>
      <c r="M21" s="896" t="s">
        <v>1218</v>
      </c>
      <c r="N21" s="1002">
        <f t="shared" si="0"/>
        <v>549780000</v>
      </c>
      <c r="O21" s="2690"/>
      <c r="P21" s="2693"/>
      <c r="Q21" s="874" t="b">
        <f t="shared" si="1"/>
        <v>1</v>
      </c>
      <c r="R21" s="908">
        <f t="shared" si="7"/>
        <v>0.64448779511804721</v>
      </c>
      <c r="S21" s="909">
        <f t="shared" si="13"/>
        <v>354326500</v>
      </c>
      <c r="T21" s="2657"/>
      <c r="U21" s="914">
        <f>+S21/T20</f>
        <v>241038.43537414967</v>
      </c>
      <c r="V21" s="879">
        <f t="shared" si="8"/>
        <v>0.55000000000000004</v>
      </c>
      <c r="W21" s="880">
        <v>302379000</v>
      </c>
      <c r="X21" s="881">
        <v>45450</v>
      </c>
      <c r="Y21" s="879">
        <f t="shared" si="2"/>
        <v>9.4487795118047224E-2</v>
      </c>
      <c r="Z21" s="882">
        <v>51947500</v>
      </c>
      <c r="AA21" s="881">
        <v>45456</v>
      </c>
      <c r="AB21" s="877">
        <f t="shared" si="3"/>
        <v>0</v>
      </c>
      <c r="AC21" s="877"/>
      <c r="AD21" s="883">
        <f>EDATE(AA20,6)</f>
        <v>45930</v>
      </c>
      <c r="AE21" s="877">
        <f t="shared" si="4"/>
        <v>0</v>
      </c>
      <c r="AF21" s="877"/>
      <c r="AG21" s="883"/>
      <c r="AH21" s="877">
        <f t="shared" si="5"/>
        <v>0</v>
      </c>
      <c r="AI21" s="877"/>
      <c r="AJ21" s="877"/>
      <c r="AK21" s="877">
        <f t="shared" si="12"/>
        <v>0</v>
      </c>
      <c r="AL21" s="877"/>
      <c r="AM21" s="877"/>
      <c r="AN21" s="884">
        <f t="shared" si="9"/>
        <v>549780000</v>
      </c>
      <c r="AO21" s="884">
        <f>+AN21*'ref.지급기준 (2)'!K20+AN21*('ref.지급기준 (2)'!G20+'ref.지급기준 (2)'!I20)-S21</f>
        <v>195453500</v>
      </c>
      <c r="AP21" s="885">
        <f>+AD21</f>
        <v>45930</v>
      </c>
      <c r="AQ21" s="407"/>
      <c r="AR21" s="945">
        <f>+$AN21*'ref.지급기준 (2)'!G20</f>
        <v>302379000</v>
      </c>
      <c r="AS21" s="884">
        <f t="shared" si="11"/>
        <v>302379000</v>
      </c>
      <c r="AT21" s="884">
        <f>+$AN21*'ref.지급기준 (2)'!I20</f>
        <v>82467000</v>
      </c>
      <c r="AU21" s="884">
        <f t="shared" si="10"/>
        <v>51947500</v>
      </c>
      <c r="AV21" s="884">
        <f>+$AN21*'ref.지급기준 (2)'!K20</f>
        <v>164934000</v>
      </c>
      <c r="AW21" s="884"/>
      <c r="AX21" s="884">
        <f>+$AN21*'ref.지급기준 (2)'!M20</f>
        <v>0</v>
      </c>
      <c r="AY21" s="884"/>
      <c r="AZ21" s="884">
        <f>+$AN21*'ref.지급기준 (2)'!O20</f>
        <v>0</v>
      </c>
      <c r="BA21" s="890"/>
      <c r="BB21" s="2683"/>
      <c r="BC21" s="393"/>
      <c r="BD21" s="393" t="b">
        <f t="shared" si="6"/>
        <v>1</v>
      </c>
      <c r="BE21" s="393"/>
      <c r="BF21" s="393"/>
      <c r="BG21" s="393"/>
      <c r="BH21" s="393"/>
      <c r="BI21" s="393"/>
      <c r="BJ21" s="393"/>
      <c r="BK21" s="393"/>
      <c r="BL21" s="393"/>
      <c r="BM21" s="393"/>
      <c r="BN21" s="408"/>
      <c r="BO21" s="408"/>
    </row>
    <row r="22" spans="1:67" ht="16.5" customHeight="1">
      <c r="A22" s="394"/>
      <c r="B22" s="2624"/>
      <c r="C22" s="2636"/>
      <c r="D22" s="2639"/>
      <c r="E22" s="2644"/>
      <c r="F22" s="2647"/>
      <c r="G22" s="2669"/>
      <c r="H22" s="2672"/>
      <c r="I22" s="2675"/>
      <c r="J22" s="2675"/>
      <c r="K22" s="875" t="s">
        <v>127</v>
      </c>
      <c r="L22" s="896">
        <f>+'ref.지급기준 (2)'!F21*'ref.지급기준 (2)'!D21/'ref.지급기준 (2)'!$Q$2</f>
        <v>0</v>
      </c>
      <c r="M22" s="896" t="s">
        <v>1218</v>
      </c>
      <c r="N22" s="1002">
        <f t="shared" si="0"/>
        <v>0</v>
      </c>
      <c r="O22" s="2690"/>
      <c r="P22" s="2693"/>
      <c r="Q22" s="874" t="b">
        <f t="shared" si="1"/>
        <v>1</v>
      </c>
      <c r="R22" s="908" t="str">
        <f t="shared" si="7"/>
        <v>-</v>
      </c>
      <c r="S22" s="909"/>
      <c r="T22" s="2657"/>
      <c r="U22" s="914">
        <f>+S22/T20</f>
        <v>0</v>
      </c>
      <c r="V22" s="877" t="str">
        <f t="shared" si="8"/>
        <v>-</v>
      </c>
      <c r="W22" s="877"/>
      <c r="X22" s="883"/>
      <c r="Y22" s="877" t="str">
        <f t="shared" si="2"/>
        <v>-</v>
      </c>
      <c r="Z22" s="877"/>
      <c r="AA22" s="883"/>
      <c r="AB22" s="877" t="str">
        <f t="shared" si="3"/>
        <v>-</v>
      </c>
      <c r="AC22" s="877"/>
      <c r="AD22" s="883"/>
      <c r="AE22" s="877" t="str">
        <f t="shared" si="4"/>
        <v>-</v>
      </c>
      <c r="AF22" s="877"/>
      <c r="AG22" s="883"/>
      <c r="AH22" s="877">
        <f t="shared" si="5"/>
        <v>0</v>
      </c>
      <c r="AI22" s="877"/>
      <c r="AJ22" s="877"/>
      <c r="AK22" s="877">
        <f t="shared" si="12"/>
        <v>0</v>
      </c>
      <c r="AL22" s="877"/>
      <c r="AM22" s="877"/>
      <c r="AN22" s="884">
        <f t="shared" si="9"/>
        <v>0</v>
      </c>
      <c r="AO22" s="884">
        <f>+AR22+AT22</f>
        <v>0</v>
      </c>
      <c r="AP22" s="885"/>
      <c r="AQ22" s="407"/>
      <c r="AR22" s="945">
        <f>+$AN22*'ref.지급기준 (2)'!G21</f>
        <v>0</v>
      </c>
      <c r="AS22" s="884">
        <f t="shared" si="11"/>
        <v>0</v>
      </c>
      <c r="AT22" s="884">
        <f>+$AN22*'ref.지급기준 (2)'!I21</f>
        <v>0</v>
      </c>
      <c r="AU22" s="884">
        <f t="shared" si="10"/>
        <v>0</v>
      </c>
      <c r="AV22" s="884">
        <f>+$AN22*'ref.지급기준 (2)'!K21</f>
        <v>0</v>
      </c>
      <c r="AW22" s="884"/>
      <c r="AX22" s="884">
        <f>+$AN22*'ref.지급기준 (2)'!M21</f>
        <v>0</v>
      </c>
      <c r="AY22" s="884"/>
      <c r="AZ22" s="943"/>
      <c r="BA22" s="890"/>
      <c r="BB22" s="2683"/>
      <c r="BC22" s="393"/>
      <c r="BD22" s="393" t="b">
        <f t="shared" si="6"/>
        <v>1</v>
      </c>
      <c r="BE22" s="393"/>
      <c r="BF22" s="393"/>
      <c r="BG22" s="393"/>
      <c r="BH22" s="393"/>
      <c r="BI22" s="393"/>
      <c r="BJ22" s="393"/>
      <c r="BK22" s="393"/>
      <c r="BL22" s="393"/>
      <c r="BM22" s="393"/>
      <c r="BN22" s="408"/>
      <c r="BO22" s="408"/>
    </row>
    <row r="23" spans="1:67" ht="16.5" customHeight="1">
      <c r="A23" s="394"/>
      <c r="B23" s="2624"/>
      <c r="C23" s="2636"/>
      <c r="D23" s="2639"/>
      <c r="E23" s="2644"/>
      <c r="F23" s="2647"/>
      <c r="G23" s="2669"/>
      <c r="H23" s="2672"/>
      <c r="I23" s="2675"/>
      <c r="J23" s="2675"/>
      <c r="K23" s="875" t="s">
        <v>128</v>
      </c>
      <c r="L23" s="896">
        <f>+'ref.지급기준 (2)'!F22*'ref.지급기준 (2)'!D22/'ref.지급기준 (2)'!$Q$2</f>
        <v>0</v>
      </c>
      <c r="M23" s="896"/>
      <c r="N23" s="1002">
        <f t="shared" si="0"/>
        <v>0</v>
      </c>
      <c r="O23" s="2690"/>
      <c r="P23" s="2693"/>
      <c r="Q23" s="874" t="b">
        <f t="shared" si="1"/>
        <v>1</v>
      </c>
      <c r="R23" s="908" t="str">
        <f t="shared" si="7"/>
        <v>-</v>
      </c>
      <c r="S23" s="909"/>
      <c r="T23" s="2657"/>
      <c r="U23" s="914">
        <f>+S23/T20</f>
        <v>0</v>
      </c>
      <c r="V23" s="877" t="str">
        <f t="shared" si="8"/>
        <v>-</v>
      </c>
      <c r="W23" s="877"/>
      <c r="X23" s="883"/>
      <c r="Y23" s="877" t="str">
        <f t="shared" si="2"/>
        <v>-</v>
      </c>
      <c r="Z23" s="877"/>
      <c r="AA23" s="883"/>
      <c r="AB23" s="877" t="str">
        <f t="shared" si="3"/>
        <v>-</v>
      </c>
      <c r="AC23" s="877"/>
      <c r="AD23" s="883"/>
      <c r="AE23" s="877" t="str">
        <f t="shared" si="4"/>
        <v>-</v>
      </c>
      <c r="AF23" s="877"/>
      <c r="AG23" s="883"/>
      <c r="AH23" s="877">
        <f t="shared" si="5"/>
        <v>0</v>
      </c>
      <c r="AI23" s="877"/>
      <c r="AJ23" s="877"/>
      <c r="AK23" s="877">
        <f t="shared" si="12"/>
        <v>0</v>
      </c>
      <c r="AL23" s="877"/>
      <c r="AM23" s="877"/>
      <c r="AN23" s="884">
        <f t="shared" si="9"/>
        <v>0</v>
      </c>
      <c r="AO23" s="884">
        <f>+AR23+AT23</f>
        <v>0</v>
      </c>
      <c r="AP23" s="885"/>
      <c r="AQ23" s="407"/>
      <c r="AR23" s="945">
        <f>+$AN23*'ref.지급기준 (2)'!G22</f>
        <v>0</v>
      </c>
      <c r="AS23" s="884">
        <f t="shared" si="11"/>
        <v>0</v>
      </c>
      <c r="AT23" s="884">
        <f>+$AN23*'ref.지급기준 (2)'!I22</f>
        <v>0</v>
      </c>
      <c r="AU23" s="884">
        <f t="shared" si="10"/>
        <v>0</v>
      </c>
      <c r="AV23" s="884">
        <f>+$AN23*'ref.지급기준 (2)'!K22</f>
        <v>0</v>
      </c>
      <c r="AW23" s="884"/>
      <c r="AX23" s="884">
        <f>+$AN23*'ref.지급기준 (2)'!M22</f>
        <v>0</v>
      </c>
      <c r="AY23" s="884"/>
      <c r="AZ23" s="943"/>
      <c r="BA23" s="890"/>
      <c r="BB23" s="2683"/>
      <c r="BC23" s="393"/>
      <c r="BD23" s="393" t="b">
        <f t="shared" si="6"/>
        <v>1</v>
      </c>
      <c r="BE23" s="393"/>
      <c r="BF23" s="393"/>
      <c r="BG23" s="393"/>
      <c r="BH23" s="393"/>
      <c r="BI23" s="393"/>
      <c r="BJ23" s="393"/>
      <c r="BK23" s="393"/>
      <c r="BL23" s="393"/>
      <c r="BM23" s="393"/>
      <c r="BN23" s="408"/>
      <c r="BO23" s="408"/>
    </row>
    <row r="24" spans="1:67" ht="16.5" customHeight="1" thickBot="1">
      <c r="A24" s="394"/>
      <c r="B24" s="2624"/>
      <c r="C24" s="2636"/>
      <c r="D24" s="2639"/>
      <c r="E24" s="2644"/>
      <c r="F24" s="2648"/>
      <c r="G24" s="2670"/>
      <c r="H24" s="2673"/>
      <c r="I24" s="2676"/>
      <c r="J24" s="2676"/>
      <c r="K24" s="999" t="s">
        <v>129</v>
      </c>
      <c r="L24" s="900"/>
      <c r="M24" s="900"/>
      <c r="N24" s="1003"/>
      <c r="O24" s="2690"/>
      <c r="P24" s="2693"/>
      <c r="Q24" s="874"/>
      <c r="R24" s="910"/>
      <c r="S24" s="911"/>
      <c r="T24" s="2665"/>
      <c r="U24" s="915">
        <f>+S24/T20</f>
        <v>0</v>
      </c>
      <c r="V24" s="910" t="str">
        <f t="shared" si="8"/>
        <v>-</v>
      </c>
      <c r="W24" s="926"/>
      <c r="X24" s="926"/>
      <c r="Y24" s="926" t="str">
        <f t="shared" si="2"/>
        <v>-</v>
      </c>
      <c r="Z24" s="926"/>
      <c r="AA24" s="927"/>
      <c r="AB24" s="926" t="str">
        <f t="shared" si="3"/>
        <v>-</v>
      </c>
      <c r="AC24" s="926"/>
      <c r="AD24" s="927"/>
      <c r="AE24" s="926" t="str">
        <f t="shared" si="4"/>
        <v>-</v>
      </c>
      <c r="AF24" s="926"/>
      <c r="AG24" s="927"/>
      <c r="AH24" s="926">
        <f t="shared" si="5"/>
        <v>0</v>
      </c>
      <c r="AI24" s="926"/>
      <c r="AJ24" s="926"/>
      <c r="AK24" s="926"/>
      <c r="AL24" s="926"/>
      <c r="AM24" s="926"/>
      <c r="AN24" s="928">
        <f t="shared" si="9"/>
        <v>0</v>
      </c>
      <c r="AO24" s="928">
        <f>+AR24+AT24</f>
        <v>0</v>
      </c>
      <c r="AP24" s="931"/>
      <c r="AQ24" s="407"/>
      <c r="AR24" s="947">
        <f>+$AN24*'ref.지급기준 (2)'!G23</f>
        <v>0</v>
      </c>
      <c r="AS24" s="928">
        <f t="shared" si="11"/>
        <v>0</v>
      </c>
      <c r="AT24" s="928">
        <f>+$AN24*'ref.지급기준 (2)'!I23</f>
        <v>0</v>
      </c>
      <c r="AU24" s="928">
        <f t="shared" si="10"/>
        <v>0</v>
      </c>
      <c r="AV24" s="928">
        <f>+$AN24*'ref.지급기준 (2)'!K23</f>
        <v>0</v>
      </c>
      <c r="AW24" s="928"/>
      <c r="AX24" s="928">
        <f>+$AN24*'ref.지급기준 (2)'!M23</f>
        <v>0</v>
      </c>
      <c r="AY24" s="928"/>
      <c r="AZ24" s="928">
        <f>+$AN24*'ref.지급기준 (2)'!O23</f>
        <v>0</v>
      </c>
      <c r="BA24" s="997"/>
      <c r="BB24" s="2683"/>
      <c r="BC24" s="393"/>
      <c r="BD24" s="393"/>
      <c r="BE24" s="393"/>
      <c r="BF24" s="393"/>
      <c r="BG24" s="393"/>
      <c r="BH24" s="393"/>
      <c r="BI24" s="393"/>
      <c r="BJ24" s="393"/>
      <c r="BK24" s="393"/>
      <c r="BL24" s="393"/>
      <c r="BM24" s="393"/>
      <c r="BN24" s="408"/>
      <c r="BO24" s="408"/>
    </row>
    <row r="25" spans="1:67" ht="16.5" customHeight="1">
      <c r="A25" s="394"/>
      <c r="B25" s="2624"/>
      <c r="C25" s="2636"/>
      <c r="D25" s="2639"/>
      <c r="E25" s="2644"/>
      <c r="F25" s="2646" t="s">
        <v>1220</v>
      </c>
      <c r="G25" s="2668">
        <v>999.24</v>
      </c>
      <c r="H25" s="2671">
        <v>7.3400000000000007E-2</v>
      </c>
      <c r="I25" s="2674"/>
      <c r="J25" s="2674" t="s">
        <v>1213</v>
      </c>
      <c r="K25" s="893" t="s">
        <v>125</v>
      </c>
      <c r="L25" s="904">
        <f>+'ref.지급기준 (2)'!F24*'ref.지급기준 (2)'!D24/'ref.지급기준 (2)'!$Q$2</f>
        <v>1049202000</v>
      </c>
      <c r="M25" s="904">
        <f>+L25*10%</f>
        <v>104920200</v>
      </c>
      <c r="N25" s="1012">
        <f t="shared" si="0"/>
        <v>1154122200</v>
      </c>
      <c r="O25" s="2690"/>
      <c r="P25" s="2693"/>
      <c r="Q25" s="874" t="b">
        <f t="shared" si="1"/>
        <v>1</v>
      </c>
      <c r="R25" s="906">
        <f t="shared" si="7"/>
        <v>0</v>
      </c>
      <c r="S25" s="907"/>
      <c r="T25" s="2656">
        <v>1470</v>
      </c>
      <c r="U25" s="913">
        <f>+S25/T25</f>
        <v>0</v>
      </c>
      <c r="V25" s="878">
        <f>+IFERROR(W25/$N25,"-")</f>
        <v>0</v>
      </c>
      <c r="W25" s="877"/>
      <c r="X25" s="883">
        <v>45716</v>
      </c>
      <c r="Y25" s="877">
        <f t="shared" si="2"/>
        <v>0</v>
      </c>
      <c r="Z25" s="877"/>
      <c r="AA25" s="883">
        <f>+EDATE(X25,1)+3</f>
        <v>45747</v>
      </c>
      <c r="AB25" s="877">
        <f t="shared" si="3"/>
        <v>0</v>
      </c>
      <c r="AC25" s="877"/>
      <c r="AD25" s="883">
        <f>+EDATE(AA25,3)</f>
        <v>45838</v>
      </c>
      <c r="AE25" s="877">
        <f t="shared" si="4"/>
        <v>0</v>
      </c>
      <c r="AF25" s="877"/>
      <c r="AG25" s="883">
        <f>+EDATE(AA25,4)</f>
        <v>45869</v>
      </c>
      <c r="AH25" s="877">
        <f t="shared" si="5"/>
        <v>0</v>
      </c>
      <c r="AI25" s="877"/>
      <c r="AJ25" s="883">
        <f>+EDATE(AA25,6)</f>
        <v>45930</v>
      </c>
      <c r="AK25" s="877">
        <f t="shared" si="12"/>
        <v>0</v>
      </c>
      <c r="AL25" s="877"/>
      <c r="AM25" s="877"/>
      <c r="AN25" s="884">
        <f t="shared" si="9"/>
        <v>1154122200</v>
      </c>
      <c r="AO25" s="884">
        <f>+AN25*'ref.지급기준 (2)'!G24</f>
        <v>115412220</v>
      </c>
      <c r="AP25" s="885">
        <f>+X25</f>
        <v>45716</v>
      </c>
      <c r="AQ25" s="407"/>
      <c r="AR25" s="946">
        <f>+$AN25*'ref.지급기준 (2)'!G24</f>
        <v>115412220</v>
      </c>
      <c r="AS25" s="924">
        <f>+W25</f>
        <v>0</v>
      </c>
      <c r="AT25" s="924">
        <f>+$AN25*'ref.지급기준 (2)'!I24</f>
        <v>230824440</v>
      </c>
      <c r="AU25" s="924">
        <f t="shared" si="10"/>
        <v>0</v>
      </c>
      <c r="AV25" s="924">
        <f>+$AN25*'ref.지급기준 (2)'!K24</f>
        <v>461648880</v>
      </c>
      <c r="AW25" s="924"/>
      <c r="AX25" s="924">
        <f>+$AN25*'ref.지급기준 (2)'!M24</f>
        <v>288530550</v>
      </c>
      <c r="AY25" s="924"/>
      <c r="AZ25" s="924">
        <f>+$AN25*'ref.지급기준 (2)'!O24</f>
        <v>57706110</v>
      </c>
      <c r="BA25" s="996"/>
      <c r="BB25" s="2683"/>
      <c r="BC25" s="393"/>
      <c r="BD25" s="393" t="b">
        <f t="shared" si="6"/>
        <v>1</v>
      </c>
      <c r="BE25" s="393"/>
      <c r="BF25" s="393"/>
      <c r="BG25" s="393"/>
      <c r="BH25" s="393"/>
      <c r="BI25" s="393"/>
      <c r="BJ25" s="393"/>
      <c r="BK25" s="393"/>
      <c r="BL25" s="393"/>
      <c r="BM25" s="393"/>
      <c r="BN25" s="408"/>
      <c r="BO25" s="408"/>
    </row>
    <row r="26" spans="1:67" ht="16.5" customHeight="1">
      <c r="A26" s="394"/>
      <c r="B26" s="2624"/>
      <c r="C26" s="2636"/>
      <c r="D26" s="2639"/>
      <c r="E26" s="2644"/>
      <c r="F26" s="2647"/>
      <c r="G26" s="2669"/>
      <c r="H26" s="2672"/>
      <c r="I26" s="2675"/>
      <c r="J26" s="2675"/>
      <c r="K26" s="875" t="s">
        <v>126</v>
      </c>
      <c r="L26" s="896">
        <f>+'ref.지급기준 (2)'!F25*'ref.지급기준 (2)'!D25/'ref.지급기준 (2)'!$Q$2</f>
        <v>549582000</v>
      </c>
      <c r="M26" s="896" t="s">
        <v>1218</v>
      </c>
      <c r="N26" s="1002">
        <f t="shared" si="0"/>
        <v>549582000</v>
      </c>
      <c r="O26" s="2690"/>
      <c r="P26" s="2693"/>
      <c r="Q26" s="874" t="b">
        <f t="shared" si="1"/>
        <v>1</v>
      </c>
      <c r="R26" s="908">
        <f t="shared" si="7"/>
        <v>0.6487016132260518</v>
      </c>
      <c r="S26" s="909">
        <f>+IFERROR(W26+Z26+AC26+AF26+AI26+AL26,"-")</f>
        <v>356514730</v>
      </c>
      <c r="T26" s="2657"/>
      <c r="U26" s="914">
        <f>+S26/T25</f>
        <v>242527.02721088435</v>
      </c>
      <c r="V26" s="879">
        <f t="shared" si="8"/>
        <v>0.5525535406909251</v>
      </c>
      <c r="W26" s="880">
        <v>303673480</v>
      </c>
      <c r="X26" s="881">
        <v>45450</v>
      </c>
      <c r="Y26" s="879">
        <f t="shared" si="2"/>
        <v>9.6148072535126694E-2</v>
      </c>
      <c r="Z26" s="882">
        <v>52841250</v>
      </c>
      <c r="AA26" s="881">
        <v>45456</v>
      </c>
      <c r="AB26" s="877">
        <f t="shared" si="3"/>
        <v>0</v>
      </c>
      <c r="AC26" s="877"/>
      <c r="AD26" s="883">
        <f>EDATE(AA25,6)</f>
        <v>45930</v>
      </c>
      <c r="AE26" s="877">
        <f t="shared" si="4"/>
        <v>0</v>
      </c>
      <c r="AF26" s="877"/>
      <c r="AG26" s="883"/>
      <c r="AH26" s="877">
        <f t="shared" si="5"/>
        <v>0</v>
      </c>
      <c r="AI26" s="877"/>
      <c r="AJ26" s="877"/>
      <c r="AK26" s="877">
        <f t="shared" si="12"/>
        <v>0</v>
      </c>
      <c r="AL26" s="877"/>
      <c r="AM26" s="877"/>
      <c r="AN26" s="884">
        <f t="shared" si="9"/>
        <v>549582000</v>
      </c>
      <c r="AO26" s="884">
        <f>+AN26*'ref.지급기준 (2)'!K25+AN26*('ref.지급기준 (2)'!G25+'ref.지급기준 (2)'!I25)-S26</f>
        <v>193067270</v>
      </c>
      <c r="AP26" s="885">
        <f>+AD26</f>
        <v>45930</v>
      </c>
      <c r="AQ26" s="407"/>
      <c r="AR26" s="945">
        <f>+$AN26*'ref.지급기준 (2)'!G25</f>
        <v>302270100</v>
      </c>
      <c r="AS26" s="884">
        <f>+W26</f>
        <v>303673480</v>
      </c>
      <c r="AT26" s="884">
        <f>+$AN26*'ref.지급기준 (2)'!I25</f>
        <v>82437300</v>
      </c>
      <c r="AU26" s="884">
        <f t="shared" si="10"/>
        <v>52841250</v>
      </c>
      <c r="AV26" s="884">
        <f>+$AN26*'ref.지급기준 (2)'!K25</f>
        <v>164874600</v>
      </c>
      <c r="AW26" s="884"/>
      <c r="AX26" s="884">
        <f>+$AN26*'ref.지급기준 (2)'!M25</f>
        <v>0</v>
      </c>
      <c r="AY26" s="884"/>
      <c r="AZ26" s="884">
        <f>+$AN26*'ref.지급기준 (2)'!O25</f>
        <v>0</v>
      </c>
      <c r="BA26" s="890"/>
      <c r="BB26" s="2683"/>
      <c r="BC26" s="393"/>
      <c r="BD26" s="393" t="b">
        <f t="shared" si="6"/>
        <v>1</v>
      </c>
      <c r="BE26" s="393"/>
      <c r="BF26" s="393"/>
      <c r="BG26" s="393"/>
      <c r="BH26" s="393"/>
      <c r="BI26" s="393"/>
      <c r="BJ26" s="393"/>
      <c r="BK26" s="393"/>
      <c r="BL26" s="393"/>
      <c r="BM26" s="393"/>
      <c r="BN26" s="408"/>
      <c r="BO26" s="408"/>
    </row>
    <row r="27" spans="1:67" ht="16.5" customHeight="1">
      <c r="A27" s="394"/>
      <c r="B27" s="2624"/>
      <c r="C27" s="2636"/>
      <c r="D27" s="2639"/>
      <c r="E27" s="2644"/>
      <c r="F27" s="2647"/>
      <c r="G27" s="2669"/>
      <c r="H27" s="2672"/>
      <c r="I27" s="2675"/>
      <c r="J27" s="2675"/>
      <c r="K27" s="875" t="s">
        <v>127</v>
      </c>
      <c r="L27" s="896">
        <f>+'ref.지급기준 (2)'!F26*'ref.지급기준 (2)'!D26/'ref.지급기준 (2)'!$Q$2</f>
        <v>0</v>
      </c>
      <c r="M27" s="896" t="s">
        <v>1218</v>
      </c>
      <c r="N27" s="1002">
        <f t="shared" si="0"/>
        <v>0</v>
      </c>
      <c r="O27" s="2690"/>
      <c r="P27" s="2693"/>
      <c r="Q27" s="874" t="b">
        <f t="shared" si="1"/>
        <v>1</v>
      </c>
      <c r="R27" s="908" t="str">
        <f t="shared" si="7"/>
        <v>-</v>
      </c>
      <c r="S27" s="909"/>
      <c r="T27" s="2657"/>
      <c r="U27" s="914">
        <f>+S27/T25</f>
        <v>0</v>
      </c>
      <c r="V27" s="877" t="str">
        <f t="shared" si="8"/>
        <v>-</v>
      </c>
      <c r="W27" s="877"/>
      <c r="X27" s="883"/>
      <c r="Y27" s="877" t="str">
        <f t="shared" si="2"/>
        <v>-</v>
      </c>
      <c r="Z27" s="877"/>
      <c r="AA27" s="883"/>
      <c r="AB27" s="877" t="str">
        <f t="shared" si="3"/>
        <v>-</v>
      </c>
      <c r="AC27" s="877"/>
      <c r="AD27" s="883"/>
      <c r="AE27" s="877" t="str">
        <f t="shared" si="4"/>
        <v>-</v>
      </c>
      <c r="AF27" s="877"/>
      <c r="AG27" s="883"/>
      <c r="AH27" s="877">
        <f t="shared" si="5"/>
        <v>0</v>
      </c>
      <c r="AI27" s="877"/>
      <c r="AJ27" s="877"/>
      <c r="AK27" s="877">
        <f t="shared" si="12"/>
        <v>0</v>
      </c>
      <c r="AL27" s="877"/>
      <c r="AM27" s="877"/>
      <c r="AN27" s="884">
        <f t="shared" si="9"/>
        <v>0</v>
      </c>
      <c r="AO27" s="884">
        <f>+AR27+AT27</f>
        <v>0</v>
      </c>
      <c r="AP27" s="885"/>
      <c r="AQ27" s="407"/>
      <c r="AR27" s="945">
        <f>+$AN27*'ref.지급기준 (2)'!G26</f>
        <v>0</v>
      </c>
      <c r="AS27" s="884">
        <f t="shared" si="11"/>
        <v>0</v>
      </c>
      <c r="AT27" s="884">
        <f>+$AN27*'ref.지급기준 (2)'!I26</f>
        <v>0</v>
      </c>
      <c r="AU27" s="884">
        <f t="shared" si="10"/>
        <v>0</v>
      </c>
      <c r="AV27" s="884">
        <f>+$AN27*'ref.지급기준 (2)'!K26</f>
        <v>0</v>
      </c>
      <c r="AW27" s="884"/>
      <c r="AX27" s="884">
        <f>+$AN27*'ref.지급기준 (2)'!M26</f>
        <v>0</v>
      </c>
      <c r="AY27" s="884"/>
      <c r="AZ27" s="884">
        <f>+$AN27*'ref.지급기준 (2)'!O26</f>
        <v>0</v>
      </c>
      <c r="BA27" s="890"/>
      <c r="BB27" s="2683"/>
      <c r="BC27" s="393"/>
      <c r="BD27" s="393" t="b">
        <f t="shared" si="6"/>
        <v>1</v>
      </c>
      <c r="BE27" s="393"/>
      <c r="BF27" s="393"/>
      <c r="BG27" s="393"/>
      <c r="BH27" s="393"/>
      <c r="BI27" s="393"/>
      <c r="BJ27" s="393"/>
      <c r="BK27" s="393"/>
      <c r="BL27" s="393"/>
      <c r="BM27" s="393"/>
      <c r="BN27" s="408"/>
      <c r="BO27" s="408"/>
    </row>
    <row r="28" spans="1:67" ht="16.5" customHeight="1">
      <c r="A28" s="394"/>
      <c r="B28" s="2624"/>
      <c r="C28" s="2636"/>
      <c r="D28" s="2639"/>
      <c r="E28" s="2644"/>
      <c r="F28" s="2647"/>
      <c r="G28" s="2669"/>
      <c r="H28" s="2672"/>
      <c r="I28" s="2675"/>
      <c r="J28" s="2675"/>
      <c r="K28" s="875" t="s">
        <v>128</v>
      </c>
      <c r="L28" s="896">
        <f>+'ref.지급기준 (2)'!F27*'ref.지급기준 (2)'!D27/'ref.지급기준 (2)'!$Q$2</f>
        <v>0</v>
      </c>
      <c r="M28" s="896" t="s">
        <v>1218</v>
      </c>
      <c r="N28" s="1002">
        <f t="shared" si="0"/>
        <v>0</v>
      </c>
      <c r="O28" s="2690"/>
      <c r="P28" s="2693"/>
      <c r="Q28" s="874" t="b">
        <f t="shared" si="1"/>
        <v>1</v>
      </c>
      <c r="R28" s="908" t="str">
        <f t="shared" si="7"/>
        <v>-</v>
      </c>
      <c r="S28" s="909"/>
      <c r="T28" s="2657"/>
      <c r="U28" s="914">
        <f>+S28/T25</f>
        <v>0</v>
      </c>
      <c r="V28" s="877" t="str">
        <f t="shared" si="8"/>
        <v>-</v>
      </c>
      <c r="W28" s="877"/>
      <c r="X28" s="883"/>
      <c r="Y28" s="877" t="str">
        <f t="shared" si="2"/>
        <v>-</v>
      </c>
      <c r="Z28" s="877"/>
      <c r="AA28" s="883"/>
      <c r="AB28" s="877" t="str">
        <f t="shared" si="3"/>
        <v>-</v>
      </c>
      <c r="AC28" s="877"/>
      <c r="AD28" s="883"/>
      <c r="AE28" s="877" t="str">
        <f t="shared" si="4"/>
        <v>-</v>
      </c>
      <c r="AF28" s="877"/>
      <c r="AG28" s="883"/>
      <c r="AH28" s="877">
        <f t="shared" si="5"/>
        <v>0</v>
      </c>
      <c r="AI28" s="877"/>
      <c r="AJ28" s="877"/>
      <c r="AK28" s="877">
        <f t="shared" si="12"/>
        <v>0</v>
      </c>
      <c r="AL28" s="877"/>
      <c r="AM28" s="877"/>
      <c r="AN28" s="884">
        <f t="shared" si="9"/>
        <v>0</v>
      </c>
      <c r="AO28" s="884">
        <f>+AR28+AT28</f>
        <v>0</v>
      </c>
      <c r="AP28" s="885"/>
      <c r="AQ28" s="407"/>
      <c r="AR28" s="945">
        <f>+$AN28*'ref.지급기준 (2)'!G27</f>
        <v>0</v>
      </c>
      <c r="AS28" s="884">
        <f t="shared" si="11"/>
        <v>0</v>
      </c>
      <c r="AT28" s="884">
        <f>+$AN28*'ref.지급기준 (2)'!I27</f>
        <v>0</v>
      </c>
      <c r="AU28" s="884">
        <f t="shared" si="10"/>
        <v>0</v>
      </c>
      <c r="AV28" s="884">
        <f>+$AN28*'ref.지급기준 (2)'!K27</f>
        <v>0</v>
      </c>
      <c r="AW28" s="884"/>
      <c r="AX28" s="884">
        <f>+$AN28*'ref.지급기준 (2)'!M27</f>
        <v>0</v>
      </c>
      <c r="AY28" s="884"/>
      <c r="AZ28" s="884">
        <f>+$AN28*'ref.지급기준 (2)'!O27</f>
        <v>0</v>
      </c>
      <c r="BA28" s="890"/>
      <c r="BB28" s="2683"/>
      <c r="BC28" s="393"/>
      <c r="BD28" s="393" t="b">
        <f t="shared" si="6"/>
        <v>1</v>
      </c>
      <c r="BE28" s="393"/>
      <c r="BF28" s="393"/>
      <c r="BG28" s="393"/>
      <c r="BH28" s="393"/>
      <c r="BI28" s="393"/>
      <c r="BJ28" s="393"/>
      <c r="BK28" s="393"/>
      <c r="BL28" s="393"/>
      <c r="BM28" s="393"/>
      <c r="BN28" s="408"/>
      <c r="BO28" s="408"/>
    </row>
    <row r="29" spans="1:67" ht="16.5" customHeight="1" thickBot="1">
      <c r="A29" s="394"/>
      <c r="B29" s="2624"/>
      <c r="C29" s="2636"/>
      <c r="D29" s="2639"/>
      <c r="E29" s="2644"/>
      <c r="F29" s="2648"/>
      <c r="G29" s="2670"/>
      <c r="H29" s="2673"/>
      <c r="I29" s="2676"/>
      <c r="J29" s="2676"/>
      <c r="K29" s="999" t="s">
        <v>129</v>
      </c>
      <c r="L29" s="900"/>
      <c r="M29" s="900"/>
      <c r="N29" s="1003"/>
      <c r="O29" s="2690"/>
      <c r="P29" s="2693"/>
      <c r="Q29" s="874"/>
      <c r="R29" s="910"/>
      <c r="S29" s="911"/>
      <c r="T29" s="2665"/>
      <c r="U29" s="915">
        <f>+S29/T25</f>
        <v>0</v>
      </c>
      <c r="V29" s="910" t="str">
        <f t="shared" si="8"/>
        <v>-</v>
      </c>
      <c r="W29" s="926"/>
      <c r="X29" s="926"/>
      <c r="Y29" s="926" t="str">
        <f t="shared" si="2"/>
        <v>-</v>
      </c>
      <c r="Z29" s="926"/>
      <c r="AA29" s="927"/>
      <c r="AB29" s="926" t="str">
        <f t="shared" si="3"/>
        <v>-</v>
      </c>
      <c r="AC29" s="926"/>
      <c r="AD29" s="927"/>
      <c r="AE29" s="926" t="str">
        <f t="shared" si="4"/>
        <v>-</v>
      </c>
      <c r="AF29" s="926"/>
      <c r="AG29" s="927"/>
      <c r="AH29" s="926">
        <f t="shared" si="5"/>
        <v>0</v>
      </c>
      <c r="AI29" s="926"/>
      <c r="AJ29" s="926"/>
      <c r="AK29" s="926"/>
      <c r="AL29" s="926"/>
      <c r="AM29" s="926"/>
      <c r="AN29" s="928">
        <f t="shared" si="9"/>
        <v>0</v>
      </c>
      <c r="AO29" s="928">
        <f>+AR29+AT29</f>
        <v>0</v>
      </c>
      <c r="AP29" s="931"/>
      <c r="AQ29" s="407"/>
      <c r="AR29" s="947">
        <f>+$AN29*'ref.지급기준 (2)'!G28</f>
        <v>0</v>
      </c>
      <c r="AS29" s="928">
        <f t="shared" si="11"/>
        <v>0</v>
      </c>
      <c r="AT29" s="928">
        <f>+$AN29*'ref.지급기준 (2)'!I28</f>
        <v>0</v>
      </c>
      <c r="AU29" s="928">
        <f t="shared" si="10"/>
        <v>0</v>
      </c>
      <c r="AV29" s="928">
        <f>+$AN29*'ref.지급기준 (2)'!K28</f>
        <v>0</v>
      </c>
      <c r="AW29" s="928"/>
      <c r="AX29" s="928">
        <f>+$AN29*'ref.지급기준 (2)'!M28</f>
        <v>0</v>
      </c>
      <c r="AY29" s="928"/>
      <c r="AZ29" s="928">
        <f>+$AN29*'ref.지급기준 (2)'!O28</f>
        <v>0</v>
      </c>
      <c r="BA29" s="997"/>
      <c r="BB29" s="2683"/>
      <c r="BC29" s="393"/>
      <c r="BD29" s="393"/>
      <c r="BE29" s="393"/>
      <c r="BF29" s="393"/>
      <c r="BG29" s="393"/>
      <c r="BH29" s="393"/>
      <c r="BI29" s="393"/>
      <c r="BJ29" s="393"/>
      <c r="BK29" s="393"/>
      <c r="BL29" s="393"/>
      <c r="BM29" s="393"/>
      <c r="BN29" s="408"/>
      <c r="BO29" s="408"/>
    </row>
    <row r="30" spans="1:67" ht="16.5" customHeight="1">
      <c r="A30" s="394"/>
      <c r="B30" s="2624"/>
      <c r="C30" s="2636"/>
      <c r="D30" s="2639"/>
      <c r="E30" s="2644"/>
      <c r="F30" s="2646" t="s">
        <v>1221</v>
      </c>
      <c r="G30" s="2668">
        <v>999.24</v>
      </c>
      <c r="H30" s="2671">
        <v>7.3400000000000007E-2</v>
      </c>
      <c r="I30" s="2674"/>
      <c r="J30" s="2674" t="s">
        <v>1213</v>
      </c>
      <c r="K30" s="893" t="s">
        <v>125</v>
      </c>
      <c r="L30" s="904">
        <f>+'ref.지급기준 (2)'!F29*'ref.지급기준 (2)'!D29/'ref.지급기준 (2)'!$Q$2</f>
        <v>1049202000</v>
      </c>
      <c r="M30" s="904">
        <f>+L30*10%</f>
        <v>104920200</v>
      </c>
      <c r="N30" s="1012">
        <f t="shared" si="0"/>
        <v>1154122200</v>
      </c>
      <c r="O30" s="2691"/>
      <c r="P30" s="2693"/>
      <c r="Q30" s="874" t="b">
        <f t="shared" si="1"/>
        <v>1</v>
      </c>
      <c r="R30" s="906">
        <f t="shared" si="7"/>
        <v>0</v>
      </c>
      <c r="S30" s="907">
        <f t="shared" si="13"/>
        <v>0</v>
      </c>
      <c r="T30" s="2656">
        <v>1470</v>
      </c>
      <c r="U30" s="913">
        <f>+S30/T30</f>
        <v>0</v>
      </c>
      <c r="V30" s="878">
        <f>+IFERROR(W30/$N30,"-")</f>
        <v>0</v>
      </c>
      <c r="W30" s="877"/>
      <c r="X30" s="883">
        <v>45716</v>
      </c>
      <c r="Y30" s="877">
        <f t="shared" si="2"/>
        <v>0</v>
      </c>
      <c r="Z30" s="877"/>
      <c r="AA30" s="883">
        <f>+EDATE(X30,1)+3</f>
        <v>45747</v>
      </c>
      <c r="AB30" s="877">
        <f t="shared" si="3"/>
        <v>0</v>
      </c>
      <c r="AC30" s="877"/>
      <c r="AD30" s="883">
        <f>+EDATE(AA30,3)</f>
        <v>45838</v>
      </c>
      <c r="AE30" s="877">
        <f t="shared" si="4"/>
        <v>0</v>
      </c>
      <c r="AF30" s="877"/>
      <c r="AG30" s="883">
        <f>+EDATE(AA30,4)</f>
        <v>45869</v>
      </c>
      <c r="AH30" s="877">
        <f t="shared" si="5"/>
        <v>0</v>
      </c>
      <c r="AI30" s="877"/>
      <c r="AJ30" s="883">
        <f>+EDATE(AA30,6)</f>
        <v>45930</v>
      </c>
      <c r="AK30" s="877">
        <f t="shared" si="12"/>
        <v>0</v>
      </c>
      <c r="AL30" s="877"/>
      <c r="AM30" s="877"/>
      <c r="AN30" s="884">
        <f t="shared" si="9"/>
        <v>1154122200</v>
      </c>
      <c r="AO30" s="884">
        <f>+AN30*'ref.지급기준 (2)'!G29</f>
        <v>115412220</v>
      </c>
      <c r="AP30" s="885">
        <f>+X30</f>
        <v>45716</v>
      </c>
      <c r="AQ30" s="407"/>
      <c r="AR30" s="946">
        <f>+$AN30*'ref.지급기준 (2)'!G29</f>
        <v>115412220</v>
      </c>
      <c r="AS30" s="924">
        <f t="shared" si="11"/>
        <v>0</v>
      </c>
      <c r="AT30" s="924">
        <f>+$AN30*'ref.지급기준 (2)'!I29</f>
        <v>230824440</v>
      </c>
      <c r="AU30" s="924">
        <f t="shared" si="10"/>
        <v>0</v>
      </c>
      <c r="AV30" s="924">
        <f>+$AN30*'ref.지급기준 (2)'!K29</f>
        <v>461648880</v>
      </c>
      <c r="AW30" s="924"/>
      <c r="AX30" s="924">
        <f>+$AN30*'ref.지급기준 (2)'!M29</f>
        <v>288530550</v>
      </c>
      <c r="AY30" s="924"/>
      <c r="AZ30" s="924">
        <f>+$AN30*'ref.지급기준 (2)'!O29</f>
        <v>57706110</v>
      </c>
      <c r="BA30" s="996"/>
      <c r="BB30" s="2683"/>
      <c r="BC30" s="393"/>
      <c r="BD30" s="393" t="b">
        <f t="shared" si="6"/>
        <v>1</v>
      </c>
      <c r="BE30" s="393"/>
      <c r="BF30" s="393"/>
      <c r="BG30" s="393"/>
      <c r="BH30" s="393"/>
      <c r="BI30" s="393"/>
      <c r="BJ30" s="393"/>
      <c r="BK30" s="393"/>
      <c r="BL30" s="393"/>
      <c r="BM30" s="393"/>
      <c r="BN30" s="408"/>
      <c r="BO30" s="408"/>
    </row>
    <row r="31" spans="1:67" ht="16.5" customHeight="1">
      <c r="A31" s="394"/>
      <c r="B31" s="2624"/>
      <c r="C31" s="2636"/>
      <c r="D31" s="2639"/>
      <c r="E31" s="2644"/>
      <c r="F31" s="2647"/>
      <c r="G31" s="2669"/>
      <c r="H31" s="2672"/>
      <c r="I31" s="2675"/>
      <c r="J31" s="2675"/>
      <c r="K31" s="875" t="s">
        <v>126</v>
      </c>
      <c r="L31" s="896">
        <f>+'ref.지급기준 (2)'!F30*'ref.지급기준 (2)'!D30/'ref.지급기준 (2)'!$Q$2</f>
        <v>549582000</v>
      </c>
      <c r="M31" s="896" t="s">
        <v>1218</v>
      </c>
      <c r="N31" s="1002">
        <f t="shared" si="0"/>
        <v>549582000</v>
      </c>
      <c r="O31" s="2691"/>
      <c r="P31" s="2693"/>
      <c r="Q31" s="874" t="b">
        <f t="shared" si="1"/>
        <v>1</v>
      </c>
      <c r="R31" s="908">
        <f t="shared" si="7"/>
        <v>0.64614807253512674</v>
      </c>
      <c r="S31" s="909">
        <f t="shared" si="13"/>
        <v>355111350</v>
      </c>
      <c r="T31" s="2657"/>
      <c r="U31" s="914">
        <f>+S31/T30</f>
        <v>241572.3469387755</v>
      </c>
      <c r="V31" s="879">
        <f t="shared" si="8"/>
        <v>0.55000000000000004</v>
      </c>
      <c r="W31" s="880">
        <v>302270100</v>
      </c>
      <c r="X31" s="881">
        <v>45450</v>
      </c>
      <c r="Y31" s="879">
        <f t="shared" si="2"/>
        <v>9.6148072535126694E-2</v>
      </c>
      <c r="Z31" s="882">
        <v>52841250</v>
      </c>
      <c r="AA31" s="881">
        <v>45456</v>
      </c>
      <c r="AB31" s="877">
        <f t="shared" si="3"/>
        <v>0</v>
      </c>
      <c r="AC31" s="877"/>
      <c r="AD31" s="883">
        <f>EDATE(AA30,6)</f>
        <v>45930</v>
      </c>
      <c r="AE31" s="877">
        <f t="shared" si="4"/>
        <v>0</v>
      </c>
      <c r="AF31" s="877"/>
      <c r="AG31" s="883"/>
      <c r="AH31" s="877">
        <f t="shared" si="5"/>
        <v>0</v>
      </c>
      <c r="AI31" s="877"/>
      <c r="AJ31" s="877"/>
      <c r="AK31" s="877">
        <f t="shared" si="12"/>
        <v>0</v>
      </c>
      <c r="AL31" s="877"/>
      <c r="AM31" s="877"/>
      <c r="AN31" s="884">
        <f t="shared" si="9"/>
        <v>549582000</v>
      </c>
      <c r="AO31" s="884">
        <f>+AN31*'ref.지급기준 (2)'!K30+AN31*('ref.지급기준 (2)'!G30+'ref.지급기준 (2)'!I30)-S31</f>
        <v>194470650</v>
      </c>
      <c r="AP31" s="885">
        <f>+AD31</f>
        <v>45930</v>
      </c>
      <c r="AQ31" s="407"/>
      <c r="AR31" s="945">
        <f>+$AN31*'ref.지급기준 (2)'!G30</f>
        <v>302270100</v>
      </c>
      <c r="AS31" s="884">
        <f t="shared" si="11"/>
        <v>302270100</v>
      </c>
      <c r="AT31" s="884">
        <f>+$AN31*'ref.지급기준 (2)'!I30</f>
        <v>82437300</v>
      </c>
      <c r="AU31" s="884">
        <f t="shared" si="10"/>
        <v>52841250</v>
      </c>
      <c r="AV31" s="884">
        <f>+$AN31*'ref.지급기준 (2)'!K30</f>
        <v>164874600</v>
      </c>
      <c r="AW31" s="884"/>
      <c r="AX31" s="884">
        <f>+$AN31*'ref.지급기준 (2)'!M30</f>
        <v>0</v>
      </c>
      <c r="AY31" s="884"/>
      <c r="AZ31" s="884">
        <f>+$AN31*'ref.지급기준 (2)'!O30</f>
        <v>0</v>
      </c>
      <c r="BA31" s="890"/>
      <c r="BB31" s="2683"/>
      <c r="BC31" s="393"/>
      <c r="BD31" s="393" t="b">
        <f t="shared" si="6"/>
        <v>1</v>
      </c>
      <c r="BE31" s="393"/>
      <c r="BF31" s="393"/>
      <c r="BG31" s="393"/>
      <c r="BH31" s="393"/>
      <c r="BI31" s="393"/>
      <c r="BJ31" s="393"/>
      <c r="BK31" s="393"/>
      <c r="BL31" s="393"/>
      <c r="BM31" s="393"/>
      <c r="BN31" s="408"/>
      <c r="BO31" s="408"/>
    </row>
    <row r="32" spans="1:67" ht="16.5" customHeight="1">
      <c r="A32" s="394"/>
      <c r="B32" s="2624"/>
      <c r="C32" s="2636"/>
      <c r="D32" s="2639"/>
      <c r="E32" s="2644"/>
      <c r="F32" s="2647"/>
      <c r="G32" s="2669"/>
      <c r="H32" s="2672"/>
      <c r="I32" s="2675"/>
      <c r="J32" s="2675"/>
      <c r="K32" s="875" t="s">
        <v>127</v>
      </c>
      <c r="L32" s="896">
        <f>+'ref.지급기준 (2)'!F31*'ref.지급기준 (2)'!D31/'ref.지급기준 (2)'!$Q$2</f>
        <v>0</v>
      </c>
      <c r="M32" s="896" t="s">
        <v>1218</v>
      </c>
      <c r="N32" s="1002">
        <f t="shared" si="0"/>
        <v>0</v>
      </c>
      <c r="O32" s="2691"/>
      <c r="P32" s="2693"/>
      <c r="Q32" s="874" t="b">
        <f t="shared" si="1"/>
        <v>1</v>
      </c>
      <c r="R32" s="908" t="str">
        <f t="shared" si="7"/>
        <v>-</v>
      </c>
      <c r="S32" s="909">
        <f t="shared" si="13"/>
        <v>0</v>
      </c>
      <c r="T32" s="2657"/>
      <c r="U32" s="914">
        <f>+S32/T30</f>
        <v>0</v>
      </c>
      <c r="V32" s="877" t="str">
        <f t="shared" si="8"/>
        <v>-</v>
      </c>
      <c r="W32" s="877"/>
      <c r="X32" s="883"/>
      <c r="Y32" s="877" t="str">
        <f t="shared" si="2"/>
        <v>-</v>
      </c>
      <c r="Z32" s="877"/>
      <c r="AA32" s="883"/>
      <c r="AB32" s="877" t="str">
        <f t="shared" si="3"/>
        <v>-</v>
      </c>
      <c r="AC32" s="877"/>
      <c r="AD32" s="883"/>
      <c r="AE32" s="877" t="str">
        <f t="shared" si="4"/>
        <v>-</v>
      </c>
      <c r="AF32" s="877"/>
      <c r="AG32" s="883"/>
      <c r="AH32" s="877">
        <f t="shared" si="5"/>
        <v>0</v>
      </c>
      <c r="AI32" s="877"/>
      <c r="AJ32" s="877"/>
      <c r="AK32" s="877">
        <f t="shared" si="12"/>
        <v>0</v>
      </c>
      <c r="AL32" s="877"/>
      <c r="AM32" s="877"/>
      <c r="AN32" s="884">
        <f t="shared" si="9"/>
        <v>0</v>
      </c>
      <c r="AO32" s="884">
        <f>+AR32+AT32</f>
        <v>0</v>
      </c>
      <c r="AP32" s="885"/>
      <c r="AQ32" s="407"/>
      <c r="AR32" s="945">
        <f>+$AN32*'ref.지급기준 (2)'!G31</f>
        <v>0</v>
      </c>
      <c r="AS32" s="884">
        <f t="shared" si="11"/>
        <v>0</v>
      </c>
      <c r="AT32" s="884">
        <f>+$AN32*'ref.지급기준 (2)'!I31</f>
        <v>0</v>
      </c>
      <c r="AU32" s="884">
        <f t="shared" si="10"/>
        <v>0</v>
      </c>
      <c r="AV32" s="884">
        <f>+$AN32*'ref.지급기준 (2)'!K31</f>
        <v>0</v>
      </c>
      <c r="AW32" s="884"/>
      <c r="AX32" s="884">
        <f>+$AN32*'ref.지급기준 (2)'!M31</f>
        <v>0</v>
      </c>
      <c r="AY32" s="884"/>
      <c r="AZ32" s="884">
        <f>+$AN32*'ref.지급기준 (2)'!O31</f>
        <v>0</v>
      </c>
      <c r="BA32" s="890"/>
      <c r="BB32" s="2683"/>
      <c r="BC32" s="393"/>
      <c r="BD32" s="393" t="b">
        <f t="shared" si="6"/>
        <v>1</v>
      </c>
      <c r="BE32" s="393"/>
      <c r="BF32" s="393"/>
      <c r="BG32" s="393"/>
      <c r="BH32" s="393"/>
      <c r="BI32" s="393"/>
      <c r="BJ32" s="393"/>
      <c r="BK32" s="393"/>
      <c r="BL32" s="393"/>
      <c r="BM32" s="393"/>
      <c r="BN32" s="408"/>
      <c r="BO32" s="408"/>
    </row>
    <row r="33" spans="1:67" ht="16.5" customHeight="1">
      <c r="A33" s="394"/>
      <c r="B33" s="2624"/>
      <c r="C33" s="2636"/>
      <c r="D33" s="2639"/>
      <c r="E33" s="2644"/>
      <c r="F33" s="2647"/>
      <c r="G33" s="2669"/>
      <c r="H33" s="2672"/>
      <c r="I33" s="2675"/>
      <c r="J33" s="2675"/>
      <c r="K33" s="875" t="s">
        <v>128</v>
      </c>
      <c r="L33" s="896">
        <f>+'ref.지급기준 (2)'!F32*'ref.지급기준 (2)'!D32/'ref.지급기준 (2)'!$Q$2</f>
        <v>0</v>
      </c>
      <c r="M33" s="896" t="s">
        <v>1218</v>
      </c>
      <c r="N33" s="1002">
        <f t="shared" si="0"/>
        <v>0</v>
      </c>
      <c r="O33" s="2691"/>
      <c r="P33" s="2693"/>
      <c r="Q33" s="874" t="b">
        <f t="shared" si="1"/>
        <v>1</v>
      </c>
      <c r="R33" s="908" t="str">
        <f t="shared" si="7"/>
        <v>-</v>
      </c>
      <c r="S33" s="909">
        <f t="shared" si="13"/>
        <v>0</v>
      </c>
      <c r="T33" s="2657"/>
      <c r="U33" s="914">
        <f>+S33/T30</f>
        <v>0</v>
      </c>
      <c r="V33" s="877" t="str">
        <f t="shared" si="8"/>
        <v>-</v>
      </c>
      <c r="W33" s="877"/>
      <c r="X33" s="883"/>
      <c r="Y33" s="877" t="str">
        <f t="shared" si="2"/>
        <v>-</v>
      </c>
      <c r="Z33" s="877"/>
      <c r="AA33" s="883"/>
      <c r="AB33" s="877" t="str">
        <f t="shared" si="3"/>
        <v>-</v>
      </c>
      <c r="AC33" s="877"/>
      <c r="AD33" s="883"/>
      <c r="AE33" s="877" t="str">
        <f t="shared" si="4"/>
        <v>-</v>
      </c>
      <c r="AF33" s="877"/>
      <c r="AG33" s="883"/>
      <c r="AH33" s="877">
        <f t="shared" si="5"/>
        <v>0</v>
      </c>
      <c r="AI33" s="877"/>
      <c r="AJ33" s="877"/>
      <c r="AK33" s="877">
        <f t="shared" si="12"/>
        <v>0</v>
      </c>
      <c r="AL33" s="877"/>
      <c r="AM33" s="877"/>
      <c r="AN33" s="884">
        <f t="shared" si="9"/>
        <v>0</v>
      </c>
      <c r="AO33" s="884">
        <f>+AR33+AT33</f>
        <v>0</v>
      </c>
      <c r="AP33" s="885"/>
      <c r="AQ33" s="407"/>
      <c r="AR33" s="945">
        <f>+$AN33*'ref.지급기준 (2)'!G32</f>
        <v>0</v>
      </c>
      <c r="AS33" s="884">
        <f t="shared" si="11"/>
        <v>0</v>
      </c>
      <c r="AT33" s="884">
        <f>+$AN33*'ref.지급기준 (2)'!I32</f>
        <v>0</v>
      </c>
      <c r="AU33" s="884">
        <f t="shared" si="10"/>
        <v>0</v>
      </c>
      <c r="AV33" s="884">
        <f>+$AN33*'ref.지급기준 (2)'!K32</f>
        <v>0</v>
      </c>
      <c r="AW33" s="884"/>
      <c r="AX33" s="884">
        <f>+$AN33*'ref.지급기준 (2)'!M32</f>
        <v>0</v>
      </c>
      <c r="AY33" s="884"/>
      <c r="AZ33" s="884">
        <f>+$AN33*'ref.지급기준 (2)'!O32</f>
        <v>0</v>
      </c>
      <c r="BA33" s="890"/>
      <c r="BB33" s="2683"/>
      <c r="BC33" s="393"/>
      <c r="BD33" s="393" t="b">
        <f t="shared" si="6"/>
        <v>1</v>
      </c>
      <c r="BE33" s="393"/>
      <c r="BF33" s="393"/>
      <c r="BG33" s="393"/>
      <c r="BH33" s="393"/>
      <c r="BI33" s="393"/>
      <c r="BJ33" s="393"/>
      <c r="BK33" s="393"/>
      <c r="BL33" s="393"/>
      <c r="BM33" s="393"/>
      <c r="BN33" s="408"/>
      <c r="BO33" s="408"/>
    </row>
    <row r="34" spans="1:67" ht="16.5" customHeight="1" thickBot="1">
      <c r="A34" s="394"/>
      <c r="B34" s="2624"/>
      <c r="C34" s="2636"/>
      <c r="D34" s="2639"/>
      <c r="E34" s="2644"/>
      <c r="F34" s="2648"/>
      <c r="G34" s="2670"/>
      <c r="H34" s="2673"/>
      <c r="I34" s="2676"/>
      <c r="J34" s="2676"/>
      <c r="K34" s="999" t="s">
        <v>129</v>
      </c>
      <c r="L34" s="900"/>
      <c r="M34" s="900"/>
      <c r="N34" s="1003"/>
      <c r="O34" s="2691"/>
      <c r="P34" s="2693"/>
      <c r="Q34" s="874"/>
      <c r="R34" s="910"/>
      <c r="S34" s="911"/>
      <c r="T34" s="2665"/>
      <c r="U34" s="915">
        <f>+S34/T30</f>
        <v>0</v>
      </c>
      <c r="V34" s="910" t="str">
        <f t="shared" si="8"/>
        <v>-</v>
      </c>
      <c r="W34" s="926"/>
      <c r="X34" s="926"/>
      <c r="Y34" s="926" t="str">
        <f t="shared" si="2"/>
        <v>-</v>
      </c>
      <c r="Z34" s="926"/>
      <c r="AA34" s="927"/>
      <c r="AB34" s="926" t="str">
        <f t="shared" si="3"/>
        <v>-</v>
      </c>
      <c r="AC34" s="926"/>
      <c r="AD34" s="927"/>
      <c r="AE34" s="926" t="str">
        <f t="shared" si="4"/>
        <v>-</v>
      </c>
      <c r="AF34" s="926"/>
      <c r="AG34" s="927"/>
      <c r="AH34" s="926">
        <f t="shared" si="5"/>
        <v>0</v>
      </c>
      <c r="AI34" s="926"/>
      <c r="AJ34" s="926"/>
      <c r="AK34" s="926"/>
      <c r="AL34" s="926"/>
      <c r="AM34" s="926"/>
      <c r="AN34" s="928">
        <f t="shared" si="9"/>
        <v>0</v>
      </c>
      <c r="AO34" s="928">
        <f>+AR34+AT34</f>
        <v>0</v>
      </c>
      <c r="AP34" s="931"/>
      <c r="AQ34" s="407"/>
      <c r="AR34" s="947">
        <f>+$AN34*'ref.지급기준 (2)'!G33</f>
        <v>0</v>
      </c>
      <c r="AS34" s="928">
        <f t="shared" si="11"/>
        <v>0</v>
      </c>
      <c r="AT34" s="928">
        <f>+$AN34*'ref.지급기준 (2)'!I33</f>
        <v>0</v>
      </c>
      <c r="AU34" s="928">
        <f t="shared" si="10"/>
        <v>0</v>
      </c>
      <c r="AV34" s="928">
        <f>+$AN34*'ref.지급기준 (2)'!K33</f>
        <v>0</v>
      </c>
      <c r="AW34" s="928"/>
      <c r="AX34" s="928">
        <f>+$AN34*'ref.지급기준 (2)'!M33</f>
        <v>0</v>
      </c>
      <c r="AY34" s="928"/>
      <c r="AZ34" s="928">
        <f>+$AN34*'ref.지급기준 (2)'!O33</f>
        <v>0</v>
      </c>
      <c r="BA34" s="997"/>
      <c r="BB34" s="2683"/>
      <c r="BC34" s="393"/>
      <c r="BD34" s="393"/>
      <c r="BE34" s="393"/>
      <c r="BF34" s="393"/>
      <c r="BG34" s="393"/>
      <c r="BH34" s="393"/>
      <c r="BI34" s="393"/>
      <c r="BJ34" s="393"/>
      <c r="BK34" s="393"/>
      <c r="BL34" s="393"/>
      <c r="BM34" s="393"/>
      <c r="BN34" s="408"/>
      <c r="BO34" s="408"/>
    </row>
    <row r="35" spans="1:67" ht="16.5" customHeight="1">
      <c r="A35" s="394"/>
      <c r="B35" s="2624"/>
      <c r="C35" s="2636"/>
      <c r="D35" s="2639"/>
      <c r="E35" s="2644"/>
      <c r="F35" s="2634" t="s">
        <v>157</v>
      </c>
      <c r="G35" s="2650">
        <v>999.44</v>
      </c>
      <c r="H35" s="2652">
        <v>6.8500000000000005E-2</v>
      </c>
      <c r="I35" s="2654"/>
      <c r="J35" s="2654" t="s">
        <v>1213</v>
      </c>
      <c r="K35" s="891" t="s">
        <v>125</v>
      </c>
      <c r="L35" s="902">
        <f>+'ref.지급기준 (2)'!F34*'ref.지급기준 (2)'!D34/'ref.지급기준 (2)'!$Q$2</f>
        <v>1049412000</v>
      </c>
      <c r="M35" s="902">
        <f>+L35*10%</f>
        <v>104941200</v>
      </c>
      <c r="N35" s="903">
        <f t="shared" si="0"/>
        <v>1154353200</v>
      </c>
      <c r="O35" s="2690"/>
      <c r="P35" s="2693"/>
      <c r="Q35" s="874" t="b">
        <f t="shared" si="1"/>
        <v>1</v>
      </c>
      <c r="R35" s="906">
        <f t="shared" si="7"/>
        <v>0</v>
      </c>
      <c r="S35" s="907">
        <f t="shared" si="13"/>
        <v>0</v>
      </c>
      <c r="T35" s="2656">
        <v>1470</v>
      </c>
      <c r="U35" s="913">
        <f>+S35/T35</f>
        <v>0</v>
      </c>
      <c r="V35" s="878">
        <f>+IFERROR(W35/$N35,"-")</f>
        <v>0</v>
      </c>
      <c r="W35" s="877"/>
      <c r="X35" s="883">
        <v>45716</v>
      </c>
      <c r="Y35" s="877">
        <f t="shared" si="2"/>
        <v>0</v>
      </c>
      <c r="Z35" s="877"/>
      <c r="AA35" s="883">
        <f>+EDATE(X35,1)+3</f>
        <v>45747</v>
      </c>
      <c r="AB35" s="877">
        <f t="shared" si="3"/>
        <v>0</v>
      </c>
      <c r="AC35" s="877"/>
      <c r="AD35" s="883">
        <f>+EDATE(AA35,3)</f>
        <v>45838</v>
      </c>
      <c r="AE35" s="877">
        <f t="shared" si="4"/>
        <v>0</v>
      </c>
      <c r="AF35" s="877"/>
      <c r="AG35" s="883">
        <f>+EDATE(AA35,4)</f>
        <v>45869</v>
      </c>
      <c r="AH35" s="877">
        <f t="shared" si="5"/>
        <v>0</v>
      </c>
      <c r="AI35" s="877"/>
      <c r="AJ35" s="883">
        <f>+EDATE(AA35,6)</f>
        <v>45930</v>
      </c>
      <c r="AK35" s="877">
        <f t="shared" si="12"/>
        <v>0</v>
      </c>
      <c r="AL35" s="877"/>
      <c r="AM35" s="877"/>
      <c r="AN35" s="884">
        <f t="shared" si="9"/>
        <v>1154353200</v>
      </c>
      <c r="AO35" s="884">
        <f>+AN35*'ref.지급기준 (2)'!G34</f>
        <v>115435320</v>
      </c>
      <c r="AP35" s="885">
        <f>+X35</f>
        <v>45716</v>
      </c>
      <c r="AQ35" s="407"/>
      <c r="AR35" s="946">
        <f>+$AN35*'ref.지급기준 (2)'!G34</f>
        <v>115435320</v>
      </c>
      <c r="AS35" s="924">
        <f t="shared" si="11"/>
        <v>0</v>
      </c>
      <c r="AT35" s="924">
        <f>+$AN35*'ref.지급기준 (2)'!I34</f>
        <v>230870640</v>
      </c>
      <c r="AU35" s="924">
        <f t="shared" si="10"/>
        <v>0</v>
      </c>
      <c r="AV35" s="924">
        <f>+$AN35*'ref.지급기준 (2)'!K34</f>
        <v>461741280</v>
      </c>
      <c r="AW35" s="924"/>
      <c r="AX35" s="924">
        <f>+$AN35*'ref.지급기준 (2)'!M34</f>
        <v>288588300</v>
      </c>
      <c r="AY35" s="924"/>
      <c r="AZ35" s="924">
        <f>+$AN35*'ref.지급기준 (2)'!O34</f>
        <v>57717660</v>
      </c>
      <c r="BA35" s="996"/>
      <c r="BB35" s="2683"/>
      <c r="BC35" s="393"/>
      <c r="BD35" s="393" t="b">
        <f t="shared" si="6"/>
        <v>1</v>
      </c>
      <c r="BE35" s="393"/>
      <c r="BF35" s="393"/>
      <c r="BG35" s="393"/>
      <c r="BH35" s="393"/>
      <c r="BI35" s="393"/>
      <c r="BJ35" s="393"/>
      <c r="BK35" s="393"/>
      <c r="BL35" s="393"/>
      <c r="BM35" s="393"/>
      <c r="BN35" s="408"/>
      <c r="BO35" s="408"/>
    </row>
    <row r="36" spans="1:67" ht="16.5" customHeight="1">
      <c r="A36" s="394"/>
      <c r="B36" s="2624"/>
      <c r="C36" s="2636"/>
      <c r="D36" s="2639"/>
      <c r="E36" s="2644"/>
      <c r="F36" s="2680"/>
      <c r="G36" s="2650"/>
      <c r="H36" s="2652"/>
      <c r="I36" s="2654"/>
      <c r="J36" s="2654"/>
      <c r="K36" s="875" t="s">
        <v>126</v>
      </c>
      <c r="L36" s="896">
        <f>+'ref.지급기준 (2)'!F35*'ref.지급기준 (2)'!D35/'ref.지급기준 (2)'!$Q$2</f>
        <v>549692000</v>
      </c>
      <c r="M36" s="896" t="s">
        <v>1218</v>
      </c>
      <c r="N36" s="897">
        <f t="shared" si="0"/>
        <v>549692000</v>
      </c>
      <c r="O36" s="2690"/>
      <c r="P36" s="2693"/>
      <c r="Q36" s="874" t="b">
        <f t="shared" si="1"/>
        <v>1</v>
      </c>
      <c r="R36" s="908">
        <f t="shared" si="7"/>
        <v>0.64612883214600181</v>
      </c>
      <c r="S36" s="909">
        <f t="shared" si="13"/>
        <v>355171850</v>
      </c>
      <c r="T36" s="2657"/>
      <c r="U36" s="914">
        <f>+S36/T35</f>
        <v>241613.50340136053</v>
      </c>
      <c r="V36" s="879">
        <f t="shared" si="8"/>
        <v>0.55000000000000004</v>
      </c>
      <c r="W36" s="880">
        <v>302330600</v>
      </c>
      <c r="X36" s="881">
        <v>45450</v>
      </c>
      <c r="Y36" s="879">
        <f t="shared" si="2"/>
        <v>9.6128832146001764E-2</v>
      </c>
      <c r="Z36" s="882">
        <v>52841250</v>
      </c>
      <c r="AA36" s="881">
        <v>45456</v>
      </c>
      <c r="AB36" s="877">
        <f t="shared" si="3"/>
        <v>0</v>
      </c>
      <c r="AC36" s="877"/>
      <c r="AD36" s="883">
        <f>EDATE(AA35,6)</f>
        <v>45930</v>
      </c>
      <c r="AE36" s="877">
        <f t="shared" si="4"/>
        <v>0</v>
      </c>
      <c r="AF36" s="877"/>
      <c r="AG36" s="883"/>
      <c r="AH36" s="877">
        <f t="shared" si="5"/>
        <v>0</v>
      </c>
      <c r="AI36" s="877"/>
      <c r="AJ36" s="877"/>
      <c r="AK36" s="877">
        <f t="shared" si="12"/>
        <v>0</v>
      </c>
      <c r="AL36" s="877"/>
      <c r="AM36" s="877"/>
      <c r="AN36" s="884">
        <f t="shared" si="9"/>
        <v>549692000</v>
      </c>
      <c r="AO36" s="884">
        <f>+AN36*'ref.지급기준 (2)'!K35+AN36*('ref.지급기준 (2)'!G35+'ref.지급기준 (2)'!I35)-S36</f>
        <v>194520150</v>
      </c>
      <c r="AP36" s="885">
        <f>+AD36</f>
        <v>45930</v>
      </c>
      <c r="AQ36" s="407"/>
      <c r="AR36" s="945">
        <f>+$AN36*'ref.지급기준 (2)'!G35</f>
        <v>302330600</v>
      </c>
      <c r="AS36" s="884">
        <f t="shared" si="11"/>
        <v>302330600</v>
      </c>
      <c r="AT36" s="884">
        <f>+$AN36*'ref.지급기준 (2)'!I35</f>
        <v>82453800</v>
      </c>
      <c r="AU36" s="884">
        <f t="shared" si="10"/>
        <v>52841250</v>
      </c>
      <c r="AV36" s="884">
        <f>+$AN36*'ref.지급기준 (2)'!K35</f>
        <v>164907600</v>
      </c>
      <c r="AW36" s="884"/>
      <c r="AX36" s="884">
        <f>+$AN36*'ref.지급기준 (2)'!M35</f>
        <v>0</v>
      </c>
      <c r="AY36" s="884"/>
      <c r="AZ36" s="884">
        <f>+$AN36*'ref.지급기준 (2)'!O35</f>
        <v>0</v>
      </c>
      <c r="BA36" s="890"/>
      <c r="BB36" s="2683"/>
      <c r="BC36" s="393"/>
      <c r="BD36" s="393" t="b">
        <f t="shared" si="6"/>
        <v>1</v>
      </c>
      <c r="BE36" s="393"/>
      <c r="BF36" s="393"/>
      <c r="BG36" s="393"/>
      <c r="BH36" s="393"/>
      <c r="BI36" s="393"/>
      <c r="BJ36" s="393"/>
      <c r="BK36" s="393"/>
      <c r="BL36" s="393"/>
      <c r="BM36" s="393"/>
      <c r="BN36" s="408"/>
      <c r="BO36" s="408"/>
    </row>
    <row r="37" spans="1:67" ht="16.5" customHeight="1">
      <c r="A37" s="394"/>
      <c r="B37" s="2624"/>
      <c r="C37" s="2636"/>
      <c r="D37" s="2639"/>
      <c r="E37" s="2644"/>
      <c r="F37" s="2680"/>
      <c r="G37" s="2650"/>
      <c r="H37" s="2652"/>
      <c r="I37" s="2654"/>
      <c r="J37" s="2654"/>
      <c r="K37" s="875" t="s">
        <v>127</v>
      </c>
      <c r="L37" s="896">
        <f>+'ref.지급기준 (2)'!F36*'ref.지급기준 (2)'!D36/'ref.지급기준 (2)'!$Q$2</f>
        <v>0</v>
      </c>
      <c r="M37" s="896" t="s">
        <v>1218</v>
      </c>
      <c r="N37" s="897">
        <f t="shared" si="0"/>
        <v>0</v>
      </c>
      <c r="O37" s="2690"/>
      <c r="P37" s="2693"/>
      <c r="Q37" s="874" t="b">
        <f t="shared" si="1"/>
        <v>1</v>
      </c>
      <c r="R37" s="908" t="str">
        <f t="shared" si="7"/>
        <v>-</v>
      </c>
      <c r="S37" s="909">
        <f t="shared" si="13"/>
        <v>0</v>
      </c>
      <c r="T37" s="2657"/>
      <c r="U37" s="914">
        <f>+S37/T35</f>
        <v>0</v>
      </c>
      <c r="V37" s="877" t="str">
        <f t="shared" si="8"/>
        <v>-</v>
      </c>
      <c r="W37" s="877"/>
      <c r="X37" s="883"/>
      <c r="Y37" s="877" t="str">
        <f t="shared" si="2"/>
        <v>-</v>
      </c>
      <c r="Z37" s="877"/>
      <c r="AA37" s="883"/>
      <c r="AB37" s="877" t="str">
        <f t="shared" si="3"/>
        <v>-</v>
      </c>
      <c r="AC37" s="877"/>
      <c r="AD37" s="883"/>
      <c r="AE37" s="877" t="str">
        <f t="shared" si="4"/>
        <v>-</v>
      </c>
      <c r="AF37" s="877"/>
      <c r="AG37" s="883"/>
      <c r="AH37" s="877">
        <f t="shared" si="5"/>
        <v>0</v>
      </c>
      <c r="AI37" s="877"/>
      <c r="AJ37" s="877"/>
      <c r="AK37" s="877">
        <f t="shared" si="12"/>
        <v>0</v>
      </c>
      <c r="AL37" s="877"/>
      <c r="AM37" s="877"/>
      <c r="AN37" s="884">
        <f t="shared" si="9"/>
        <v>0</v>
      </c>
      <c r="AO37" s="884">
        <f>+AR37+AT37</f>
        <v>0</v>
      </c>
      <c r="AP37" s="885"/>
      <c r="AQ37" s="407"/>
      <c r="AR37" s="945">
        <f>+$AN37*'ref.지급기준 (2)'!G36</f>
        <v>0</v>
      </c>
      <c r="AS37" s="884">
        <f t="shared" si="11"/>
        <v>0</v>
      </c>
      <c r="AT37" s="884">
        <f>+$AN37*'ref.지급기준 (2)'!I36</f>
        <v>0</v>
      </c>
      <c r="AU37" s="884">
        <f t="shared" si="10"/>
        <v>0</v>
      </c>
      <c r="AV37" s="884">
        <f>+$AN37*'ref.지급기준 (2)'!K36</f>
        <v>0</v>
      </c>
      <c r="AW37" s="884"/>
      <c r="AX37" s="884">
        <f>+$AN37*'ref.지급기준 (2)'!M36</f>
        <v>0</v>
      </c>
      <c r="AY37" s="884"/>
      <c r="AZ37" s="884">
        <f>+$AN37*'ref.지급기준 (2)'!O36</f>
        <v>0</v>
      </c>
      <c r="BA37" s="890"/>
      <c r="BB37" s="2683"/>
      <c r="BC37" s="393"/>
      <c r="BD37" s="393" t="b">
        <f t="shared" si="6"/>
        <v>1</v>
      </c>
      <c r="BE37" s="393"/>
      <c r="BF37" s="393"/>
      <c r="BG37" s="393"/>
      <c r="BH37" s="393"/>
      <c r="BI37" s="393"/>
      <c r="BJ37" s="393"/>
      <c r="BK37" s="393"/>
      <c r="BL37" s="393"/>
      <c r="BM37" s="393"/>
      <c r="BN37" s="408"/>
      <c r="BO37" s="408"/>
    </row>
    <row r="38" spans="1:67" ht="16.5" customHeight="1">
      <c r="A38" s="394"/>
      <c r="B38" s="2624"/>
      <c r="C38" s="2636"/>
      <c r="D38" s="2639"/>
      <c r="E38" s="2644"/>
      <c r="F38" s="2680"/>
      <c r="G38" s="2650"/>
      <c r="H38" s="2652"/>
      <c r="I38" s="2654"/>
      <c r="J38" s="2654"/>
      <c r="K38" s="875" t="s">
        <v>128</v>
      </c>
      <c r="L38" s="896">
        <f>+'ref.지급기준 (2)'!F37*'ref.지급기준 (2)'!D37/'ref.지급기준 (2)'!$Q$2</f>
        <v>0</v>
      </c>
      <c r="M38" s="896" t="s">
        <v>1218</v>
      </c>
      <c r="N38" s="897">
        <f t="shared" si="0"/>
        <v>0</v>
      </c>
      <c r="O38" s="2690"/>
      <c r="P38" s="2693"/>
      <c r="Q38" s="874" t="b">
        <f t="shared" si="1"/>
        <v>1</v>
      </c>
      <c r="R38" s="908" t="str">
        <f t="shared" si="7"/>
        <v>-</v>
      </c>
      <c r="S38" s="909">
        <f t="shared" si="13"/>
        <v>0</v>
      </c>
      <c r="T38" s="2657"/>
      <c r="U38" s="914">
        <f>+S38/T35</f>
        <v>0</v>
      </c>
      <c r="V38" s="877" t="str">
        <f t="shared" si="8"/>
        <v>-</v>
      </c>
      <c r="W38" s="877"/>
      <c r="X38" s="883"/>
      <c r="Y38" s="877" t="str">
        <f t="shared" si="2"/>
        <v>-</v>
      </c>
      <c r="Z38" s="877"/>
      <c r="AA38" s="883"/>
      <c r="AB38" s="877" t="str">
        <f t="shared" si="3"/>
        <v>-</v>
      </c>
      <c r="AC38" s="877"/>
      <c r="AD38" s="883"/>
      <c r="AE38" s="877" t="str">
        <f t="shared" si="4"/>
        <v>-</v>
      </c>
      <c r="AF38" s="877"/>
      <c r="AG38" s="883"/>
      <c r="AH38" s="877">
        <f t="shared" si="5"/>
        <v>0</v>
      </c>
      <c r="AI38" s="877"/>
      <c r="AJ38" s="877"/>
      <c r="AK38" s="877">
        <f t="shared" si="12"/>
        <v>0</v>
      </c>
      <c r="AL38" s="877"/>
      <c r="AM38" s="877"/>
      <c r="AN38" s="884">
        <f t="shared" si="9"/>
        <v>0</v>
      </c>
      <c r="AO38" s="884">
        <f>+AR38+AT38</f>
        <v>0</v>
      </c>
      <c r="AP38" s="885"/>
      <c r="AQ38" s="407"/>
      <c r="AR38" s="945">
        <f>+$AN38*'ref.지급기준 (2)'!G37</f>
        <v>0</v>
      </c>
      <c r="AS38" s="884">
        <f t="shared" si="11"/>
        <v>0</v>
      </c>
      <c r="AT38" s="884">
        <f>+$AN38*'ref.지급기준 (2)'!I37</f>
        <v>0</v>
      </c>
      <c r="AU38" s="884">
        <f t="shared" si="10"/>
        <v>0</v>
      </c>
      <c r="AV38" s="884">
        <f>+$AN38*'ref.지급기준 (2)'!K37</f>
        <v>0</v>
      </c>
      <c r="AW38" s="884"/>
      <c r="AX38" s="884">
        <f>+$AN38*'ref.지급기준 (2)'!M37</f>
        <v>0</v>
      </c>
      <c r="AY38" s="884"/>
      <c r="AZ38" s="884">
        <f>+$AN38*'ref.지급기준 (2)'!O37</f>
        <v>0</v>
      </c>
      <c r="BA38" s="890"/>
      <c r="BB38" s="2683"/>
      <c r="BC38" s="393"/>
      <c r="BD38" s="393" t="b">
        <f t="shared" si="6"/>
        <v>1</v>
      </c>
      <c r="BE38" s="393"/>
      <c r="BF38" s="393"/>
      <c r="BG38" s="393"/>
      <c r="BH38" s="393"/>
      <c r="BI38" s="393"/>
      <c r="BJ38" s="393"/>
      <c r="BK38" s="393"/>
      <c r="BL38" s="393"/>
      <c r="BM38" s="393"/>
      <c r="BN38" s="408"/>
      <c r="BO38" s="408"/>
    </row>
    <row r="39" spans="1:67" ht="16.5" customHeight="1" thickBot="1">
      <c r="A39" s="394"/>
      <c r="B39" s="2624"/>
      <c r="C39" s="2636"/>
      <c r="D39" s="2639"/>
      <c r="E39" s="2644"/>
      <c r="F39" s="2681"/>
      <c r="G39" s="2650"/>
      <c r="H39" s="2652"/>
      <c r="I39" s="2654"/>
      <c r="J39" s="2654"/>
      <c r="K39" s="892" t="s">
        <v>129</v>
      </c>
      <c r="L39" s="898"/>
      <c r="M39" s="898"/>
      <c r="N39" s="899"/>
      <c r="O39" s="2690"/>
      <c r="P39" s="2693"/>
      <c r="Q39" s="874"/>
      <c r="R39" s="910"/>
      <c r="S39" s="911"/>
      <c r="T39" s="2665"/>
      <c r="U39" s="915">
        <f>+S39/T35</f>
        <v>0</v>
      </c>
      <c r="V39" s="910" t="str">
        <f t="shared" si="8"/>
        <v>-</v>
      </c>
      <c r="W39" s="926"/>
      <c r="X39" s="926"/>
      <c r="Y39" s="926" t="str">
        <f t="shared" si="2"/>
        <v>-</v>
      </c>
      <c r="Z39" s="926"/>
      <c r="AA39" s="927"/>
      <c r="AB39" s="926" t="str">
        <f t="shared" si="3"/>
        <v>-</v>
      </c>
      <c r="AC39" s="926"/>
      <c r="AD39" s="927"/>
      <c r="AE39" s="926" t="str">
        <f t="shared" si="4"/>
        <v>-</v>
      </c>
      <c r="AF39" s="926"/>
      <c r="AG39" s="927"/>
      <c r="AH39" s="926">
        <f t="shared" si="5"/>
        <v>0</v>
      </c>
      <c r="AI39" s="926"/>
      <c r="AJ39" s="926"/>
      <c r="AK39" s="926"/>
      <c r="AL39" s="926"/>
      <c r="AM39" s="926"/>
      <c r="AN39" s="928">
        <f t="shared" si="9"/>
        <v>0</v>
      </c>
      <c r="AO39" s="928">
        <f>+AR39+AT39</f>
        <v>0</v>
      </c>
      <c r="AP39" s="931"/>
      <c r="AQ39" s="407"/>
      <c r="AR39" s="947">
        <f>+$AN39*'ref.지급기준 (2)'!G38</f>
        <v>0</v>
      </c>
      <c r="AS39" s="928">
        <f t="shared" si="11"/>
        <v>0</v>
      </c>
      <c r="AT39" s="928">
        <f>+$AN39*'ref.지급기준 (2)'!I38</f>
        <v>0</v>
      </c>
      <c r="AU39" s="928">
        <f t="shared" si="10"/>
        <v>0</v>
      </c>
      <c r="AV39" s="928">
        <f>+$AN39*'ref.지급기준 (2)'!K38</f>
        <v>0</v>
      </c>
      <c r="AW39" s="928"/>
      <c r="AX39" s="928">
        <f>+$AN39*'ref.지급기준 (2)'!M38</f>
        <v>0</v>
      </c>
      <c r="AY39" s="928"/>
      <c r="AZ39" s="928">
        <f>+$AN39*'ref.지급기준 (2)'!O38</f>
        <v>0</v>
      </c>
      <c r="BA39" s="997"/>
      <c r="BB39" s="2683"/>
      <c r="BC39" s="393"/>
      <c r="BD39" s="393"/>
      <c r="BE39" s="393"/>
      <c r="BF39" s="393"/>
      <c r="BG39" s="393"/>
      <c r="BH39" s="393"/>
      <c r="BI39" s="393"/>
      <c r="BJ39" s="393"/>
      <c r="BK39" s="393"/>
      <c r="BL39" s="393"/>
      <c r="BM39" s="393"/>
      <c r="BN39" s="408"/>
      <c r="BO39" s="408"/>
    </row>
    <row r="40" spans="1:67" ht="16.5" customHeight="1">
      <c r="A40" s="394"/>
      <c r="B40" s="2624"/>
      <c r="C40" s="2636"/>
      <c r="D40" s="2639"/>
      <c r="E40" s="2644"/>
      <c r="F40" s="2646" t="s">
        <v>1222</v>
      </c>
      <c r="G40" s="2668">
        <v>999.44</v>
      </c>
      <c r="H40" s="2671">
        <v>6.7799999999999999E-2</v>
      </c>
      <c r="I40" s="2674"/>
      <c r="J40" s="2674" t="s">
        <v>1213</v>
      </c>
      <c r="K40" s="893" t="s">
        <v>125</v>
      </c>
      <c r="L40" s="904">
        <f>+'ref.지급기준 (2)'!F39*'ref.지급기준 (2)'!D39/'ref.지급기준 (2)'!$Q$2</f>
        <v>1049412000</v>
      </c>
      <c r="M40" s="904">
        <f>+L40*10%</f>
        <v>104941200</v>
      </c>
      <c r="N40" s="1012">
        <f t="shared" si="0"/>
        <v>1154353200</v>
      </c>
      <c r="O40" s="2691"/>
      <c r="P40" s="2693"/>
      <c r="Q40" s="874" t="b">
        <f t="shared" si="1"/>
        <v>1</v>
      </c>
      <c r="R40" s="906">
        <f t="shared" si="7"/>
        <v>0</v>
      </c>
      <c r="S40" s="907">
        <f t="shared" si="13"/>
        <v>0</v>
      </c>
      <c r="T40" s="2656">
        <v>1470</v>
      </c>
      <c r="U40" s="913">
        <f>+S40/T40</f>
        <v>0</v>
      </c>
      <c r="V40" s="878">
        <f>+IFERROR(W40/$N40,"-")</f>
        <v>0</v>
      </c>
      <c r="W40" s="877"/>
      <c r="X40" s="883">
        <v>45716</v>
      </c>
      <c r="Y40" s="877">
        <f t="shared" si="2"/>
        <v>0</v>
      </c>
      <c r="Z40" s="877"/>
      <c r="AA40" s="883">
        <f>+EDATE(X40,1)+3</f>
        <v>45747</v>
      </c>
      <c r="AB40" s="877">
        <f t="shared" si="3"/>
        <v>0</v>
      </c>
      <c r="AC40" s="877"/>
      <c r="AD40" s="883">
        <f>+EDATE(AA40,3)</f>
        <v>45838</v>
      </c>
      <c r="AE40" s="877">
        <f t="shared" si="4"/>
        <v>0</v>
      </c>
      <c r="AF40" s="877"/>
      <c r="AG40" s="883">
        <f>+EDATE(AA40,4)</f>
        <v>45869</v>
      </c>
      <c r="AH40" s="877">
        <f t="shared" si="5"/>
        <v>0</v>
      </c>
      <c r="AI40" s="877"/>
      <c r="AJ40" s="883">
        <f>+EDATE(AA40,6)</f>
        <v>45930</v>
      </c>
      <c r="AK40" s="877">
        <f t="shared" si="12"/>
        <v>0</v>
      </c>
      <c r="AL40" s="877"/>
      <c r="AM40" s="877"/>
      <c r="AN40" s="884">
        <f t="shared" si="9"/>
        <v>1154353200</v>
      </c>
      <c r="AO40" s="884">
        <f>+AN40*'ref.지급기준 (2)'!G39</f>
        <v>115435320</v>
      </c>
      <c r="AP40" s="885">
        <f>+X40</f>
        <v>45716</v>
      </c>
      <c r="AQ40" s="407"/>
      <c r="AR40" s="946">
        <f>+$AN40*'ref.지급기준 (2)'!G39</f>
        <v>115435320</v>
      </c>
      <c r="AS40" s="924">
        <f t="shared" si="11"/>
        <v>0</v>
      </c>
      <c r="AT40" s="924">
        <f>+$AN40*'ref.지급기준 (2)'!I39</f>
        <v>230870640</v>
      </c>
      <c r="AU40" s="924">
        <f t="shared" si="10"/>
        <v>0</v>
      </c>
      <c r="AV40" s="924">
        <f>+$AN40*'ref.지급기준 (2)'!K39</f>
        <v>461741280</v>
      </c>
      <c r="AW40" s="924"/>
      <c r="AX40" s="924">
        <f>+$AN40*'ref.지급기준 (2)'!M39</f>
        <v>288588300</v>
      </c>
      <c r="AY40" s="924"/>
      <c r="AZ40" s="924">
        <f>+$AN40*'ref.지급기준 (2)'!O39</f>
        <v>57717660</v>
      </c>
      <c r="BA40" s="996"/>
      <c r="BB40" s="2683"/>
      <c r="BC40" s="393"/>
      <c r="BD40" s="393" t="b">
        <f t="shared" si="6"/>
        <v>1</v>
      </c>
      <c r="BE40" s="393"/>
      <c r="BF40" s="393"/>
      <c r="BG40" s="393"/>
      <c r="BH40" s="393"/>
      <c r="BI40" s="393"/>
      <c r="BJ40" s="393"/>
      <c r="BK40" s="393"/>
      <c r="BL40" s="393"/>
      <c r="BM40" s="393"/>
      <c r="BN40" s="408"/>
      <c r="BO40" s="408"/>
    </row>
    <row r="41" spans="1:67" ht="16.5" customHeight="1">
      <c r="A41" s="394"/>
      <c r="B41" s="2624"/>
      <c r="C41" s="2636"/>
      <c r="D41" s="2639"/>
      <c r="E41" s="2644"/>
      <c r="F41" s="2647"/>
      <c r="G41" s="2669"/>
      <c r="H41" s="2672"/>
      <c r="I41" s="2675"/>
      <c r="J41" s="2675"/>
      <c r="K41" s="875" t="s">
        <v>126</v>
      </c>
      <c r="L41" s="896">
        <f>+'ref.지급기준 (2)'!F40*'ref.지급기준 (2)'!D40/'ref.지급기준 (2)'!$Q$2</f>
        <v>549692000</v>
      </c>
      <c r="M41" s="896" t="s">
        <v>1218</v>
      </c>
      <c r="N41" s="1002">
        <f t="shared" si="0"/>
        <v>549692000</v>
      </c>
      <c r="O41" s="2691"/>
      <c r="P41" s="2693"/>
      <c r="Q41" s="874" t="b">
        <f t="shared" si="1"/>
        <v>1</v>
      </c>
      <c r="R41" s="908">
        <f t="shared" si="7"/>
        <v>0.64612883214600181</v>
      </c>
      <c r="S41" s="909">
        <f t="shared" si="13"/>
        <v>355171850</v>
      </c>
      <c r="T41" s="2657"/>
      <c r="U41" s="914">
        <f>+S41/T40</f>
        <v>241613.50340136053</v>
      </c>
      <c r="V41" s="879">
        <f t="shared" si="8"/>
        <v>0.55000000000000004</v>
      </c>
      <c r="W41" s="880">
        <v>302330600</v>
      </c>
      <c r="X41" s="881">
        <v>45450</v>
      </c>
      <c r="Y41" s="879">
        <f t="shared" si="2"/>
        <v>9.6128832146001764E-2</v>
      </c>
      <c r="Z41" s="882">
        <v>52841250</v>
      </c>
      <c r="AA41" s="881">
        <v>45456</v>
      </c>
      <c r="AB41" s="877">
        <f t="shared" si="3"/>
        <v>0</v>
      </c>
      <c r="AC41" s="877"/>
      <c r="AD41" s="883">
        <f>EDATE(AA40,6)</f>
        <v>45930</v>
      </c>
      <c r="AE41" s="877">
        <f t="shared" si="4"/>
        <v>0</v>
      </c>
      <c r="AF41" s="877"/>
      <c r="AG41" s="883"/>
      <c r="AH41" s="877">
        <f t="shared" si="5"/>
        <v>0</v>
      </c>
      <c r="AI41" s="877"/>
      <c r="AJ41" s="877"/>
      <c r="AK41" s="877">
        <f t="shared" si="12"/>
        <v>0</v>
      </c>
      <c r="AL41" s="877"/>
      <c r="AM41" s="877"/>
      <c r="AN41" s="884">
        <f t="shared" si="9"/>
        <v>549692000</v>
      </c>
      <c r="AO41" s="884">
        <f>+AN41*'ref.지급기준 (2)'!K40+AN41*('ref.지급기준 (2)'!G40+'ref.지급기준 (2)'!I40)-S41</f>
        <v>194520150</v>
      </c>
      <c r="AP41" s="885">
        <f>+AD41</f>
        <v>45930</v>
      </c>
      <c r="AQ41" s="407"/>
      <c r="AR41" s="945">
        <f>+$AN41*'ref.지급기준 (2)'!G40</f>
        <v>302330600</v>
      </c>
      <c r="AS41" s="884">
        <f t="shared" si="11"/>
        <v>302330600</v>
      </c>
      <c r="AT41" s="884">
        <f>+$AN41*'ref.지급기준 (2)'!I40</f>
        <v>82453800</v>
      </c>
      <c r="AU41" s="884">
        <f t="shared" si="10"/>
        <v>52841250</v>
      </c>
      <c r="AV41" s="884">
        <f>+$AN41*'ref.지급기준 (2)'!K40</f>
        <v>164907600</v>
      </c>
      <c r="AW41" s="884"/>
      <c r="AX41" s="884">
        <f>+$AN41*'ref.지급기준 (2)'!M40</f>
        <v>0</v>
      </c>
      <c r="AY41" s="884"/>
      <c r="AZ41" s="884">
        <f>+$AN41*'ref.지급기준 (2)'!O40</f>
        <v>0</v>
      </c>
      <c r="BA41" s="890"/>
      <c r="BB41" s="2683"/>
      <c r="BC41" s="393"/>
      <c r="BD41" s="393" t="b">
        <f t="shared" si="6"/>
        <v>1</v>
      </c>
      <c r="BE41" s="393"/>
      <c r="BF41" s="393"/>
      <c r="BG41" s="393"/>
      <c r="BH41" s="393"/>
      <c r="BI41" s="393"/>
      <c r="BJ41" s="393"/>
      <c r="BK41" s="393"/>
      <c r="BL41" s="393"/>
      <c r="BM41" s="393"/>
      <c r="BN41" s="408"/>
      <c r="BO41" s="408"/>
    </row>
    <row r="42" spans="1:67" ht="16.5" customHeight="1">
      <c r="A42" s="394"/>
      <c r="B42" s="2624"/>
      <c r="C42" s="2636"/>
      <c r="D42" s="2639"/>
      <c r="E42" s="2644"/>
      <c r="F42" s="2647"/>
      <c r="G42" s="2669"/>
      <c r="H42" s="2672"/>
      <c r="I42" s="2675"/>
      <c r="J42" s="2675"/>
      <c r="K42" s="875" t="s">
        <v>127</v>
      </c>
      <c r="L42" s="896">
        <f>+'ref.지급기준 (2)'!F41*'ref.지급기준 (2)'!D41/'ref.지급기준 (2)'!$Q$2</f>
        <v>0</v>
      </c>
      <c r="M42" s="896" t="s">
        <v>1218</v>
      </c>
      <c r="N42" s="1002">
        <f t="shared" si="0"/>
        <v>0</v>
      </c>
      <c r="O42" s="2691"/>
      <c r="P42" s="2693"/>
      <c r="Q42" s="874" t="b">
        <f t="shared" si="1"/>
        <v>1</v>
      </c>
      <c r="R42" s="908" t="str">
        <f t="shared" si="7"/>
        <v>-</v>
      </c>
      <c r="S42" s="909">
        <f t="shared" si="13"/>
        <v>0</v>
      </c>
      <c r="T42" s="2657"/>
      <c r="U42" s="914">
        <f>+S42/T40</f>
        <v>0</v>
      </c>
      <c r="V42" s="877" t="str">
        <f t="shared" si="8"/>
        <v>-</v>
      </c>
      <c r="W42" s="877"/>
      <c r="X42" s="883"/>
      <c r="Y42" s="877" t="str">
        <f t="shared" si="2"/>
        <v>-</v>
      </c>
      <c r="Z42" s="877"/>
      <c r="AA42" s="883"/>
      <c r="AB42" s="877" t="str">
        <f t="shared" si="3"/>
        <v>-</v>
      </c>
      <c r="AC42" s="877"/>
      <c r="AD42" s="883"/>
      <c r="AE42" s="877" t="str">
        <f t="shared" si="4"/>
        <v>-</v>
      </c>
      <c r="AF42" s="877"/>
      <c r="AG42" s="883"/>
      <c r="AH42" s="877">
        <f t="shared" si="5"/>
        <v>0</v>
      </c>
      <c r="AI42" s="877"/>
      <c r="AJ42" s="877"/>
      <c r="AK42" s="877">
        <f t="shared" si="12"/>
        <v>0</v>
      </c>
      <c r="AL42" s="877"/>
      <c r="AM42" s="877"/>
      <c r="AN42" s="884">
        <f t="shared" si="9"/>
        <v>0</v>
      </c>
      <c r="AO42" s="884">
        <f>+AR42+AT42</f>
        <v>0</v>
      </c>
      <c r="AP42" s="885"/>
      <c r="AQ42" s="407"/>
      <c r="AR42" s="945">
        <f>+$AN42*'ref.지급기준 (2)'!G41</f>
        <v>0</v>
      </c>
      <c r="AS42" s="884">
        <f t="shared" si="11"/>
        <v>0</v>
      </c>
      <c r="AT42" s="884">
        <f>+$AN42*'ref.지급기준 (2)'!I41</f>
        <v>0</v>
      </c>
      <c r="AU42" s="884">
        <f t="shared" si="10"/>
        <v>0</v>
      </c>
      <c r="AV42" s="884">
        <f>+$AN42*'ref.지급기준 (2)'!K41</f>
        <v>0</v>
      </c>
      <c r="AW42" s="884"/>
      <c r="AX42" s="884">
        <f>+$AN42*'ref.지급기준 (2)'!M41</f>
        <v>0</v>
      </c>
      <c r="AY42" s="884"/>
      <c r="AZ42" s="884">
        <f>+$AN42*'ref.지급기준 (2)'!O41</f>
        <v>0</v>
      </c>
      <c r="BA42" s="890"/>
      <c r="BB42" s="2683"/>
      <c r="BC42" s="393"/>
      <c r="BD42" s="393" t="b">
        <f t="shared" si="6"/>
        <v>1</v>
      </c>
      <c r="BE42" s="393"/>
      <c r="BF42" s="393"/>
      <c r="BG42" s="393"/>
      <c r="BH42" s="393"/>
      <c r="BI42" s="393"/>
      <c r="BJ42" s="393"/>
      <c r="BK42" s="393"/>
      <c r="BL42" s="393"/>
      <c r="BM42" s="393"/>
      <c r="BN42" s="408"/>
      <c r="BO42" s="408"/>
    </row>
    <row r="43" spans="1:67" ht="16.5" customHeight="1">
      <c r="A43" s="394"/>
      <c r="B43" s="2624"/>
      <c r="C43" s="2636"/>
      <c r="D43" s="2639"/>
      <c r="E43" s="2644"/>
      <c r="F43" s="2647"/>
      <c r="G43" s="2669"/>
      <c r="H43" s="2672"/>
      <c r="I43" s="2675"/>
      <c r="J43" s="2675"/>
      <c r="K43" s="875" t="s">
        <v>128</v>
      </c>
      <c r="L43" s="896">
        <f>+'ref.지급기준 (2)'!F42*'ref.지급기준 (2)'!D42/'ref.지급기준 (2)'!$Q$2</f>
        <v>0</v>
      </c>
      <c r="M43" s="896" t="s">
        <v>1218</v>
      </c>
      <c r="N43" s="1002">
        <f t="shared" si="0"/>
        <v>0</v>
      </c>
      <c r="O43" s="2691"/>
      <c r="P43" s="2693"/>
      <c r="Q43" s="409" t="b">
        <f t="shared" si="1"/>
        <v>1</v>
      </c>
      <c r="R43" s="908" t="str">
        <f>+IFERROR(S43/N43,"-")</f>
        <v>-</v>
      </c>
      <c r="S43" s="909">
        <f t="shared" si="13"/>
        <v>0</v>
      </c>
      <c r="T43" s="2657"/>
      <c r="U43" s="914">
        <f>+S43/T40</f>
        <v>0</v>
      </c>
      <c r="V43" s="877" t="str">
        <f t="shared" si="8"/>
        <v>-</v>
      </c>
      <c r="W43" s="877"/>
      <c r="X43" s="883"/>
      <c r="Y43" s="877" t="str">
        <f t="shared" si="2"/>
        <v>-</v>
      </c>
      <c r="Z43" s="877"/>
      <c r="AA43" s="883"/>
      <c r="AB43" s="877" t="str">
        <f t="shared" si="3"/>
        <v>-</v>
      </c>
      <c r="AC43" s="877"/>
      <c r="AD43" s="883"/>
      <c r="AE43" s="877" t="str">
        <f t="shared" si="4"/>
        <v>-</v>
      </c>
      <c r="AF43" s="877"/>
      <c r="AG43" s="883"/>
      <c r="AH43" s="877">
        <f t="shared" si="5"/>
        <v>0</v>
      </c>
      <c r="AI43" s="877"/>
      <c r="AJ43" s="877"/>
      <c r="AK43" s="877">
        <f t="shared" si="12"/>
        <v>0</v>
      </c>
      <c r="AL43" s="877"/>
      <c r="AM43" s="877"/>
      <c r="AN43" s="884">
        <f t="shared" si="9"/>
        <v>0</v>
      </c>
      <c r="AO43" s="884">
        <f>+AR43+AT43</f>
        <v>0</v>
      </c>
      <c r="AP43" s="885"/>
      <c r="AQ43" s="407"/>
      <c r="AR43" s="945">
        <f>+$AN43*'ref.지급기준 (2)'!G42</f>
        <v>0</v>
      </c>
      <c r="AS43" s="884">
        <f t="shared" si="11"/>
        <v>0</v>
      </c>
      <c r="AT43" s="884">
        <f>+$AN43*'ref.지급기준 (2)'!I42</f>
        <v>0</v>
      </c>
      <c r="AU43" s="884">
        <f t="shared" si="10"/>
        <v>0</v>
      </c>
      <c r="AV43" s="884">
        <f>+$AN43*'ref.지급기준 (2)'!K42</f>
        <v>0</v>
      </c>
      <c r="AW43" s="884"/>
      <c r="AX43" s="884">
        <f>+$AN43*'ref.지급기준 (2)'!M42</f>
        <v>0</v>
      </c>
      <c r="AY43" s="884"/>
      <c r="AZ43" s="884">
        <f>+$AN43*'ref.지급기준 (2)'!O42</f>
        <v>0</v>
      </c>
      <c r="BA43" s="890"/>
      <c r="BB43" s="2683"/>
      <c r="BC43" s="393"/>
      <c r="BD43" s="393" t="b">
        <f t="shared" si="6"/>
        <v>1</v>
      </c>
      <c r="BE43" s="393"/>
      <c r="BF43" s="393"/>
      <c r="BG43" s="393"/>
      <c r="BH43" s="393"/>
      <c r="BI43" s="393"/>
      <c r="BJ43" s="393"/>
      <c r="BK43" s="393"/>
      <c r="BL43" s="393"/>
      <c r="BM43" s="393"/>
      <c r="BN43" s="408"/>
      <c r="BO43" s="408"/>
    </row>
    <row r="44" spans="1:67" ht="16.5" customHeight="1">
      <c r="A44" s="394"/>
      <c r="B44" s="2624"/>
      <c r="C44" s="2636"/>
      <c r="D44" s="2639"/>
      <c r="E44" s="2645"/>
      <c r="F44" s="2648"/>
      <c r="G44" s="2670"/>
      <c r="H44" s="2673"/>
      <c r="I44" s="2676"/>
      <c r="J44" s="2676"/>
      <c r="K44" s="999" t="s">
        <v>129</v>
      </c>
      <c r="L44" s="900"/>
      <c r="M44" s="900"/>
      <c r="N44" s="1003"/>
      <c r="O44" s="2691"/>
      <c r="P44" s="2693"/>
      <c r="Q44" s="874"/>
      <c r="R44" s="910"/>
      <c r="S44" s="911"/>
      <c r="T44" s="2665"/>
      <c r="U44" s="915">
        <f>+S44/T40</f>
        <v>0</v>
      </c>
      <c r="V44" s="910" t="str">
        <f t="shared" si="8"/>
        <v>-</v>
      </c>
      <c r="W44" s="926"/>
      <c r="X44" s="926"/>
      <c r="Y44" s="926" t="str">
        <f t="shared" si="2"/>
        <v>-</v>
      </c>
      <c r="Z44" s="926"/>
      <c r="AA44" s="927"/>
      <c r="AB44" s="926" t="str">
        <f t="shared" si="3"/>
        <v>-</v>
      </c>
      <c r="AC44" s="926"/>
      <c r="AD44" s="927"/>
      <c r="AE44" s="926" t="str">
        <f t="shared" si="4"/>
        <v>-</v>
      </c>
      <c r="AF44" s="926"/>
      <c r="AG44" s="927"/>
      <c r="AH44" s="926">
        <f t="shared" si="5"/>
        <v>0</v>
      </c>
      <c r="AI44" s="926"/>
      <c r="AJ44" s="926"/>
      <c r="AK44" s="926"/>
      <c r="AL44" s="926"/>
      <c r="AM44" s="926"/>
      <c r="AN44" s="928">
        <f t="shared" si="9"/>
        <v>0</v>
      </c>
      <c r="AO44" s="928">
        <f>+AR44+AT44</f>
        <v>0</v>
      </c>
      <c r="AP44" s="931"/>
      <c r="AQ44" s="407"/>
      <c r="AR44" s="947">
        <f>+$AN44*'ref.지급기준 (2)'!G43</f>
        <v>0</v>
      </c>
      <c r="AS44" s="928">
        <f t="shared" si="11"/>
        <v>0</v>
      </c>
      <c r="AT44" s="928">
        <f>+$AN44*'ref.지급기준 (2)'!I43</f>
        <v>0</v>
      </c>
      <c r="AU44" s="928">
        <f t="shared" si="10"/>
        <v>0</v>
      </c>
      <c r="AV44" s="928">
        <f>+$AN44*'ref.지급기준 (2)'!K43</f>
        <v>0</v>
      </c>
      <c r="AW44" s="928"/>
      <c r="AX44" s="928">
        <f>+$AN44*'ref.지급기준 (2)'!M43</f>
        <v>0</v>
      </c>
      <c r="AY44" s="928"/>
      <c r="AZ44" s="928">
        <f>+$AN44*'ref.지급기준 (2)'!O43</f>
        <v>0</v>
      </c>
      <c r="BA44" s="997"/>
      <c r="BB44" s="2685"/>
      <c r="BC44" s="393"/>
      <c r="BD44" s="393"/>
      <c r="BE44" s="393"/>
      <c r="BF44" s="393"/>
      <c r="BG44" s="393"/>
      <c r="BH44" s="393"/>
      <c r="BI44" s="393"/>
      <c r="BJ44" s="393"/>
      <c r="BK44" s="393"/>
      <c r="BL44" s="393"/>
      <c r="BM44" s="393"/>
      <c r="BN44" s="408"/>
      <c r="BO44" s="408"/>
    </row>
    <row r="45" spans="1:67" ht="16.5" customHeight="1">
      <c r="A45" s="394"/>
      <c r="B45" s="2624"/>
      <c r="C45" s="2636"/>
      <c r="D45" s="2636"/>
      <c r="E45" s="2640" t="s">
        <v>1223</v>
      </c>
      <c r="F45" s="2633" t="s">
        <v>1224</v>
      </c>
      <c r="G45" s="2650">
        <v>999.24</v>
      </c>
      <c r="H45" s="2652">
        <v>7.2700000000000001E-2</v>
      </c>
      <c r="I45" s="2654"/>
      <c r="J45" s="2654" t="s">
        <v>1213</v>
      </c>
      <c r="K45" s="891" t="s">
        <v>125</v>
      </c>
      <c r="L45" s="902">
        <f>+'ref.지급기준 (2)'!F44*'ref.지급기준 (2)'!D44/'ref.지급기준 (2)'!$Q$2</f>
        <v>1049202000</v>
      </c>
      <c r="M45" s="902">
        <f>+L45*10%</f>
        <v>104920200</v>
      </c>
      <c r="N45" s="1007">
        <f t="shared" si="0"/>
        <v>1154122200</v>
      </c>
      <c r="O45" s="2666" t="s">
        <v>1225</v>
      </c>
      <c r="P45" s="2667" t="s">
        <v>1226</v>
      </c>
      <c r="Q45" s="874" t="b">
        <f t="shared" ref="Q45:Q73" si="14">+N45=AN45</f>
        <v>1</v>
      </c>
      <c r="R45" s="906">
        <f t="shared" si="7"/>
        <v>0</v>
      </c>
      <c r="S45" s="907">
        <f t="shared" si="13"/>
        <v>0</v>
      </c>
      <c r="T45" s="2656">
        <v>1470</v>
      </c>
      <c r="U45" s="913">
        <f>+S45/T45</f>
        <v>0</v>
      </c>
      <c r="V45" s="906">
        <f>+IFERROR(W45/$N45,"-")</f>
        <v>0</v>
      </c>
      <c r="W45" s="917"/>
      <c r="X45" s="918">
        <v>45716</v>
      </c>
      <c r="Y45" s="877">
        <f t="shared" si="2"/>
        <v>0</v>
      </c>
      <c r="Z45" s="877"/>
      <c r="AA45" s="883">
        <f>+EDATE(X45,1)+3</f>
        <v>45747</v>
      </c>
      <c r="AB45" s="877">
        <f t="shared" si="3"/>
        <v>0</v>
      </c>
      <c r="AC45" s="877"/>
      <c r="AD45" s="883">
        <f>+EDATE(AA45,3)</f>
        <v>45838</v>
      </c>
      <c r="AE45" s="877">
        <f t="shared" si="4"/>
        <v>0</v>
      </c>
      <c r="AF45" s="877"/>
      <c r="AG45" s="883">
        <f>+EDATE(AA45,4)</f>
        <v>45869</v>
      </c>
      <c r="AH45" s="877">
        <f t="shared" si="5"/>
        <v>0</v>
      </c>
      <c r="AI45" s="877"/>
      <c r="AJ45" s="883">
        <f>+EDATE(AA45,6)</f>
        <v>45930</v>
      </c>
      <c r="AK45" s="877">
        <f t="shared" si="12"/>
        <v>0</v>
      </c>
      <c r="AL45" s="877"/>
      <c r="AM45" s="877"/>
      <c r="AN45" s="884">
        <f t="shared" si="9"/>
        <v>1154122200</v>
      </c>
      <c r="AO45" s="884">
        <f>+AN45*'ref.지급기준 (2)'!G44</f>
        <v>115412220</v>
      </c>
      <c r="AP45" s="885">
        <f>+X45</f>
        <v>45716</v>
      </c>
      <c r="AQ45" s="407"/>
      <c r="AR45" s="946">
        <f>+$AN45*'ref.지급기준 (2)'!G44</f>
        <v>115412220</v>
      </c>
      <c r="AS45" s="924">
        <f t="shared" si="11"/>
        <v>0</v>
      </c>
      <c r="AT45" s="924">
        <f>+$AN45*'ref.지급기준 (2)'!I44</f>
        <v>230824440</v>
      </c>
      <c r="AU45" s="924">
        <f t="shared" si="10"/>
        <v>0</v>
      </c>
      <c r="AV45" s="924">
        <f>+$AN45*'ref.지급기준 (2)'!K44</f>
        <v>461648880</v>
      </c>
      <c r="AW45" s="924"/>
      <c r="AX45" s="924">
        <f>+$AN45*'ref.지급기준 (2)'!M44</f>
        <v>288530550</v>
      </c>
      <c r="AY45" s="924"/>
      <c r="AZ45" s="924">
        <f>+$AN45*'ref.지급기준 (2)'!O44</f>
        <v>57706110</v>
      </c>
      <c r="BA45" s="996"/>
      <c r="BB45" s="2682" t="s">
        <v>1227</v>
      </c>
      <c r="BC45" s="393"/>
      <c r="BD45" s="393" t="b">
        <f t="shared" si="6"/>
        <v>1</v>
      </c>
      <c r="BE45" s="393"/>
      <c r="BF45" s="393"/>
      <c r="BG45" s="393"/>
      <c r="BH45" s="393"/>
      <c r="BI45" s="393"/>
      <c r="BJ45" s="393"/>
      <c r="BK45" s="393"/>
      <c r="BL45" s="393"/>
      <c r="BM45" s="393"/>
      <c r="BN45" s="408"/>
      <c r="BO45" s="408"/>
    </row>
    <row r="46" spans="1:67" ht="16.5" customHeight="1">
      <c r="A46" s="394"/>
      <c r="B46" s="2624"/>
      <c r="C46" s="2636"/>
      <c r="D46" s="2636"/>
      <c r="E46" s="2641"/>
      <c r="F46" s="2633"/>
      <c r="G46" s="2650"/>
      <c r="H46" s="2652"/>
      <c r="I46" s="2654"/>
      <c r="J46" s="2654"/>
      <c r="K46" s="875" t="s">
        <v>126</v>
      </c>
      <c r="L46" s="896">
        <f>+'ref.지급기준 (2)'!F45*'ref.지급기준 (2)'!D45/'ref.지급기준 (2)'!$Q$2</f>
        <v>349734000</v>
      </c>
      <c r="M46" s="896">
        <f>+L46*10%</f>
        <v>34973400</v>
      </c>
      <c r="N46" s="1002">
        <f t="shared" si="0"/>
        <v>384707400</v>
      </c>
      <c r="O46" s="2666"/>
      <c r="P46" s="2667"/>
      <c r="Q46" s="874" t="b">
        <f t="shared" si="14"/>
        <v>1</v>
      </c>
      <c r="R46" s="908">
        <f t="shared" si="7"/>
        <v>0</v>
      </c>
      <c r="S46" s="909">
        <f t="shared" si="13"/>
        <v>0</v>
      </c>
      <c r="T46" s="2657"/>
      <c r="U46" s="914">
        <f>+S46/T45</f>
        <v>0</v>
      </c>
      <c r="V46" s="908">
        <f t="shared" si="8"/>
        <v>0</v>
      </c>
      <c r="W46" s="876"/>
      <c r="X46" s="919">
        <v>45777</v>
      </c>
      <c r="Y46" s="877">
        <f t="shared" si="2"/>
        <v>0</v>
      </c>
      <c r="Z46" s="886"/>
      <c r="AA46" s="883">
        <f>EDATE(X46,1)</f>
        <v>45807</v>
      </c>
      <c r="AB46" s="877">
        <f t="shared" si="3"/>
        <v>0</v>
      </c>
      <c r="AC46" s="877"/>
      <c r="AD46" s="883">
        <f>EDATE(AA46,4)</f>
        <v>45930</v>
      </c>
      <c r="AE46" s="877">
        <f t="shared" si="4"/>
        <v>0</v>
      </c>
      <c r="AF46" s="877"/>
      <c r="AG46" s="883">
        <f>EDATE(AA46,6)</f>
        <v>45991</v>
      </c>
      <c r="AH46" s="877">
        <f t="shared" si="5"/>
        <v>0</v>
      </c>
      <c r="AI46" s="877"/>
      <c r="AJ46" s="877"/>
      <c r="AK46" s="877">
        <f t="shared" si="12"/>
        <v>0</v>
      </c>
      <c r="AL46" s="877"/>
      <c r="AM46" s="877"/>
      <c r="AN46" s="884">
        <f t="shared" si="9"/>
        <v>384707400</v>
      </c>
      <c r="AO46" s="884">
        <f>+AN46*'ref.지급기준 (2)'!G45</f>
        <v>153882960</v>
      </c>
      <c r="AP46" s="885">
        <f t="shared" ref="AP46:AP73" si="15">+X46</f>
        <v>45777</v>
      </c>
      <c r="AQ46" s="407"/>
      <c r="AR46" s="945">
        <f>+$AN46*'ref.지급기준 (2)'!G45</f>
        <v>153882960</v>
      </c>
      <c r="AS46" s="884">
        <f t="shared" si="11"/>
        <v>0</v>
      </c>
      <c r="AT46" s="884">
        <f>+$AN46*'ref.지급기준 (2)'!I45</f>
        <v>76941480</v>
      </c>
      <c r="AU46" s="884">
        <f t="shared" si="10"/>
        <v>0</v>
      </c>
      <c r="AV46" s="884">
        <f>+$AN46*'ref.지급기준 (2)'!K45</f>
        <v>115412220</v>
      </c>
      <c r="AW46" s="884"/>
      <c r="AX46" s="884">
        <f>+$AN46*'ref.지급기준 (2)'!M45</f>
        <v>38470740</v>
      </c>
      <c r="AY46" s="884"/>
      <c r="AZ46" s="884">
        <f>+$AN46*'ref.지급기준 (2)'!O45</f>
        <v>0</v>
      </c>
      <c r="BA46" s="890"/>
      <c r="BB46" s="2683"/>
      <c r="BC46" s="393"/>
      <c r="BD46" s="393" t="b">
        <f t="shared" si="6"/>
        <v>1</v>
      </c>
      <c r="BE46" s="393"/>
      <c r="BF46" s="393"/>
      <c r="BG46" s="393"/>
      <c r="BH46" s="393"/>
      <c r="BI46" s="393"/>
      <c r="BJ46" s="393"/>
      <c r="BK46" s="393"/>
      <c r="BL46" s="393"/>
      <c r="BM46" s="393"/>
      <c r="BN46" s="408"/>
      <c r="BO46" s="408"/>
    </row>
    <row r="47" spans="1:67" ht="16.5" customHeight="1">
      <c r="A47" s="394"/>
      <c r="B47" s="2624"/>
      <c r="C47" s="2636"/>
      <c r="D47" s="2636"/>
      <c r="E47" s="2641"/>
      <c r="F47" s="2633"/>
      <c r="G47" s="2650"/>
      <c r="H47" s="2652"/>
      <c r="I47" s="2654"/>
      <c r="J47" s="2654"/>
      <c r="K47" s="875" t="s">
        <v>127</v>
      </c>
      <c r="L47" s="896">
        <f>+'ref.지급기준 (2)'!F46*'ref.지급기준 (2)'!D46/'ref.지급기준 (2)'!$Q$2</f>
        <v>299772000</v>
      </c>
      <c r="M47" s="896"/>
      <c r="N47" s="1002">
        <f t="shared" si="0"/>
        <v>299772000</v>
      </c>
      <c r="O47" s="2666"/>
      <c r="P47" s="2667"/>
      <c r="Q47" s="874" t="b">
        <f t="shared" si="14"/>
        <v>1</v>
      </c>
      <c r="R47" s="908">
        <f t="shared" si="7"/>
        <v>0</v>
      </c>
      <c r="S47" s="909">
        <f t="shared" si="13"/>
        <v>0</v>
      </c>
      <c r="T47" s="2657"/>
      <c r="U47" s="914">
        <f>+S47/T45</f>
        <v>0</v>
      </c>
      <c r="V47" s="908">
        <f t="shared" si="8"/>
        <v>0</v>
      </c>
      <c r="W47" s="876"/>
      <c r="X47" s="919">
        <f>X46</f>
        <v>45777</v>
      </c>
      <c r="Y47" s="877">
        <f t="shared" si="2"/>
        <v>0</v>
      </c>
      <c r="Z47" s="877"/>
      <c r="AA47" s="883">
        <f>AA46</f>
        <v>45807</v>
      </c>
      <c r="AB47" s="877">
        <f t="shared" si="3"/>
        <v>0</v>
      </c>
      <c r="AC47" s="877"/>
      <c r="AD47" s="883">
        <f>AD46</f>
        <v>45930</v>
      </c>
      <c r="AE47" s="877">
        <f t="shared" si="4"/>
        <v>0</v>
      </c>
      <c r="AF47" s="877"/>
      <c r="AG47" s="883">
        <f>AG46</f>
        <v>45991</v>
      </c>
      <c r="AH47" s="877">
        <f t="shared" si="5"/>
        <v>0</v>
      </c>
      <c r="AI47" s="877"/>
      <c r="AJ47" s="877"/>
      <c r="AK47" s="877">
        <f t="shared" si="12"/>
        <v>0</v>
      </c>
      <c r="AL47" s="877"/>
      <c r="AM47" s="877"/>
      <c r="AN47" s="884">
        <f t="shared" si="9"/>
        <v>299772000</v>
      </c>
      <c r="AO47" s="884">
        <f>+AN47*'ref.지급기준 (2)'!G46</f>
        <v>119908800</v>
      </c>
      <c r="AP47" s="885">
        <f t="shared" si="15"/>
        <v>45777</v>
      </c>
      <c r="AQ47" s="407"/>
      <c r="AR47" s="945">
        <f>+$AN47*'ref.지급기준 (2)'!G46</f>
        <v>119908800</v>
      </c>
      <c r="AS47" s="884">
        <f t="shared" si="11"/>
        <v>0</v>
      </c>
      <c r="AT47" s="884">
        <f>+$AN47*'ref.지급기준 (2)'!I46</f>
        <v>59954400</v>
      </c>
      <c r="AU47" s="884">
        <f t="shared" si="10"/>
        <v>0</v>
      </c>
      <c r="AV47" s="884">
        <f>+$AN47*'ref.지급기준 (2)'!K46</f>
        <v>89931600</v>
      </c>
      <c r="AW47" s="884"/>
      <c r="AX47" s="884">
        <f>+$AN47*'ref.지급기준 (2)'!M46</f>
        <v>29977200</v>
      </c>
      <c r="AY47" s="884"/>
      <c r="AZ47" s="884">
        <f>+$AN47*'ref.지급기준 (2)'!O46</f>
        <v>0</v>
      </c>
      <c r="BA47" s="890"/>
      <c r="BB47" s="2683"/>
      <c r="BC47" s="393"/>
      <c r="BD47" s="393" t="b">
        <f t="shared" si="6"/>
        <v>1</v>
      </c>
      <c r="BE47" s="393"/>
      <c r="BF47" s="393"/>
      <c r="BG47" s="393"/>
      <c r="BH47" s="393"/>
      <c r="BI47" s="393"/>
      <c r="BJ47" s="393"/>
      <c r="BK47" s="393"/>
      <c r="BL47" s="393"/>
      <c r="BM47" s="393"/>
      <c r="BN47" s="408"/>
      <c r="BO47" s="408"/>
    </row>
    <row r="48" spans="1:67" ht="16.5" customHeight="1">
      <c r="A48" s="394"/>
      <c r="B48" s="2624"/>
      <c r="C48" s="2636"/>
      <c r="D48" s="2636"/>
      <c r="E48" s="2641"/>
      <c r="F48" s="2633"/>
      <c r="G48" s="2650"/>
      <c r="H48" s="2652"/>
      <c r="I48" s="2654"/>
      <c r="J48" s="2654"/>
      <c r="K48" s="875" t="s">
        <v>128</v>
      </c>
      <c r="L48" s="896">
        <f>+'ref.지급기준 (2)'!F47*'ref.지급기준 (2)'!D47/'ref.지급기준 (2)'!$Q$2</f>
        <v>199848000</v>
      </c>
      <c r="M48" s="896">
        <f>+L48*10%</f>
        <v>19984800</v>
      </c>
      <c r="N48" s="1002">
        <f t="shared" si="0"/>
        <v>219832800</v>
      </c>
      <c r="O48" s="2666"/>
      <c r="P48" s="2667"/>
      <c r="Q48" s="874" t="b">
        <f t="shared" si="14"/>
        <v>1</v>
      </c>
      <c r="R48" s="908">
        <f t="shared" si="7"/>
        <v>0</v>
      </c>
      <c r="S48" s="909">
        <f t="shared" si="13"/>
        <v>0</v>
      </c>
      <c r="T48" s="2657"/>
      <c r="U48" s="914">
        <f>+S48/T45</f>
        <v>0</v>
      </c>
      <c r="V48" s="908">
        <f t="shared" si="8"/>
        <v>0</v>
      </c>
      <c r="W48" s="876"/>
      <c r="X48" s="919">
        <f>X46</f>
        <v>45777</v>
      </c>
      <c r="Y48" s="877">
        <f t="shared" si="2"/>
        <v>0</v>
      </c>
      <c r="Z48" s="877"/>
      <c r="AA48" s="883">
        <f>AA46</f>
        <v>45807</v>
      </c>
      <c r="AB48" s="877">
        <f t="shared" si="3"/>
        <v>0</v>
      </c>
      <c r="AC48" s="877"/>
      <c r="AD48" s="883">
        <f>AD46</f>
        <v>45930</v>
      </c>
      <c r="AE48" s="877">
        <f t="shared" si="4"/>
        <v>0</v>
      </c>
      <c r="AF48" s="877"/>
      <c r="AG48" s="883">
        <f>AG46</f>
        <v>45991</v>
      </c>
      <c r="AH48" s="877">
        <f t="shared" si="5"/>
        <v>0</v>
      </c>
      <c r="AI48" s="877"/>
      <c r="AJ48" s="877"/>
      <c r="AK48" s="877">
        <f t="shared" si="12"/>
        <v>0</v>
      </c>
      <c r="AL48" s="877"/>
      <c r="AM48" s="877"/>
      <c r="AN48" s="884">
        <f t="shared" si="9"/>
        <v>219832800</v>
      </c>
      <c r="AO48" s="884">
        <f>+AN48*'ref.지급기준 (2)'!G47</f>
        <v>87933120</v>
      </c>
      <c r="AP48" s="885">
        <f t="shared" si="15"/>
        <v>45777</v>
      </c>
      <c r="AQ48" s="407"/>
      <c r="AR48" s="945">
        <f>+$AN48*'ref.지급기준 (2)'!G47</f>
        <v>87933120</v>
      </c>
      <c r="AS48" s="884">
        <f t="shared" si="11"/>
        <v>0</v>
      </c>
      <c r="AT48" s="884">
        <f>+$AN48*'ref.지급기준 (2)'!I47</f>
        <v>43966560</v>
      </c>
      <c r="AU48" s="884">
        <f t="shared" si="10"/>
        <v>0</v>
      </c>
      <c r="AV48" s="884">
        <f>+$AN48*'ref.지급기준 (2)'!K47</f>
        <v>65949840</v>
      </c>
      <c r="AW48" s="884"/>
      <c r="AX48" s="884">
        <f>+$AN48*'ref.지급기준 (2)'!M47</f>
        <v>21983280</v>
      </c>
      <c r="AY48" s="884"/>
      <c r="AZ48" s="884">
        <f>+$AN48*'ref.지급기준 (2)'!O47</f>
        <v>0</v>
      </c>
      <c r="BA48" s="890"/>
      <c r="BB48" s="2683"/>
      <c r="BC48" s="393"/>
      <c r="BD48" s="393" t="b">
        <f t="shared" si="6"/>
        <v>1</v>
      </c>
      <c r="BE48" s="393"/>
      <c r="BF48" s="393"/>
      <c r="BG48" s="393"/>
      <c r="BH48" s="393"/>
      <c r="BI48" s="393"/>
      <c r="BJ48" s="393"/>
      <c r="BK48" s="393"/>
      <c r="BL48" s="393"/>
      <c r="BM48" s="393"/>
      <c r="BN48" s="408"/>
      <c r="BO48" s="408"/>
    </row>
    <row r="49" spans="1:67" ht="16.5" customHeight="1">
      <c r="A49" s="394"/>
      <c r="B49" s="2624"/>
      <c r="C49" s="2636"/>
      <c r="D49" s="2636"/>
      <c r="E49" s="2641"/>
      <c r="F49" s="2633"/>
      <c r="G49" s="2650"/>
      <c r="H49" s="2652"/>
      <c r="I49" s="2654"/>
      <c r="J49" s="2654"/>
      <c r="K49" s="892" t="s">
        <v>129</v>
      </c>
      <c r="L49" s="898"/>
      <c r="M49" s="898"/>
      <c r="N49" s="1006"/>
      <c r="O49" s="2666"/>
      <c r="P49" s="2667"/>
      <c r="Q49" s="874"/>
      <c r="R49" s="910"/>
      <c r="S49" s="911"/>
      <c r="T49" s="2665"/>
      <c r="U49" s="915">
        <f>+S49/T45</f>
        <v>0</v>
      </c>
      <c r="V49" s="910" t="str">
        <f t="shared" si="8"/>
        <v>-</v>
      </c>
      <c r="W49" s="926"/>
      <c r="X49" s="926"/>
      <c r="Y49" s="926" t="str">
        <f t="shared" si="2"/>
        <v>-</v>
      </c>
      <c r="Z49" s="926"/>
      <c r="AA49" s="927"/>
      <c r="AB49" s="926" t="str">
        <f t="shared" si="3"/>
        <v>-</v>
      </c>
      <c r="AC49" s="926"/>
      <c r="AD49" s="927"/>
      <c r="AE49" s="926" t="str">
        <f t="shared" si="4"/>
        <v>-</v>
      </c>
      <c r="AF49" s="926"/>
      <c r="AG49" s="927"/>
      <c r="AH49" s="926">
        <f t="shared" si="5"/>
        <v>0</v>
      </c>
      <c r="AI49" s="926"/>
      <c r="AJ49" s="926"/>
      <c r="AK49" s="926"/>
      <c r="AL49" s="926"/>
      <c r="AM49" s="926"/>
      <c r="AN49" s="928">
        <f t="shared" si="9"/>
        <v>0</v>
      </c>
      <c r="AO49" s="928">
        <f>+AR49+AT49</f>
        <v>0</v>
      </c>
      <c r="AP49" s="931"/>
      <c r="AQ49" s="407"/>
      <c r="AR49" s="947">
        <f>+$AN49*'ref.지급기준 (2)'!G48</f>
        <v>0</v>
      </c>
      <c r="AS49" s="928">
        <f t="shared" si="11"/>
        <v>0</v>
      </c>
      <c r="AT49" s="928">
        <f>+$AN49*'ref.지급기준 (2)'!I48</f>
        <v>0</v>
      </c>
      <c r="AU49" s="928">
        <f t="shared" si="10"/>
        <v>0</v>
      </c>
      <c r="AV49" s="928">
        <f>+$AN49*'ref.지급기준 (2)'!K48</f>
        <v>0</v>
      </c>
      <c r="AW49" s="928"/>
      <c r="AX49" s="928">
        <f>+$AN49*'ref.지급기준 (2)'!M48</f>
        <v>0</v>
      </c>
      <c r="AY49" s="928"/>
      <c r="AZ49" s="928">
        <f>+$AN49*'ref.지급기준 (2)'!O48</f>
        <v>0</v>
      </c>
      <c r="BA49" s="997"/>
      <c r="BB49" s="2683"/>
      <c r="BC49" s="393"/>
      <c r="BD49" s="393"/>
      <c r="BE49" s="393"/>
      <c r="BF49" s="393"/>
      <c r="BG49" s="393"/>
      <c r="BH49" s="393"/>
      <c r="BI49" s="393"/>
      <c r="BJ49" s="393"/>
      <c r="BK49" s="393"/>
      <c r="BL49" s="393"/>
      <c r="BM49" s="393"/>
      <c r="BN49" s="408"/>
      <c r="BO49" s="408"/>
    </row>
    <row r="50" spans="1:67" ht="16.5" customHeight="1">
      <c r="A50" s="394"/>
      <c r="B50" s="2624"/>
      <c r="C50" s="2636"/>
      <c r="D50" s="2636"/>
      <c r="E50" s="2641"/>
      <c r="F50" s="2646" t="s">
        <v>1228</v>
      </c>
      <c r="G50" s="2668">
        <v>399.04</v>
      </c>
      <c r="H50" s="2671">
        <v>8.09E-2</v>
      </c>
      <c r="I50" s="2674"/>
      <c r="J50" s="2674" t="s">
        <v>1213</v>
      </c>
      <c r="K50" s="893" t="s">
        <v>125</v>
      </c>
      <c r="L50" s="904">
        <f>+'ref.지급기준 (2)'!F49*'ref.지급기준 (2)'!D49/'ref.지급기준 (2)'!$Q$2</f>
        <v>418992000</v>
      </c>
      <c r="M50" s="904">
        <f>+L50*10%</f>
        <v>41899200</v>
      </c>
      <c r="N50" s="1012">
        <f t="shared" si="0"/>
        <v>460891200</v>
      </c>
      <c r="O50" s="2666"/>
      <c r="P50" s="2667"/>
      <c r="Q50" s="874" t="b">
        <f t="shared" si="14"/>
        <v>1</v>
      </c>
      <c r="R50" s="906">
        <f t="shared" si="7"/>
        <v>0</v>
      </c>
      <c r="S50" s="907">
        <f t="shared" si="13"/>
        <v>0</v>
      </c>
      <c r="T50" s="2656">
        <v>1470</v>
      </c>
      <c r="U50" s="913">
        <f>+S50/T50</f>
        <v>0</v>
      </c>
      <c r="V50" s="906">
        <f>+IFERROR(W50/$N50,"-")</f>
        <v>0</v>
      </c>
      <c r="W50" s="917"/>
      <c r="X50" s="918">
        <v>45716</v>
      </c>
      <c r="Y50" s="877">
        <f t="shared" si="2"/>
        <v>0</v>
      </c>
      <c r="Z50" s="877"/>
      <c r="AA50" s="883">
        <f>+EDATE(X50,1)+3</f>
        <v>45747</v>
      </c>
      <c r="AB50" s="877">
        <f t="shared" si="3"/>
        <v>0</v>
      </c>
      <c r="AC50" s="877"/>
      <c r="AD50" s="883">
        <f>+EDATE(AA50,3)</f>
        <v>45838</v>
      </c>
      <c r="AE50" s="877">
        <f t="shared" si="4"/>
        <v>0</v>
      </c>
      <c r="AF50" s="877"/>
      <c r="AG50" s="883">
        <f>+EDATE(AA50,4)</f>
        <v>45869</v>
      </c>
      <c r="AH50" s="877">
        <f t="shared" si="5"/>
        <v>0</v>
      </c>
      <c r="AI50" s="877"/>
      <c r="AJ50" s="883">
        <f>+EDATE(AA50,6)</f>
        <v>45930</v>
      </c>
      <c r="AK50" s="877">
        <f t="shared" si="12"/>
        <v>0</v>
      </c>
      <c r="AL50" s="877"/>
      <c r="AM50" s="877"/>
      <c r="AN50" s="884">
        <f t="shared" si="9"/>
        <v>460891200</v>
      </c>
      <c r="AO50" s="884">
        <f>+AN50*'ref.지급기준 (2)'!G49</f>
        <v>46089120</v>
      </c>
      <c r="AP50" s="885">
        <f t="shared" si="15"/>
        <v>45716</v>
      </c>
      <c r="AQ50" s="407"/>
      <c r="AR50" s="944">
        <f>+$AN50*'ref.지급기준 (2)'!G49</f>
        <v>46089120</v>
      </c>
      <c r="AS50" s="920">
        <f t="shared" si="11"/>
        <v>0</v>
      </c>
      <c r="AT50" s="920">
        <f>+$AN50*'ref.지급기준 (2)'!I49</f>
        <v>92178240</v>
      </c>
      <c r="AU50" s="920">
        <f t="shared" si="10"/>
        <v>0</v>
      </c>
      <c r="AV50" s="920">
        <f>+$AN50*'ref.지급기준 (2)'!K49</f>
        <v>184356480</v>
      </c>
      <c r="AW50" s="920"/>
      <c r="AX50" s="920">
        <f>+$AN50*'ref.지급기준 (2)'!M49</f>
        <v>115222800</v>
      </c>
      <c r="AY50" s="920"/>
      <c r="AZ50" s="920">
        <f>+$AN50*'ref.지급기준 (2)'!O49</f>
        <v>23044560</v>
      </c>
      <c r="BA50" s="998"/>
      <c r="BB50" s="2683"/>
      <c r="BC50" s="393"/>
      <c r="BD50" s="393" t="b">
        <f t="shared" si="6"/>
        <v>1</v>
      </c>
      <c r="BE50" s="393"/>
      <c r="BF50" s="393"/>
      <c r="BG50" s="393"/>
      <c r="BH50" s="393"/>
      <c r="BI50" s="393"/>
      <c r="BJ50" s="393"/>
      <c r="BK50" s="393"/>
      <c r="BL50" s="393"/>
      <c r="BM50" s="393"/>
      <c r="BN50" s="408"/>
      <c r="BO50" s="408"/>
    </row>
    <row r="51" spans="1:67" ht="16.5" customHeight="1">
      <c r="A51" s="394"/>
      <c r="B51" s="2624"/>
      <c r="C51" s="2636"/>
      <c r="D51" s="2636"/>
      <c r="E51" s="2641"/>
      <c r="F51" s="2647"/>
      <c r="G51" s="2669"/>
      <c r="H51" s="2672"/>
      <c r="I51" s="2675"/>
      <c r="J51" s="2675"/>
      <c r="K51" s="875" t="s">
        <v>126</v>
      </c>
      <c r="L51" s="896">
        <f>+'ref.지급기준 (2)'!F50*'ref.지급기준 (2)'!D50/'ref.지급기준 (2)'!$Q$2</f>
        <v>139664000</v>
      </c>
      <c r="M51" s="896">
        <f>+L51*10%</f>
        <v>13966400</v>
      </c>
      <c r="N51" s="1002">
        <f t="shared" si="0"/>
        <v>153630400</v>
      </c>
      <c r="O51" s="2666"/>
      <c r="P51" s="2667"/>
      <c r="Q51" s="874" t="b">
        <f t="shared" si="14"/>
        <v>1</v>
      </c>
      <c r="R51" s="908">
        <f t="shared" si="7"/>
        <v>0</v>
      </c>
      <c r="S51" s="909">
        <f t="shared" si="13"/>
        <v>0</v>
      </c>
      <c r="T51" s="2657"/>
      <c r="U51" s="914">
        <f>+S51/T50</f>
        <v>0</v>
      </c>
      <c r="V51" s="908">
        <f t="shared" ref="V51:V54" si="16">+IFERROR(W51/$N51,"-")</f>
        <v>0</v>
      </c>
      <c r="W51" s="876"/>
      <c r="X51" s="919">
        <v>45777</v>
      </c>
      <c r="Y51" s="877">
        <f t="shared" ref="Y51" si="17">+IFERROR(Z51/$N51,"-")</f>
        <v>0</v>
      </c>
      <c r="Z51" s="886"/>
      <c r="AA51" s="883">
        <f>EDATE(X51,1)</f>
        <v>45807</v>
      </c>
      <c r="AB51" s="877">
        <f t="shared" si="3"/>
        <v>0</v>
      </c>
      <c r="AC51" s="877"/>
      <c r="AD51" s="883">
        <f>EDATE(AA51,4)</f>
        <v>45930</v>
      </c>
      <c r="AE51" s="877">
        <f t="shared" si="4"/>
        <v>0</v>
      </c>
      <c r="AF51" s="877"/>
      <c r="AG51" s="883">
        <f>EDATE(AA51,6)</f>
        <v>45991</v>
      </c>
      <c r="AH51" s="877">
        <f t="shared" si="5"/>
        <v>0</v>
      </c>
      <c r="AI51" s="877"/>
      <c r="AJ51" s="877"/>
      <c r="AK51" s="877">
        <f t="shared" si="12"/>
        <v>0</v>
      </c>
      <c r="AL51" s="877"/>
      <c r="AM51" s="877"/>
      <c r="AN51" s="884">
        <f t="shared" si="9"/>
        <v>153630400</v>
      </c>
      <c r="AO51" s="884">
        <f>+AN51*'ref.지급기준 (2)'!G50</f>
        <v>61452160</v>
      </c>
      <c r="AP51" s="885">
        <f t="shared" si="15"/>
        <v>45777</v>
      </c>
      <c r="AQ51" s="407"/>
      <c r="AR51" s="945">
        <f>+$AN51*'ref.지급기준 (2)'!G50</f>
        <v>61452160</v>
      </c>
      <c r="AS51" s="884">
        <f t="shared" si="11"/>
        <v>0</v>
      </c>
      <c r="AT51" s="884">
        <f>+$AN51*'ref.지급기준 (2)'!I50</f>
        <v>30726080</v>
      </c>
      <c r="AU51" s="884">
        <f t="shared" si="10"/>
        <v>0</v>
      </c>
      <c r="AV51" s="884">
        <f>+$AN51*'ref.지급기준 (2)'!K50</f>
        <v>46089120</v>
      </c>
      <c r="AW51" s="884"/>
      <c r="AX51" s="884">
        <f>+$AN51*'ref.지급기준 (2)'!M50</f>
        <v>15363040</v>
      </c>
      <c r="AY51" s="884"/>
      <c r="AZ51" s="884">
        <f>+$AN51*'ref.지급기준 (2)'!O50</f>
        <v>0</v>
      </c>
      <c r="BA51" s="890"/>
      <c r="BB51" s="2683"/>
      <c r="BC51" s="393"/>
      <c r="BD51" s="393" t="b">
        <f t="shared" si="6"/>
        <v>1</v>
      </c>
      <c r="BE51" s="393"/>
      <c r="BF51" s="393"/>
      <c r="BG51" s="393"/>
      <c r="BH51" s="393"/>
      <c r="BI51" s="393"/>
      <c r="BJ51" s="393"/>
      <c r="BK51" s="393"/>
      <c r="BL51" s="393"/>
      <c r="BM51" s="393"/>
      <c r="BN51" s="408"/>
      <c r="BO51" s="408"/>
    </row>
    <row r="52" spans="1:67" ht="16.5" customHeight="1">
      <c r="A52" s="394"/>
      <c r="B52" s="2624"/>
      <c r="C52" s="2636"/>
      <c r="D52" s="2636"/>
      <c r="E52" s="2641"/>
      <c r="F52" s="2647"/>
      <c r="G52" s="2669"/>
      <c r="H52" s="2672"/>
      <c r="I52" s="2675"/>
      <c r="J52" s="2675"/>
      <c r="K52" s="875" t="s">
        <v>127</v>
      </c>
      <c r="L52" s="896">
        <f>+'ref.지급기준 (2)'!F51*'ref.지급기준 (2)'!D51/'ref.지급기준 (2)'!$Q$2</f>
        <v>119712000</v>
      </c>
      <c r="M52" s="896"/>
      <c r="N52" s="1002">
        <f t="shared" si="0"/>
        <v>119712000</v>
      </c>
      <c r="O52" s="2666"/>
      <c r="P52" s="2667"/>
      <c r="Q52" s="874" t="b">
        <f t="shared" si="14"/>
        <v>1</v>
      </c>
      <c r="R52" s="908">
        <f t="shared" si="7"/>
        <v>0</v>
      </c>
      <c r="S52" s="909">
        <f t="shared" si="13"/>
        <v>0</v>
      </c>
      <c r="T52" s="2657"/>
      <c r="U52" s="914">
        <f>+S52/T50</f>
        <v>0</v>
      </c>
      <c r="V52" s="908">
        <f t="shared" si="16"/>
        <v>0</v>
      </c>
      <c r="W52" s="876"/>
      <c r="X52" s="919">
        <f>X51</f>
        <v>45777</v>
      </c>
      <c r="Y52" s="877">
        <f t="shared" si="2"/>
        <v>0</v>
      </c>
      <c r="Z52" s="877"/>
      <c r="AA52" s="883">
        <f>AA51</f>
        <v>45807</v>
      </c>
      <c r="AB52" s="877">
        <f t="shared" si="3"/>
        <v>0</v>
      </c>
      <c r="AC52" s="877"/>
      <c r="AD52" s="883">
        <f>AD51</f>
        <v>45930</v>
      </c>
      <c r="AE52" s="877">
        <f t="shared" si="4"/>
        <v>0</v>
      </c>
      <c r="AF52" s="877"/>
      <c r="AG52" s="883">
        <f>AG51</f>
        <v>45991</v>
      </c>
      <c r="AH52" s="877">
        <f t="shared" si="5"/>
        <v>0</v>
      </c>
      <c r="AI52" s="877"/>
      <c r="AJ52" s="877"/>
      <c r="AK52" s="877">
        <f t="shared" si="12"/>
        <v>0</v>
      </c>
      <c r="AL52" s="877"/>
      <c r="AM52" s="877"/>
      <c r="AN52" s="884">
        <f t="shared" si="9"/>
        <v>119712000</v>
      </c>
      <c r="AO52" s="884">
        <f>+AN52*'ref.지급기준 (2)'!G51</f>
        <v>47884800</v>
      </c>
      <c r="AP52" s="885">
        <f t="shared" si="15"/>
        <v>45777</v>
      </c>
      <c r="AQ52" s="407"/>
      <c r="AR52" s="945">
        <f>+$AN52*'ref.지급기준 (2)'!G51</f>
        <v>47884800</v>
      </c>
      <c r="AS52" s="884">
        <f t="shared" si="11"/>
        <v>0</v>
      </c>
      <c r="AT52" s="884">
        <f>+$AN52*'ref.지급기준 (2)'!I51</f>
        <v>23942400</v>
      </c>
      <c r="AU52" s="884">
        <f t="shared" si="10"/>
        <v>0</v>
      </c>
      <c r="AV52" s="884">
        <f>+$AN52*'ref.지급기준 (2)'!K51</f>
        <v>35913600</v>
      </c>
      <c r="AW52" s="884"/>
      <c r="AX52" s="884">
        <f>+$AN52*'ref.지급기준 (2)'!M51</f>
        <v>11971200</v>
      </c>
      <c r="AY52" s="884"/>
      <c r="AZ52" s="884">
        <f>+$AN52*'ref.지급기준 (2)'!O51</f>
        <v>0</v>
      </c>
      <c r="BA52" s="890"/>
      <c r="BB52" s="2683"/>
      <c r="BC52" s="393"/>
      <c r="BD52" s="393" t="b">
        <f t="shared" si="6"/>
        <v>1</v>
      </c>
      <c r="BE52" s="393"/>
      <c r="BF52" s="393"/>
      <c r="BG52" s="393"/>
      <c r="BH52" s="393"/>
      <c r="BI52" s="393"/>
      <c r="BJ52" s="393"/>
      <c r="BK52" s="393"/>
      <c r="BL52" s="393"/>
      <c r="BM52" s="393"/>
      <c r="BN52" s="408"/>
      <c r="BO52" s="408"/>
    </row>
    <row r="53" spans="1:67" ht="16.5" customHeight="1">
      <c r="A53" s="394"/>
      <c r="B53" s="2624"/>
      <c r="C53" s="2636"/>
      <c r="D53" s="2636"/>
      <c r="E53" s="2641"/>
      <c r="F53" s="2647"/>
      <c r="G53" s="2669"/>
      <c r="H53" s="2672"/>
      <c r="I53" s="2675"/>
      <c r="J53" s="2675"/>
      <c r="K53" s="875" t="s">
        <v>128</v>
      </c>
      <c r="L53" s="896">
        <f>+'ref.지급기준 (2)'!F52*'ref.지급기준 (2)'!D52/'ref.지급기준 (2)'!$Q$2</f>
        <v>79808000</v>
      </c>
      <c r="M53" s="896">
        <f t="shared" ref="M53" si="18">+L53*10%</f>
        <v>7980800</v>
      </c>
      <c r="N53" s="1002">
        <f t="shared" si="0"/>
        <v>87788800</v>
      </c>
      <c r="O53" s="2666"/>
      <c r="P53" s="2667"/>
      <c r="Q53" s="874" t="b">
        <f t="shared" si="14"/>
        <v>1</v>
      </c>
      <c r="R53" s="908">
        <f t="shared" si="7"/>
        <v>0</v>
      </c>
      <c r="S53" s="909">
        <f t="shared" si="13"/>
        <v>0</v>
      </c>
      <c r="T53" s="2657"/>
      <c r="U53" s="914">
        <f>+S53/T50</f>
        <v>0</v>
      </c>
      <c r="V53" s="908">
        <f t="shared" si="16"/>
        <v>0</v>
      </c>
      <c r="W53" s="876"/>
      <c r="X53" s="919">
        <f>X51</f>
        <v>45777</v>
      </c>
      <c r="Y53" s="877">
        <f t="shared" si="2"/>
        <v>0</v>
      </c>
      <c r="Z53" s="877"/>
      <c r="AA53" s="883">
        <f>AA51</f>
        <v>45807</v>
      </c>
      <c r="AB53" s="877">
        <f t="shared" si="3"/>
        <v>0</v>
      </c>
      <c r="AC53" s="877"/>
      <c r="AD53" s="883">
        <f>AD51</f>
        <v>45930</v>
      </c>
      <c r="AE53" s="877">
        <f t="shared" si="4"/>
        <v>0</v>
      </c>
      <c r="AF53" s="877"/>
      <c r="AG53" s="883">
        <f>AG51</f>
        <v>45991</v>
      </c>
      <c r="AH53" s="877">
        <f t="shared" si="5"/>
        <v>0</v>
      </c>
      <c r="AI53" s="877"/>
      <c r="AJ53" s="877"/>
      <c r="AK53" s="877">
        <f t="shared" si="12"/>
        <v>0</v>
      </c>
      <c r="AL53" s="877"/>
      <c r="AM53" s="877"/>
      <c r="AN53" s="884">
        <f t="shared" si="9"/>
        <v>87788800</v>
      </c>
      <c r="AO53" s="884">
        <f>+AN53*'ref.지급기준 (2)'!G52</f>
        <v>35115520</v>
      </c>
      <c r="AP53" s="885">
        <f t="shared" si="15"/>
        <v>45777</v>
      </c>
      <c r="AQ53" s="407"/>
      <c r="AR53" s="945">
        <f>+$AN53*'ref.지급기준 (2)'!G52</f>
        <v>35115520</v>
      </c>
      <c r="AS53" s="884">
        <f t="shared" si="11"/>
        <v>0</v>
      </c>
      <c r="AT53" s="884">
        <f>+$AN53*'ref.지급기준 (2)'!I52</f>
        <v>17557760</v>
      </c>
      <c r="AU53" s="884">
        <f t="shared" si="10"/>
        <v>0</v>
      </c>
      <c r="AV53" s="884">
        <f>+$AN53*'ref.지급기준 (2)'!K52</f>
        <v>26336640</v>
      </c>
      <c r="AW53" s="884"/>
      <c r="AX53" s="884">
        <f>+$AN53*'ref.지급기준 (2)'!M52</f>
        <v>8778880</v>
      </c>
      <c r="AY53" s="884"/>
      <c r="AZ53" s="884">
        <f>+$AN53*'ref.지급기준 (2)'!O52</f>
        <v>0</v>
      </c>
      <c r="BA53" s="890"/>
      <c r="BB53" s="2683"/>
      <c r="BC53" s="393"/>
      <c r="BD53" s="393" t="b">
        <f t="shared" si="6"/>
        <v>1</v>
      </c>
      <c r="BE53" s="393"/>
      <c r="BF53" s="393"/>
      <c r="BG53" s="393"/>
      <c r="BH53" s="393"/>
      <c r="BI53" s="393"/>
      <c r="BJ53" s="393"/>
      <c r="BK53" s="393"/>
      <c r="BL53" s="393"/>
      <c r="BM53" s="393"/>
      <c r="BN53" s="408"/>
      <c r="BO53" s="408"/>
    </row>
    <row r="54" spans="1:67" ht="16.5" customHeight="1">
      <c r="A54" s="394"/>
      <c r="B54" s="2624"/>
      <c r="C54" s="2636"/>
      <c r="D54" s="2636"/>
      <c r="E54" s="2641"/>
      <c r="F54" s="2648"/>
      <c r="G54" s="2670"/>
      <c r="H54" s="2673"/>
      <c r="I54" s="2676"/>
      <c r="J54" s="2676"/>
      <c r="K54" s="999" t="s">
        <v>129</v>
      </c>
      <c r="L54" s="900"/>
      <c r="M54" s="900"/>
      <c r="N54" s="1003"/>
      <c r="O54" s="2666"/>
      <c r="P54" s="2667"/>
      <c r="Q54" s="874"/>
      <c r="R54" s="910"/>
      <c r="S54" s="911"/>
      <c r="T54" s="2665"/>
      <c r="U54" s="915">
        <f>+S54/T50</f>
        <v>0</v>
      </c>
      <c r="V54" s="910" t="str">
        <f t="shared" si="16"/>
        <v>-</v>
      </c>
      <c r="W54" s="926"/>
      <c r="X54" s="926"/>
      <c r="Y54" s="926" t="str">
        <f t="shared" si="2"/>
        <v>-</v>
      </c>
      <c r="Z54" s="926"/>
      <c r="AA54" s="927"/>
      <c r="AB54" s="926" t="str">
        <f t="shared" si="3"/>
        <v>-</v>
      </c>
      <c r="AC54" s="926"/>
      <c r="AD54" s="927"/>
      <c r="AE54" s="926" t="str">
        <f t="shared" si="4"/>
        <v>-</v>
      </c>
      <c r="AF54" s="926"/>
      <c r="AG54" s="927"/>
      <c r="AH54" s="926">
        <f t="shared" si="5"/>
        <v>0</v>
      </c>
      <c r="AI54" s="926"/>
      <c r="AJ54" s="926"/>
      <c r="AK54" s="926"/>
      <c r="AL54" s="926"/>
      <c r="AM54" s="926"/>
      <c r="AN54" s="928">
        <f t="shared" si="9"/>
        <v>0</v>
      </c>
      <c r="AO54" s="928">
        <f>+AR54+AT54</f>
        <v>0</v>
      </c>
      <c r="AP54" s="931"/>
      <c r="AQ54" s="407"/>
      <c r="AR54" s="947">
        <f>+$AN54*'ref.지급기준 (2)'!G53</f>
        <v>0</v>
      </c>
      <c r="AS54" s="928">
        <f t="shared" si="11"/>
        <v>0</v>
      </c>
      <c r="AT54" s="928">
        <f>+$AN54*'ref.지급기준 (2)'!I53</f>
        <v>0</v>
      </c>
      <c r="AU54" s="928">
        <f t="shared" si="10"/>
        <v>0</v>
      </c>
      <c r="AV54" s="928">
        <f>+$AN54*'ref.지급기준 (2)'!K53</f>
        <v>0</v>
      </c>
      <c r="AW54" s="928"/>
      <c r="AX54" s="928">
        <f>+$AN54*'ref.지급기준 (2)'!M53</f>
        <v>0</v>
      </c>
      <c r="AY54" s="928"/>
      <c r="AZ54" s="928">
        <f>+$AN54*'ref.지급기준 (2)'!O53</f>
        <v>0</v>
      </c>
      <c r="BA54" s="997"/>
      <c r="BB54" s="2683"/>
      <c r="BC54" s="393"/>
      <c r="BD54" s="393"/>
      <c r="BE54" s="393"/>
      <c r="BF54" s="393"/>
      <c r="BG54" s="393"/>
      <c r="BH54" s="393"/>
      <c r="BI54" s="393"/>
      <c r="BJ54" s="393"/>
      <c r="BK54" s="393"/>
      <c r="BL54" s="393"/>
      <c r="BM54" s="393"/>
      <c r="BN54" s="408"/>
      <c r="BO54" s="408"/>
    </row>
    <row r="55" spans="1:67" ht="16.5" customHeight="1">
      <c r="A55" s="394"/>
      <c r="B55" s="2624"/>
      <c r="C55" s="2636"/>
      <c r="D55" s="2636"/>
      <c r="E55" s="2641"/>
      <c r="F55" s="2677" t="s">
        <v>1229</v>
      </c>
      <c r="G55" s="2678">
        <v>499.96</v>
      </c>
      <c r="H55" s="2686">
        <v>9.0899999999999995E-2</v>
      </c>
      <c r="I55" s="2679"/>
      <c r="J55" s="2679" t="s">
        <v>1213</v>
      </c>
      <c r="K55" s="891" t="s">
        <v>125</v>
      </c>
      <c r="L55" s="902">
        <f>+'ref.지급기준 (2)'!F54*'ref.지급기준 (2)'!D54/'ref.지급기준 (2)'!$Q$2</f>
        <v>524958000</v>
      </c>
      <c r="M55" s="902">
        <f>+L55*10%</f>
        <v>52495800</v>
      </c>
      <c r="N55" s="1007">
        <f t="shared" si="0"/>
        <v>577453800</v>
      </c>
      <c r="O55" s="2666"/>
      <c r="P55" s="2667"/>
      <c r="Q55" s="874" t="b">
        <f t="shared" si="14"/>
        <v>1</v>
      </c>
      <c r="R55" s="906">
        <f t="shared" si="7"/>
        <v>0</v>
      </c>
      <c r="S55" s="907">
        <f t="shared" si="13"/>
        <v>0</v>
      </c>
      <c r="T55" s="2656">
        <v>1470</v>
      </c>
      <c r="U55" s="913">
        <f>+S55/T55</f>
        <v>0</v>
      </c>
      <c r="V55" s="906">
        <f>+IFERROR(W55/$N55,"-")</f>
        <v>0</v>
      </c>
      <c r="W55" s="917"/>
      <c r="X55" s="918">
        <v>45716</v>
      </c>
      <c r="Y55" s="877">
        <f t="shared" si="2"/>
        <v>0</v>
      </c>
      <c r="Z55" s="877"/>
      <c r="AA55" s="883">
        <f>+EDATE(X55,1)+3</f>
        <v>45747</v>
      </c>
      <c r="AB55" s="877">
        <f t="shared" si="3"/>
        <v>0</v>
      </c>
      <c r="AC55" s="877"/>
      <c r="AD55" s="883">
        <f>+EDATE(AA55,3)</f>
        <v>45838</v>
      </c>
      <c r="AE55" s="877">
        <f t="shared" si="4"/>
        <v>0</v>
      </c>
      <c r="AF55" s="877"/>
      <c r="AG55" s="883">
        <f>+EDATE(AA55,4)</f>
        <v>45869</v>
      </c>
      <c r="AH55" s="877">
        <f t="shared" si="5"/>
        <v>0</v>
      </c>
      <c r="AI55" s="877"/>
      <c r="AJ55" s="883">
        <f>+EDATE(AA55,6)</f>
        <v>45930</v>
      </c>
      <c r="AK55" s="877">
        <f t="shared" si="12"/>
        <v>0</v>
      </c>
      <c r="AL55" s="877"/>
      <c r="AM55" s="877"/>
      <c r="AN55" s="884">
        <f t="shared" si="9"/>
        <v>577453800</v>
      </c>
      <c r="AO55" s="884">
        <f>+AN55*'ref.지급기준 (2)'!G54</f>
        <v>57745380</v>
      </c>
      <c r="AP55" s="885">
        <f t="shared" si="15"/>
        <v>45716</v>
      </c>
      <c r="AQ55" s="407"/>
      <c r="AR55" s="945">
        <f>+$AN55*'ref.지급기준 (2)'!G54</f>
        <v>57745380</v>
      </c>
      <c r="AS55" s="884">
        <f t="shared" si="11"/>
        <v>0</v>
      </c>
      <c r="AT55" s="884">
        <f>+$AN55*'ref.지급기준 (2)'!I54</f>
        <v>115490760</v>
      </c>
      <c r="AU55" s="884">
        <f t="shared" si="10"/>
        <v>0</v>
      </c>
      <c r="AV55" s="884">
        <f>+$AN55*'ref.지급기준 (2)'!K54</f>
        <v>230981520</v>
      </c>
      <c r="AW55" s="884"/>
      <c r="AX55" s="884">
        <f>+$AN55*'ref.지급기준 (2)'!M54</f>
        <v>144363450</v>
      </c>
      <c r="AY55" s="884"/>
      <c r="AZ55" s="884">
        <f>+$AN55*'ref.지급기준 (2)'!O54</f>
        <v>28872690</v>
      </c>
      <c r="BA55" s="890"/>
      <c r="BB55" s="2683"/>
      <c r="BC55" s="393"/>
      <c r="BD55" s="393" t="b">
        <f t="shared" si="6"/>
        <v>1</v>
      </c>
      <c r="BE55" s="393"/>
      <c r="BF55" s="393"/>
      <c r="BG55" s="393"/>
      <c r="BH55" s="393"/>
      <c r="BI55" s="393"/>
      <c r="BJ55" s="393"/>
      <c r="BK55" s="393"/>
      <c r="BL55" s="393"/>
      <c r="BM55" s="393"/>
      <c r="BN55" s="408"/>
      <c r="BO55" s="408"/>
    </row>
    <row r="56" spans="1:67" ht="16.5" customHeight="1">
      <c r="A56" s="394"/>
      <c r="B56" s="2624"/>
      <c r="C56" s="2636"/>
      <c r="D56" s="2636"/>
      <c r="E56" s="2641"/>
      <c r="F56" s="2647"/>
      <c r="G56" s="2669"/>
      <c r="H56" s="2672"/>
      <c r="I56" s="2675"/>
      <c r="J56" s="2675"/>
      <c r="K56" s="875" t="s">
        <v>126</v>
      </c>
      <c r="L56" s="896">
        <f>+'ref.지급기준 (2)'!F55*'ref.지급기준 (2)'!D55/'ref.지급기준 (2)'!$Q$2</f>
        <v>174986000</v>
      </c>
      <c r="M56" s="896">
        <f>+L56*10%</f>
        <v>17498600</v>
      </c>
      <c r="N56" s="1002">
        <f t="shared" si="0"/>
        <v>192484600</v>
      </c>
      <c r="O56" s="2666"/>
      <c r="P56" s="2667"/>
      <c r="Q56" s="874" t="b">
        <f t="shared" si="14"/>
        <v>1</v>
      </c>
      <c r="R56" s="908">
        <f t="shared" si="7"/>
        <v>0</v>
      </c>
      <c r="S56" s="909">
        <f t="shared" si="13"/>
        <v>0</v>
      </c>
      <c r="T56" s="2657"/>
      <c r="U56" s="914">
        <f>+S56/T55</f>
        <v>0</v>
      </c>
      <c r="V56" s="908">
        <f t="shared" ref="V56:V59" si="19">+IFERROR(W56/$N56,"-")</f>
        <v>0</v>
      </c>
      <c r="W56" s="876"/>
      <c r="X56" s="919">
        <v>45777</v>
      </c>
      <c r="Y56" s="877">
        <f t="shared" ref="Y56" si="20">+IFERROR(Z56/$N56,"-")</f>
        <v>0</v>
      </c>
      <c r="Z56" s="886"/>
      <c r="AA56" s="883">
        <f>EDATE(X56,1)</f>
        <v>45807</v>
      </c>
      <c r="AB56" s="877">
        <f t="shared" si="3"/>
        <v>0</v>
      </c>
      <c r="AC56" s="877"/>
      <c r="AD56" s="883">
        <f>EDATE(AA56,4)</f>
        <v>45930</v>
      </c>
      <c r="AE56" s="877">
        <f t="shared" si="4"/>
        <v>0</v>
      </c>
      <c r="AF56" s="877"/>
      <c r="AG56" s="883">
        <f>EDATE(AA56,6)</f>
        <v>45991</v>
      </c>
      <c r="AH56" s="877">
        <f t="shared" si="5"/>
        <v>0</v>
      </c>
      <c r="AI56" s="877"/>
      <c r="AJ56" s="877"/>
      <c r="AK56" s="877">
        <f t="shared" si="12"/>
        <v>0</v>
      </c>
      <c r="AL56" s="877"/>
      <c r="AM56" s="877"/>
      <c r="AN56" s="884">
        <f t="shared" si="9"/>
        <v>192484600</v>
      </c>
      <c r="AO56" s="884">
        <f>+AN56*'ref.지급기준 (2)'!G55</f>
        <v>76993840</v>
      </c>
      <c r="AP56" s="885">
        <f t="shared" si="15"/>
        <v>45777</v>
      </c>
      <c r="AQ56" s="407"/>
      <c r="AR56" s="945">
        <f>+$AN56*'ref.지급기준 (2)'!G55</f>
        <v>76993840</v>
      </c>
      <c r="AS56" s="884">
        <f t="shared" si="11"/>
        <v>0</v>
      </c>
      <c r="AT56" s="884">
        <f>+$AN56*'ref.지급기준 (2)'!I55</f>
        <v>38496920</v>
      </c>
      <c r="AU56" s="884">
        <f t="shared" si="10"/>
        <v>0</v>
      </c>
      <c r="AV56" s="884">
        <f>+$AN56*'ref.지급기준 (2)'!K55</f>
        <v>57745380</v>
      </c>
      <c r="AW56" s="884"/>
      <c r="AX56" s="884">
        <f>+$AN56*'ref.지급기준 (2)'!M55</f>
        <v>19248460</v>
      </c>
      <c r="AY56" s="884"/>
      <c r="AZ56" s="884">
        <f>+$AN56*'ref.지급기준 (2)'!O55</f>
        <v>0</v>
      </c>
      <c r="BA56" s="890"/>
      <c r="BB56" s="2683"/>
      <c r="BC56" s="393"/>
      <c r="BD56" s="393" t="b">
        <f t="shared" si="6"/>
        <v>1</v>
      </c>
      <c r="BE56" s="393"/>
      <c r="BF56" s="393"/>
      <c r="BG56" s="393"/>
      <c r="BH56" s="393"/>
      <c r="BI56" s="393"/>
      <c r="BJ56" s="393"/>
      <c r="BK56" s="393"/>
      <c r="BL56" s="393"/>
      <c r="BM56" s="393"/>
      <c r="BN56" s="408"/>
      <c r="BO56" s="408"/>
    </row>
    <row r="57" spans="1:67" ht="16.5" customHeight="1">
      <c r="A57" s="394"/>
      <c r="B57" s="2624"/>
      <c r="C57" s="2636"/>
      <c r="D57" s="2636"/>
      <c r="E57" s="2641"/>
      <c r="F57" s="2647"/>
      <c r="G57" s="2669"/>
      <c r="H57" s="2672"/>
      <c r="I57" s="2675"/>
      <c r="J57" s="2675"/>
      <c r="K57" s="875" t="s">
        <v>127</v>
      </c>
      <c r="L57" s="896">
        <f>+'ref.지급기준 (2)'!F56*'ref.지급기준 (2)'!D56/'ref.지급기준 (2)'!$Q$2</f>
        <v>149988000</v>
      </c>
      <c r="M57" s="896"/>
      <c r="N57" s="1002">
        <f t="shared" si="0"/>
        <v>149988000</v>
      </c>
      <c r="O57" s="2666"/>
      <c r="P57" s="2667"/>
      <c r="Q57" s="874" t="b">
        <f t="shared" si="14"/>
        <v>1</v>
      </c>
      <c r="R57" s="908">
        <f t="shared" si="7"/>
        <v>0</v>
      </c>
      <c r="S57" s="909">
        <f t="shared" si="13"/>
        <v>0</v>
      </c>
      <c r="T57" s="2657"/>
      <c r="U57" s="914">
        <f>+S57/T55</f>
        <v>0</v>
      </c>
      <c r="V57" s="908">
        <f t="shared" si="19"/>
        <v>0</v>
      </c>
      <c r="W57" s="876"/>
      <c r="X57" s="919">
        <f>X56</f>
        <v>45777</v>
      </c>
      <c r="Y57" s="877">
        <f t="shared" si="2"/>
        <v>0</v>
      </c>
      <c r="Z57" s="877"/>
      <c r="AA57" s="883">
        <f>AA56</f>
        <v>45807</v>
      </c>
      <c r="AB57" s="877">
        <f t="shared" si="3"/>
        <v>0</v>
      </c>
      <c r="AC57" s="877"/>
      <c r="AD57" s="883">
        <f>AD56</f>
        <v>45930</v>
      </c>
      <c r="AE57" s="877">
        <f t="shared" si="4"/>
        <v>0</v>
      </c>
      <c r="AF57" s="877"/>
      <c r="AG57" s="883">
        <f>AG56</f>
        <v>45991</v>
      </c>
      <c r="AH57" s="877">
        <f t="shared" si="5"/>
        <v>0</v>
      </c>
      <c r="AI57" s="877"/>
      <c r="AJ57" s="877"/>
      <c r="AK57" s="877">
        <f t="shared" si="12"/>
        <v>0</v>
      </c>
      <c r="AL57" s="877"/>
      <c r="AM57" s="877"/>
      <c r="AN57" s="884">
        <f t="shared" si="9"/>
        <v>149988000</v>
      </c>
      <c r="AO57" s="884">
        <f>+AN57*'ref.지급기준 (2)'!G56</f>
        <v>59995200</v>
      </c>
      <c r="AP57" s="885">
        <f t="shared" si="15"/>
        <v>45777</v>
      </c>
      <c r="AQ57" s="407"/>
      <c r="AR57" s="945">
        <f>+$AN57*'ref.지급기준 (2)'!G56</f>
        <v>59995200</v>
      </c>
      <c r="AS57" s="884">
        <f t="shared" si="11"/>
        <v>0</v>
      </c>
      <c r="AT57" s="884">
        <f>+$AN57*'ref.지급기준 (2)'!I56</f>
        <v>29997600</v>
      </c>
      <c r="AU57" s="884">
        <f t="shared" si="10"/>
        <v>0</v>
      </c>
      <c r="AV57" s="884">
        <f>+$AN57*'ref.지급기준 (2)'!K56</f>
        <v>44996400</v>
      </c>
      <c r="AW57" s="884"/>
      <c r="AX57" s="884">
        <f>+$AN57*'ref.지급기준 (2)'!M56</f>
        <v>14998800</v>
      </c>
      <c r="AY57" s="884"/>
      <c r="AZ57" s="884">
        <f>+$AN57*'ref.지급기준 (2)'!O56</f>
        <v>0</v>
      </c>
      <c r="BA57" s="890"/>
      <c r="BB57" s="2683"/>
      <c r="BC57" s="393"/>
      <c r="BD57" s="393" t="b">
        <f t="shared" si="6"/>
        <v>1</v>
      </c>
      <c r="BE57" s="393"/>
      <c r="BF57" s="393"/>
      <c r="BG57" s="393"/>
      <c r="BH57" s="393"/>
      <c r="BI57" s="393"/>
      <c r="BJ57" s="393"/>
      <c r="BK57" s="393"/>
      <c r="BL57" s="393"/>
      <c r="BM57" s="393"/>
      <c r="BN57" s="408"/>
      <c r="BO57" s="408"/>
    </row>
    <row r="58" spans="1:67" ht="16.5" customHeight="1">
      <c r="A58" s="394"/>
      <c r="B58" s="2624"/>
      <c r="C58" s="2636"/>
      <c r="D58" s="2636"/>
      <c r="E58" s="2641"/>
      <c r="F58" s="2647"/>
      <c r="G58" s="2669"/>
      <c r="H58" s="2672"/>
      <c r="I58" s="2675"/>
      <c r="J58" s="2675"/>
      <c r="K58" s="875" t="s">
        <v>128</v>
      </c>
      <c r="L58" s="896">
        <f>+'ref.지급기준 (2)'!F57*'ref.지급기준 (2)'!D57/'ref.지급기준 (2)'!$Q$2</f>
        <v>99992000</v>
      </c>
      <c r="M58" s="896">
        <f t="shared" ref="M58" si="21">+L58*10%</f>
        <v>9999200</v>
      </c>
      <c r="N58" s="1002">
        <f t="shared" si="0"/>
        <v>109991200</v>
      </c>
      <c r="O58" s="2666"/>
      <c r="P58" s="2667"/>
      <c r="Q58" s="874" t="b">
        <f t="shared" si="14"/>
        <v>1</v>
      </c>
      <c r="R58" s="908">
        <f t="shared" si="7"/>
        <v>0</v>
      </c>
      <c r="S58" s="909">
        <f t="shared" si="13"/>
        <v>0</v>
      </c>
      <c r="T58" s="2657"/>
      <c r="U58" s="914">
        <f>+S58/T55</f>
        <v>0</v>
      </c>
      <c r="V58" s="908">
        <f t="shared" si="19"/>
        <v>0</v>
      </c>
      <c r="W58" s="876"/>
      <c r="X58" s="919">
        <f>X56</f>
        <v>45777</v>
      </c>
      <c r="Y58" s="877">
        <f t="shared" si="2"/>
        <v>0</v>
      </c>
      <c r="Z58" s="877"/>
      <c r="AA58" s="883">
        <f>AA56</f>
        <v>45807</v>
      </c>
      <c r="AB58" s="877">
        <f t="shared" si="3"/>
        <v>0</v>
      </c>
      <c r="AC58" s="877"/>
      <c r="AD58" s="883">
        <f>AD56</f>
        <v>45930</v>
      </c>
      <c r="AE58" s="877">
        <f t="shared" si="4"/>
        <v>0</v>
      </c>
      <c r="AF58" s="877"/>
      <c r="AG58" s="883">
        <f>AG56</f>
        <v>45991</v>
      </c>
      <c r="AH58" s="877">
        <f t="shared" si="5"/>
        <v>0</v>
      </c>
      <c r="AI58" s="877"/>
      <c r="AJ58" s="877"/>
      <c r="AK58" s="877">
        <f t="shared" si="12"/>
        <v>0</v>
      </c>
      <c r="AL58" s="877"/>
      <c r="AM58" s="877"/>
      <c r="AN58" s="884">
        <f t="shared" si="9"/>
        <v>109991200</v>
      </c>
      <c r="AO58" s="884">
        <f>+AN58*'ref.지급기준 (2)'!G57</f>
        <v>43996480</v>
      </c>
      <c r="AP58" s="885">
        <f t="shared" si="15"/>
        <v>45777</v>
      </c>
      <c r="AQ58" s="407"/>
      <c r="AR58" s="945">
        <f>+$AN58*'ref.지급기준 (2)'!G57</f>
        <v>43996480</v>
      </c>
      <c r="AS58" s="884">
        <f t="shared" si="11"/>
        <v>0</v>
      </c>
      <c r="AT58" s="884">
        <f>+$AN58*'ref.지급기준 (2)'!I57</f>
        <v>21998240</v>
      </c>
      <c r="AU58" s="884">
        <f t="shared" si="10"/>
        <v>0</v>
      </c>
      <c r="AV58" s="884">
        <f>+$AN58*'ref.지급기준 (2)'!K57</f>
        <v>32997360</v>
      </c>
      <c r="AW58" s="884"/>
      <c r="AX58" s="884">
        <f>+$AN58*'ref.지급기준 (2)'!M57</f>
        <v>10999120</v>
      </c>
      <c r="AY58" s="884"/>
      <c r="AZ58" s="884">
        <f>+$AN58*'ref.지급기준 (2)'!O57</f>
        <v>0</v>
      </c>
      <c r="BA58" s="890"/>
      <c r="BB58" s="2683"/>
      <c r="BC58" s="393"/>
      <c r="BD58" s="393" t="b">
        <f t="shared" si="6"/>
        <v>1</v>
      </c>
      <c r="BE58" s="393"/>
      <c r="BF58" s="393"/>
      <c r="BG58" s="393"/>
      <c r="BH58" s="393"/>
      <c r="BI58" s="393"/>
      <c r="BJ58" s="393"/>
      <c r="BK58" s="393"/>
      <c r="BL58" s="393"/>
      <c r="BM58" s="393"/>
      <c r="BN58" s="408"/>
      <c r="BO58" s="408"/>
    </row>
    <row r="59" spans="1:67" ht="16.5" customHeight="1">
      <c r="A59" s="394"/>
      <c r="B59" s="2624"/>
      <c r="C59" s="2636"/>
      <c r="D59" s="2636"/>
      <c r="E59" s="2641"/>
      <c r="F59" s="2648"/>
      <c r="G59" s="2670"/>
      <c r="H59" s="2673"/>
      <c r="I59" s="2676"/>
      <c r="J59" s="2676"/>
      <c r="K59" s="999" t="s">
        <v>129</v>
      </c>
      <c r="L59" s="900"/>
      <c r="M59" s="900"/>
      <c r="N59" s="1003"/>
      <c r="O59" s="2666"/>
      <c r="P59" s="2667"/>
      <c r="Q59" s="874"/>
      <c r="R59" s="910"/>
      <c r="S59" s="911"/>
      <c r="T59" s="2665"/>
      <c r="U59" s="915">
        <f>+S59/T55</f>
        <v>0</v>
      </c>
      <c r="V59" s="910" t="str">
        <f t="shared" si="19"/>
        <v>-</v>
      </c>
      <c r="W59" s="926"/>
      <c r="X59" s="926"/>
      <c r="Y59" s="926" t="str">
        <f t="shared" si="2"/>
        <v>-</v>
      </c>
      <c r="Z59" s="926"/>
      <c r="AA59" s="927"/>
      <c r="AB59" s="926" t="str">
        <f t="shared" si="3"/>
        <v>-</v>
      </c>
      <c r="AC59" s="926"/>
      <c r="AD59" s="927"/>
      <c r="AE59" s="926" t="str">
        <f t="shared" si="4"/>
        <v>-</v>
      </c>
      <c r="AF59" s="926"/>
      <c r="AG59" s="927"/>
      <c r="AH59" s="926">
        <f t="shared" si="5"/>
        <v>0</v>
      </c>
      <c r="AI59" s="926"/>
      <c r="AJ59" s="926"/>
      <c r="AK59" s="926"/>
      <c r="AL59" s="926"/>
      <c r="AM59" s="926"/>
      <c r="AN59" s="928">
        <f t="shared" si="9"/>
        <v>0</v>
      </c>
      <c r="AO59" s="928">
        <f>+AR59+AT59</f>
        <v>0</v>
      </c>
      <c r="AP59" s="931"/>
      <c r="AQ59" s="407"/>
      <c r="AR59" s="947">
        <f>+$AN59*'ref.지급기준 (2)'!G58</f>
        <v>0</v>
      </c>
      <c r="AS59" s="928">
        <f t="shared" si="11"/>
        <v>0</v>
      </c>
      <c r="AT59" s="928">
        <f>+$AN59*'ref.지급기준 (2)'!I58</f>
        <v>0</v>
      </c>
      <c r="AU59" s="928">
        <f t="shared" si="10"/>
        <v>0</v>
      </c>
      <c r="AV59" s="928">
        <f>+$AN59*'ref.지급기준 (2)'!K58</f>
        <v>0</v>
      </c>
      <c r="AW59" s="928"/>
      <c r="AX59" s="928">
        <f>+$AN59*'ref.지급기준 (2)'!M58</f>
        <v>0</v>
      </c>
      <c r="AY59" s="928"/>
      <c r="AZ59" s="928">
        <f>+$AN59*'ref.지급기준 (2)'!O58</f>
        <v>0</v>
      </c>
      <c r="BA59" s="997"/>
      <c r="BB59" s="2683"/>
      <c r="BC59" s="393"/>
      <c r="BD59" s="393"/>
      <c r="BE59" s="393"/>
      <c r="BF59" s="393"/>
      <c r="BG59" s="393"/>
      <c r="BH59" s="393"/>
      <c r="BI59" s="393"/>
      <c r="BJ59" s="393"/>
      <c r="BK59" s="393"/>
      <c r="BL59" s="393"/>
      <c r="BM59" s="393"/>
      <c r="BN59" s="408"/>
      <c r="BO59" s="408"/>
    </row>
    <row r="60" spans="1:67" ht="16.5" customHeight="1">
      <c r="A60" s="394"/>
      <c r="B60" s="2624"/>
      <c r="C60" s="2636"/>
      <c r="D60" s="2636"/>
      <c r="E60" s="2641"/>
      <c r="F60" s="2633" t="s">
        <v>1230</v>
      </c>
      <c r="G60" s="2650">
        <v>499.96</v>
      </c>
      <c r="H60" s="2652">
        <v>8.5599999999999996E-2</v>
      </c>
      <c r="I60" s="2654"/>
      <c r="J60" s="2654" t="s">
        <v>1213</v>
      </c>
      <c r="K60" s="891" t="s">
        <v>125</v>
      </c>
      <c r="L60" s="902">
        <f>+'ref.지급기준 (2)'!F59*'ref.지급기준 (2)'!D59/'ref.지급기준 (2)'!$Q$2</f>
        <v>524958000</v>
      </c>
      <c r="M60" s="902">
        <f>+L60*10%</f>
        <v>52495800</v>
      </c>
      <c r="N60" s="1007">
        <f t="shared" si="0"/>
        <v>577453800</v>
      </c>
      <c r="O60" s="2666"/>
      <c r="P60" s="2667"/>
      <c r="Q60" s="874" t="b">
        <f t="shared" si="14"/>
        <v>1</v>
      </c>
      <c r="R60" s="906">
        <f t="shared" si="7"/>
        <v>0</v>
      </c>
      <c r="S60" s="907">
        <f t="shared" si="13"/>
        <v>0</v>
      </c>
      <c r="T60" s="2656">
        <v>1470</v>
      </c>
      <c r="U60" s="913">
        <f>+S60/T60</f>
        <v>0</v>
      </c>
      <c r="V60" s="906">
        <f>+IFERROR(W60/$N60,"-")</f>
        <v>0</v>
      </c>
      <c r="W60" s="917"/>
      <c r="X60" s="918">
        <v>45716</v>
      </c>
      <c r="Y60" s="877">
        <f t="shared" si="2"/>
        <v>0</v>
      </c>
      <c r="Z60" s="877"/>
      <c r="AA60" s="883">
        <f>+EDATE(X60,1)+3</f>
        <v>45747</v>
      </c>
      <c r="AB60" s="877">
        <f t="shared" si="3"/>
        <v>0</v>
      </c>
      <c r="AC60" s="877"/>
      <c r="AD60" s="883">
        <f>+EDATE(AA60,3)</f>
        <v>45838</v>
      </c>
      <c r="AE60" s="877">
        <f t="shared" si="4"/>
        <v>0</v>
      </c>
      <c r="AF60" s="877"/>
      <c r="AG60" s="883">
        <f>+EDATE(AA60,4)</f>
        <v>45869</v>
      </c>
      <c r="AH60" s="877">
        <f t="shared" si="5"/>
        <v>0</v>
      </c>
      <c r="AI60" s="877"/>
      <c r="AJ60" s="883">
        <f>+EDATE(AA60,6)</f>
        <v>45930</v>
      </c>
      <c r="AK60" s="877">
        <f t="shared" si="12"/>
        <v>0</v>
      </c>
      <c r="AL60" s="877"/>
      <c r="AM60" s="877"/>
      <c r="AN60" s="884">
        <f t="shared" si="9"/>
        <v>577453800</v>
      </c>
      <c r="AO60" s="884">
        <f>+AN60*'ref.지급기준 (2)'!G59</f>
        <v>57745380</v>
      </c>
      <c r="AP60" s="885">
        <f t="shared" si="15"/>
        <v>45716</v>
      </c>
      <c r="AQ60" s="407"/>
      <c r="AR60" s="945">
        <f>+$AN60*'ref.지급기준 (2)'!G59</f>
        <v>57745380</v>
      </c>
      <c r="AS60" s="884">
        <f t="shared" si="11"/>
        <v>0</v>
      </c>
      <c r="AT60" s="884">
        <f>+$AN60*'ref.지급기준 (2)'!I59</f>
        <v>115490760</v>
      </c>
      <c r="AU60" s="884">
        <f t="shared" si="10"/>
        <v>0</v>
      </c>
      <c r="AV60" s="884">
        <f>+$AN60*'ref.지급기준 (2)'!K59</f>
        <v>230981520</v>
      </c>
      <c r="AW60" s="884"/>
      <c r="AX60" s="884">
        <f>+$AN60*'ref.지급기준 (2)'!M59</f>
        <v>144363450</v>
      </c>
      <c r="AY60" s="884"/>
      <c r="AZ60" s="884">
        <f>+$AN60*'ref.지급기준 (2)'!O59</f>
        <v>28872690</v>
      </c>
      <c r="BA60" s="890"/>
      <c r="BB60" s="2683"/>
      <c r="BC60" s="393"/>
      <c r="BD60" s="393" t="b">
        <f t="shared" si="6"/>
        <v>1</v>
      </c>
      <c r="BE60" s="393"/>
      <c r="BF60" s="393"/>
      <c r="BG60" s="393"/>
      <c r="BH60" s="393"/>
      <c r="BI60" s="393"/>
      <c r="BJ60" s="393"/>
      <c r="BK60" s="393"/>
      <c r="BL60" s="393"/>
      <c r="BM60" s="393"/>
      <c r="BN60" s="408"/>
      <c r="BO60" s="408"/>
    </row>
    <row r="61" spans="1:67" ht="16.5" customHeight="1">
      <c r="A61" s="394"/>
      <c r="B61" s="2624"/>
      <c r="C61" s="2636"/>
      <c r="D61" s="2636"/>
      <c r="E61" s="2641"/>
      <c r="F61" s="2633"/>
      <c r="G61" s="2650"/>
      <c r="H61" s="2652"/>
      <c r="I61" s="2654"/>
      <c r="J61" s="2654"/>
      <c r="K61" s="875" t="s">
        <v>126</v>
      </c>
      <c r="L61" s="896">
        <f>+'ref.지급기준 (2)'!F60*'ref.지급기준 (2)'!D60/'ref.지급기준 (2)'!$Q$2</f>
        <v>174986000</v>
      </c>
      <c r="M61" s="896">
        <f>+L61*10%</f>
        <v>17498600</v>
      </c>
      <c r="N61" s="1002">
        <f t="shared" si="0"/>
        <v>192484600</v>
      </c>
      <c r="O61" s="2666"/>
      <c r="P61" s="2667"/>
      <c r="Q61" s="874" t="b">
        <f t="shared" si="14"/>
        <v>1</v>
      </c>
      <c r="R61" s="908">
        <f t="shared" si="7"/>
        <v>0</v>
      </c>
      <c r="S61" s="909">
        <f t="shared" si="13"/>
        <v>0</v>
      </c>
      <c r="T61" s="2657"/>
      <c r="U61" s="914">
        <f>+S61/T60</f>
        <v>0</v>
      </c>
      <c r="V61" s="908">
        <f t="shared" ref="V61:V64" si="22">+IFERROR(W61/$N61,"-")</f>
        <v>0</v>
      </c>
      <c r="W61" s="876"/>
      <c r="X61" s="919">
        <v>45777</v>
      </c>
      <c r="Y61" s="877">
        <f t="shared" ref="Y61" si="23">+IFERROR(Z61/$N61,"-")</f>
        <v>0</v>
      </c>
      <c r="Z61" s="886"/>
      <c r="AA61" s="883">
        <f>EDATE(X61,1)</f>
        <v>45807</v>
      </c>
      <c r="AB61" s="877">
        <f t="shared" si="3"/>
        <v>0</v>
      </c>
      <c r="AC61" s="877"/>
      <c r="AD61" s="883">
        <f>EDATE(AA61,4)</f>
        <v>45930</v>
      </c>
      <c r="AE61" s="877">
        <f t="shared" si="4"/>
        <v>0</v>
      </c>
      <c r="AF61" s="877"/>
      <c r="AG61" s="883">
        <f>EDATE(AA61,6)</f>
        <v>45991</v>
      </c>
      <c r="AH61" s="877">
        <f t="shared" si="5"/>
        <v>0</v>
      </c>
      <c r="AI61" s="877"/>
      <c r="AJ61" s="883"/>
      <c r="AK61" s="877">
        <f t="shared" si="12"/>
        <v>0</v>
      </c>
      <c r="AL61" s="877"/>
      <c r="AM61" s="877"/>
      <c r="AN61" s="884">
        <f t="shared" si="9"/>
        <v>192484600</v>
      </c>
      <c r="AO61" s="884">
        <f>+AN61*'ref.지급기준 (2)'!G60</f>
        <v>76993840</v>
      </c>
      <c r="AP61" s="885">
        <f t="shared" si="15"/>
        <v>45777</v>
      </c>
      <c r="AQ61" s="407"/>
      <c r="AR61" s="945">
        <f>+$AN61*'ref.지급기준 (2)'!G60</f>
        <v>76993840</v>
      </c>
      <c r="AS61" s="884">
        <f t="shared" si="11"/>
        <v>0</v>
      </c>
      <c r="AT61" s="884">
        <f>+$AN61*'ref.지급기준 (2)'!I60</f>
        <v>38496920</v>
      </c>
      <c r="AU61" s="884">
        <f t="shared" si="10"/>
        <v>0</v>
      </c>
      <c r="AV61" s="884">
        <f>+$AN61*'ref.지급기준 (2)'!K60</f>
        <v>57745380</v>
      </c>
      <c r="AW61" s="884"/>
      <c r="AX61" s="884">
        <f>+$AN61*'ref.지급기준 (2)'!M60</f>
        <v>19248460</v>
      </c>
      <c r="AY61" s="884"/>
      <c r="AZ61" s="884">
        <f>+$AN61*'ref.지급기준 (2)'!O60</f>
        <v>0</v>
      </c>
      <c r="BA61" s="890"/>
      <c r="BB61" s="2683"/>
      <c r="BC61" s="393"/>
      <c r="BD61" s="393" t="b">
        <f t="shared" si="6"/>
        <v>1</v>
      </c>
      <c r="BE61" s="393"/>
      <c r="BF61" s="393"/>
      <c r="BG61" s="393"/>
      <c r="BH61" s="393"/>
      <c r="BI61" s="393"/>
      <c r="BJ61" s="393"/>
      <c r="BK61" s="393"/>
      <c r="BL61" s="393"/>
      <c r="BM61" s="393"/>
      <c r="BN61" s="408"/>
      <c r="BO61" s="408"/>
    </row>
    <row r="62" spans="1:67" ht="16.5" customHeight="1">
      <c r="A62" s="394"/>
      <c r="B62" s="2624"/>
      <c r="C62" s="2636"/>
      <c r="D62" s="2636"/>
      <c r="E62" s="2641"/>
      <c r="F62" s="2633"/>
      <c r="G62" s="2650"/>
      <c r="H62" s="2652"/>
      <c r="I62" s="2654"/>
      <c r="J62" s="2654"/>
      <c r="K62" s="875" t="s">
        <v>127</v>
      </c>
      <c r="L62" s="896">
        <f>+'ref.지급기준 (2)'!F61*'ref.지급기준 (2)'!D61/'ref.지급기준 (2)'!$Q$2</f>
        <v>149988000</v>
      </c>
      <c r="M62" s="896"/>
      <c r="N62" s="1002">
        <f t="shared" si="0"/>
        <v>149988000</v>
      </c>
      <c r="O62" s="2666"/>
      <c r="P62" s="2667"/>
      <c r="Q62" s="874" t="b">
        <f t="shared" si="14"/>
        <v>1</v>
      </c>
      <c r="R62" s="908">
        <f t="shared" si="7"/>
        <v>0</v>
      </c>
      <c r="S62" s="909">
        <f t="shared" si="13"/>
        <v>0</v>
      </c>
      <c r="T62" s="2657"/>
      <c r="U62" s="914">
        <f>+S62/T60</f>
        <v>0</v>
      </c>
      <c r="V62" s="908">
        <f t="shared" si="22"/>
        <v>0</v>
      </c>
      <c r="W62" s="876"/>
      <c r="X62" s="919">
        <f>X61</f>
        <v>45777</v>
      </c>
      <c r="Y62" s="877">
        <f t="shared" si="2"/>
        <v>0</v>
      </c>
      <c r="Z62" s="877"/>
      <c r="AA62" s="883">
        <f>AA61</f>
        <v>45807</v>
      </c>
      <c r="AB62" s="877">
        <f t="shared" si="3"/>
        <v>0</v>
      </c>
      <c r="AC62" s="877"/>
      <c r="AD62" s="883">
        <f>AD61</f>
        <v>45930</v>
      </c>
      <c r="AE62" s="877">
        <f t="shared" si="4"/>
        <v>0</v>
      </c>
      <c r="AF62" s="877"/>
      <c r="AG62" s="883">
        <f>AG61</f>
        <v>45991</v>
      </c>
      <c r="AH62" s="877">
        <f t="shared" si="5"/>
        <v>0</v>
      </c>
      <c r="AI62" s="877"/>
      <c r="AJ62" s="883"/>
      <c r="AK62" s="877">
        <f t="shared" si="12"/>
        <v>0</v>
      </c>
      <c r="AL62" s="877"/>
      <c r="AM62" s="877"/>
      <c r="AN62" s="884">
        <f t="shared" si="9"/>
        <v>149988000</v>
      </c>
      <c r="AO62" s="884">
        <f>+AN62*'ref.지급기준 (2)'!G61</f>
        <v>59995200</v>
      </c>
      <c r="AP62" s="885">
        <f t="shared" si="15"/>
        <v>45777</v>
      </c>
      <c r="AQ62" s="407"/>
      <c r="AR62" s="945">
        <f>+$AN62*'ref.지급기준 (2)'!G61</f>
        <v>59995200</v>
      </c>
      <c r="AS62" s="884">
        <f t="shared" si="11"/>
        <v>0</v>
      </c>
      <c r="AT62" s="884">
        <f>+$AN62*'ref.지급기준 (2)'!I61</f>
        <v>29997600</v>
      </c>
      <c r="AU62" s="884">
        <f t="shared" si="10"/>
        <v>0</v>
      </c>
      <c r="AV62" s="884">
        <f>+$AN62*'ref.지급기준 (2)'!K61</f>
        <v>44996400</v>
      </c>
      <c r="AW62" s="884"/>
      <c r="AX62" s="884">
        <f>+$AN62*'ref.지급기준 (2)'!M61</f>
        <v>14998800</v>
      </c>
      <c r="AY62" s="884"/>
      <c r="AZ62" s="884">
        <f>+$AN62*'ref.지급기준 (2)'!O61</f>
        <v>0</v>
      </c>
      <c r="BA62" s="890"/>
      <c r="BB62" s="2683"/>
      <c r="BC62" s="393"/>
      <c r="BD62" s="393" t="b">
        <f t="shared" si="6"/>
        <v>1</v>
      </c>
      <c r="BE62" s="393"/>
      <c r="BF62" s="393"/>
      <c r="BG62" s="393"/>
      <c r="BH62" s="393"/>
      <c r="BI62" s="393"/>
      <c r="BJ62" s="393"/>
      <c r="BK62" s="393"/>
      <c r="BL62" s="393"/>
      <c r="BM62" s="393"/>
      <c r="BN62" s="408"/>
      <c r="BO62" s="408"/>
    </row>
    <row r="63" spans="1:67" ht="16.5" customHeight="1">
      <c r="A63" s="394"/>
      <c r="B63" s="2624"/>
      <c r="C63" s="2636"/>
      <c r="D63" s="2636"/>
      <c r="E63" s="2641"/>
      <c r="F63" s="2633"/>
      <c r="G63" s="2650"/>
      <c r="H63" s="2652"/>
      <c r="I63" s="2654"/>
      <c r="J63" s="2654"/>
      <c r="K63" s="875" t="s">
        <v>128</v>
      </c>
      <c r="L63" s="896">
        <f>+'ref.지급기준 (2)'!F62*'ref.지급기준 (2)'!D62/'ref.지급기준 (2)'!$Q$2</f>
        <v>99992000</v>
      </c>
      <c r="M63" s="896">
        <f t="shared" ref="M63" si="24">+L63*10%</f>
        <v>9999200</v>
      </c>
      <c r="N63" s="1002">
        <f t="shared" si="0"/>
        <v>109991200</v>
      </c>
      <c r="O63" s="2666"/>
      <c r="P63" s="2667"/>
      <c r="Q63" s="874" t="b">
        <f t="shared" si="14"/>
        <v>1</v>
      </c>
      <c r="R63" s="908">
        <f t="shared" si="7"/>
        <v>0</v>
      </c>
      <c r="S63" s="909">
        <f t="shared" si="13"/>
        <v>0</v>
      </c>
      <c r="T63" s="2657"/>
      <c r="U63" s="914">
        <f>+S63/T60</f>
        <v>0</v>
      </c>
      <c r="V63" s="908">
        <f t="shared" si="22"/>
        <v>0</v>
      </c>
      <c r="W63" s="876"/>
      <c r="X63" s="919">
        <f>X61</f>
        <v>45777</v>
      </c>
      <c r="Y63" s="877">
        <f t="shared" si="2"/>
        <v>0</v>
      </c>
      <c r="Z63" s="877"/>
      <c r="AA63" s="883">
        <f>AA61</f>
        <v>45807</v>
      </c>
      <c r="AB63" s="877">
        <f t="shared" si="3"/>
        <v>0</v>
      </c>
      <c r="AC63" s="877"/>
      <c r="AD63" s="883">
        <f>AD61</f>
        <v>45930</v>
      </c>
      <c r="AE63" s="877">
        <f t="shared" si="4"/>
        <v>0</v>
      </c>
      <c r="AF63" s="877"/>
      <c r="AG63" s="883">
        <f>AG61</f>
        <v>45991</v>
      </c>
      <c r="AH63" s="877">
        <f t="shared" si="5"/>
        <v>0</v>
      </c>
      <c r="AI63" s="877"/>
      <c r="AJ63" s="883"/>
      <c r="AK63" s="877">
        <f t="shared" si="12"/>
        <v>0</v>
      </c>
      <c r="AL63" s="877"/>
      <c r="AM63" s="877"/>
      <c r="AN63" s="884">
        <f t="shared" si="9"/>
        <v>109991200</v>
      </c>
      <c r="AO63" s="884">
        <f>+AN63*'ref.지급기준 (2)'!G62</f>
        <v>43996480</v>
      </c>
      <c r="AP63" s="885">
        <f t="shared" si="15"/>
        <v>45777</v>
      </c>
      <c r="AQ63" s="407"/>
      <c r="AR63" s="945">
        <f>+$AN63*'ref.지급기준 (2)'!G62</f>
        <v>43996480</v>
      </c>
      <c r="AS63" s="884">
        <f t="shared" si="11"/>
        <v>0</v>
      </c>
      <c r="AT63" s="884">
        <f>+$AN63*'ref.지급기준 (2)'!I62</f>
        <v>21998240</v>
      </c>
      <c r="AU63" s="884">
        <f t="shared" si="10"/>
        <v>0</v>
      </c>
      <c r="AV63" s="884">
        <f>+$AN63*'ref.지급기준 (2)'!K62</f>
        <v>32997360</v>
      </c>
      <c r="AW63" s="884"/>
      <c r="AX63" s="884">
        <f>+$AN63*'ref.지급기준 (2)'!M62</f>
        <v>10999120</v>
      </c>
      <c r="AY63" s="884"/>
      <c r="AZ63" s="884">
        <f>+$AN63*'ref.지급기준 (2)'!O62</f>
        <v>0</v>
      </c>
      <c r="BA63" s="890"/>
      <c r="BB63" s="2683"/>
      <c r="BC63" s="393"/>
      <c r="BD63" s="393" t="b">
        <f t="shared" si="6"/>
        <v>1</v>
      </c>
      <c r="BE63" s="393"/>
      <c r="BF63" s="393"/>
      <c r="BG63" s="393"/>
      <c r="BH63" s="393"/>
      <c r="BI63" s="393"/>
      <c r="BJ63" s="393"/>
      <c r="BK63" s="393"/>
      <c r="BL63" s="393"/>
      <c r="BM63" s="393"/>
      <c r="BN63" s="408"/>
      <c r="BO63" s="408"/>
    </row>
    <row r="64" spans="1:67" ht="16.5" customHeight="1">
      <c r="A64" s="394"/>
      <c r="B64" s="2624"/>
      <c r="C64" s="2636"/>
      <c r="D64" s="2636"/>
      <c r="E64" s="2641"/>
      <c r="F64" s="2633"/>
      <c r="G64" s="2650"/>
      <c r="H64" s="2652"/>
      <c r="I64" s="2654"/>
      <c r="J64" s="2654"/>
      <c r="K64" s="892" t="s">
        <v>129</v>
      </c>
      <c r="L64" s="898"/>
      <c r="M64" s="898"/>
      <c r="N64" s="1006"/>
      <c r="O64" s="2666"/>
      <c r="P64" s="2667"/>
      <c r="Q64" s="874"/>
      <c r="R64" s="910"/>
      <c r="S64" s="911"/>
      <c r="T64" s="2665"/>
      <c r="U64" s="915">
        <f>+S64/T60</f>
        <v>0</v>
      </c>
      <c r="V64" s="910" t="str">
        <f t="shared" si="22"/>
        <v>-</v>
      </c>
      <c r="W64" s="926"/>
      <c r="X64" s="926"/>
      <c r="Y64" s="926" t="str">
        <f t="shared" si="2"/>
        <v>-</v>
      </c>
      <c r="Z64" s="926"/>
      <c r="AA64" s="927"/>
      <c r="AB64" s="926" t="str">
        <f t="shared" si="3"/>
        <v>-</v>
      </c>
      <c r="AC64" s="926"/>
      <c r="AD64" s="927"/>
      <c r="AE64" s="926" t="str">
        <f t="shared" si="4"/>
        <v>-</v>
      </c>
      <c r="AF64" s="926"/>
      <c r="AG64" s="927"/>
      <c r="AH64" s="926">
        <f t="shared" si="5"/>
        <v>0</v>
      </c>
      <c r="AI64" s="926"/>
      <c r="AJ64" s="926"/>
      <c r="AK64" s="926"/>
      <c r="AL64" s="926"/>
      <c r="AM64" s="926"/>
      <c r="AN64" s="928">
        <f t="shared" si="9"/>
        <v>0</v>
      </c>
      <c r="AO64" s="928">
        <f>+AR64+AT64</f>
        <v>0</v>
      </c>
      <c r="AP64" s="931"/>
      <c r="AQ64" s="407"/>
      <c r="AR64" s="947">
        <f>+$AN64*'ref.지급기준 (2)'!G63</f>
        <v>0</v>
      </c>
      <c r="AS64" s="928">
        <f t="shared" si="11"/>
        <v>0</v>
      </c>
      <c r="AT64" s="928">
        <f>+$AN64*'ref.지급기준 (2)'!I63</f>
        <v>0</v>
      </c>
      <c r="AU64" s="928">
        <f t="shared" si="10"/>
        <v>0</v>
      </c>
      <c r="AV64" s="928">
        <f>+$AN64*'ref.지급기준 (2)'!K63</f>
        <v>0</v>
      </c>
      <c r="AW64" s="928"/>
      <c r="AX64" s="928">
        <f>+$AN64*'ref.지급기준 (2)'!M63</f>
        <v>0</v>
      </c>
      <c r="AY64" s="928"/>
      <c r="AZ64" s="928">
        <f>+$AN64*'ref.지급기준 (2)'!O63</f>
        <v>0</v>
      </c>
      <c r="BA64" s="997"/>
      <c r="BB64" s="2683"/>
      <c r="BC64" s="393"/>
      <c r="BD64" s="393"/>
      <c r="BE64" s="393"/>
      <c r="BF64" s="393"/>
      <c r="BG64" s="393"/>
      <c r="BH64" s="393"/>
      <c r="BI64" s="393"/>
      <c r="BJ64" s="393"/>
      <c r="BK64" s="393"/>
      <c r="BL64" s="393"/>
      <c r="BM64" s="393"/>
      <c r="BN64" s="408"/>
      <c r="BO64" s="408"/>
    </row>
    <row r="65" spans="1:67" ht="16.5" customHeight="1">
      <c r="A65" s="394"/>
      <c r="B65" s="2624"/>
      <c r="C65" s="2636"/>
      <c r="D65" s="2636"/>
      <c r="E65" s="2641"/>
      <c r="F65" s="2646" t="s">
        <v>1231</v>
      </c>
      <c r="G65" s="2668">
        <v>149.63999999999999</v>
      </c>
      <c r="H65" s="2671">
        <v>8.5599999999999996E-2</v>
      </c>
      <c r="I65" s="2674"/>
      <c r="J65" s="2674" t="s">
        <v>1213</v>
      </c>
      <c r="K65" s="893" t="s">
        <v>125</v>
      </c>
      <c r="L65" s="904">
        <f>+'ref.지급기준 (2)'!F64*'ref.지급기준 (2)'!D64/'ref.지급기준 (2)'!$Q$2</f>
        <v>157122000</v>
      </c>
      <c r="M65" s="904">
        <f>+L65*10%</f>
        <v>15712200</v>
      </c>
      <c r="N65" s="1012">
        <f t="shared" si="0"/>
        <v>172834200</v>
      </c>
      <c r="O65" s="2666"/>
      <c r="P65" s="2667"/>
      <c r="Q65" s="874" t="b">
        <f t="shared" si="14"/>
        <v>1</v>
      </c>
      <c r="R65" s="906">
        <f t="shared" si="7"/>
        <v>0</v>
      </c>
      <c r="S65" s="907">
        <f t="shared" si="13"/>
        <v>0</v>
      </c>
      <c r="T65" s="2656">
        <v>1470</v>
      </c>
      <c r="U65" s="913">
        <f>+S65/T65</f>
        <v>0</v>
      </c>
      <c r="V65" s="906">
        <f>+IFERROR(W65/$N65,"-")</f>
        <v>0</v>
      </c>
      <c r="W65" s="917"/>
      <c r="X65" s="918">
        <v>45716</v>
      </c>
      <c r="Y65" s="877">
        <f t="shared" si="2"/>
        <v>0</v>
      </c>
      <c r="Z65" s="877"/>
      <c r="AA65" s="883">
        <f>+EDATE(X65,1)+3</f>
        <v>45747</v>
      </c>
      <c r="AB65" s="877">
        <f t="shared" si="3"/>
        <v>0</v>
      </c>
      <c r="AC65" s="877"/>
      <c r="AD65" s="883">
        <f>+EDATE(AA65,3)</f>
        <v>45838</v>
      </c>
      <c r="AE65" s="877">
        <f t="shared" si="4"/>
        <v>0</v>
      </c>
      <c r="AF65" s="877"/>
      <c r="AG65" s="883">
        <f>+EDATE(AA65,4)</f>
        <v>45869</v>
      </c>
      <c r="AH65" s="877">
        <f t="shared" si="5"/>
        <v>0</v>
      </c>
      <c r="AI65" s="877"/>
      <c r="AJ65" s="883">
        <f>+EDATE(AA65,6)</f>
        <v>45930</v>
      </c>
      <c r="AK65" s="877">
        <f t="shared" si="12"/>
        <v>0</v>
      </c>
      <c r="AL65" s="877"/>
      <c r="AM65" s="877"/>
      <c r="AN65" s="884">
        <f t="shared" si="9"/>
        <v>172834200</v>
      </c>
      <c r="AO65" s="884">
        <f>+AN65*'ref.지급기준 (2)'!G64</f>
        <v>17283420</v>
      </c>
      <c r="AP65" s="885">
        <f t="shared" si="15"/>
        <v>45716</v>
      </c>
      <c r="AQ65" s="407"/>
      <c r="AR65" s="945">
        <f>+$AN65*'ref.지급기준 (2)'!G64</f>
        <v>17283420</v>
      </c>
      <c r="AS65" s="884">
        <f t="shared" si="11"/>
        <v>0</v>
      </c>
      <c r="AT65" s="884">
        <f>+$AN65*'ref.지급기준 (2)'!I64</f>
        <v>34566840</v>
      </c>
      <c r="AU65" s="884">
        <f t="shared" si="10"/>
        <v>0</v>
      </c>
      <c r="AV65" s="884">
        <f>+$AN65*'ref.지급기준 (2)'!K64</f>
        <v>69133680</v>
      </c>
      <c r="AW65" s="884"/>
      <c r="AX65" s="884">
        <f>+$AN65*'ref.지급기준 (2)'!M64</f>
        <v>43208550</v>
      </c>
      <c r="AY65" s="884"/>
      <c r="AZ65" s="884">
        <f>+$AN65*'ref.지급기준 (2)'!O64</f>
        <v>8641710</v>
      </c>
      <c r="BA65" s="890"/>
      <c r="BB65" s="2683"/>
      <c r="BC65" s="393"/>
      <c r="BD65" s="393" t="b">
        <f t="shared" si="6"/>
        <v>1</v>
      </c>
      <c r="BE65" s="393"/>
      <c r="BF65" s="393"/>
      <c r="BG65" s="393"/>
      <c r="BH65" s="393"/>
      <c r="BI65" s="393"/>
      <c r="BJ65" s="393"/>
      <c r="BK65" s="393"/>
      <c r="BL65" s="393"/>
      <c r="BM65" s="393"/>
      <c r="BN65" s="408"/>
      <c r="BO65" s="408"/>
    </row>
    <row r="66" spans="1:67" ht="16.5" customHeight="1">
      <c r="A66" s="394"/>
      <c r="B66" s="2624"/>
      <c r="C66" s="2636"/>
      <c r="D66" s="2636"/>
      <c r="E66" s="2641"/>
      <c r="F66" s="2647"/>
      <c r="G66" s="2669"/>
      <c r="H66" s="2672"/>
      <c r="I66" s="2675"/>
      <c r="J66" s="2675"/>
      <c r="K66" s="875" t="s">
        <v>126</v>
      </c>
      <c r="L66" s="896">
        <f>+'ref.지급기준 (2)'!F65*'ref.지급기준 (2)'!D65/'ref.지급기준 (2)'!$Q$2</f>
        <v>52373999.999999993</v>
      </c>
      <c r="M66" s="896">
        <f>+L66*10%</f>
        <v>5237400</v>
      </c>
      <c r="N66" s="1002">
        <f t="shared" si="0"/>
        <v>57611399.999999993</v>
      </c>
      <c r="O66" s="2666"/>
      <c r="P66" s="2667"/>
      <c r="Q66" s="874" t="b">
        <f t="shared" si="14"/>
        <v>1</v>
      </c>
      <c r="R66" s="908">
        <f t="shared" si="7"/>
        <v>0</v>
      </c>
      <c r="S66" s="909">
        <f t="shared" si="13"/>
        <v>0</v>
      </c>
      <c r="T66" s="2657"/>
      <c r="U66" s="914">
        <f>+S66/T65</f>
        <v>0</v>
      </c>
      <c r="V66" s="908">
        <f t="shared" ref="V66:V69" si="25">+IFERROR(W66/$N66,"-")</f>
        <v>0</v>
      </c>
      <c r="W66" s="876"/>
      <c r="X66" s="919">
        <v>45777</v>
      </c>
      <c r="Y66" s="877">
        <f t="shared" ref="Y66" si="26">+IFERROR(Z66/$N66,"-")</f>
        <v>0</v>
      </c>
      <c r="Z66" s="886"/>
      <c r="AA66" s="883">
        <f>EDATE(X66,1)</f>
        <v>45807</v>
      </c>
      <c r="AB66" s="877">
        <f t="shared" si="3"/>
        <v>0</v>
      </c>
      <c r="AC66" s="877"/>
      <c r="AD66" s="883">
        <f>EDATE(AA66,4)</f>
        <v>45930</v>
      </c>
      <c r="AE66" s="877">
        <f t="shared" si="4"/>
        <v>0</v>
      </c>
      <c r="AF66" s="877"/>
      <c r="AG66" s="883">
        <f>EDATE(AA66,6)</f>
        <v>45991</v>
      </c>
      <c r="AH66" s="877">
        <f t="shared" si="5"/>
        <v>0</v>
      </c>
      <c r="AI66" s="877"/>
      <c r="AJ66" s="883"/>
      <c r="AK66" s="877">
        <f t="shared" si="12"/>
        <v>0</v>
      </c>
      <c r="AL66" s="877"/>
      <c r="AM66" s="877"/>
      <c r="AN66" s="884">
        <f t="shared" si="9"/>
        <v>57611399.999999993</v>
      </c>
      <c r="AO66" s="884">
        <f>+AN66*'ref.지급기준 (2)'!G65</f>
        <v>23044560</v>
      </c>
      <c r="AP66" s="885">
        <f t="shared" si="15"/>
        <v>45777</v>
      </c>
      <c r="AQ66" s="407"/>
      <c r="AR66" s="945">
        <f>+$AN66*'ref.지급기준 (2)'!G65</f>
        <v>23044560</v>
      </c>
      <c r="AS66" s="884">
        <f t="shared" si="11"/>
        <v>0</v>
      </c>
      <c r="AT66" s="884">
        <f>+$AN66*'ref.지급기준 (2)'!I65</f>
        <v>11522280</v>
      </c>
      <c r="AU66" s="884">
        <f t="shared" si="10"/>
        <v>0</v>
      </c>
      <c r="AV66" s="884">
        <f>+$AN66*'ref.지급기준 (2)'!K65</f>
        <v>17283419.999999996</v>
      </c>
      <c r="AW66" s="884"/>
      <c r="AX66" s="884">
        <f>+$AN66*'ref.지급기준 (2)'!M65</f>
        <v>5761140</v>
      </c>
      <c r="AY66" s="884"/>
      <c r="AZ66" s="884">
        <f>+$AN66*'ref.지급기준 (2)'!O65</f>
        <v>0</v>
      </c>
      <c r="BA66" s="890"/>
      <c r="BB66" s="2683"/>
      <c r="BC66" s="393"/>
      <c r="BD66" s="393" t="b">
        <f t="shared" si="6"/>
        <v>1</v>
      </c>
      <c r="BE66" s="393"/>
      <c r="BF66" s="393"/>
      <c r="BG66" s="393"/>
      <c r="BH66" s="393"/>
      <c r="BI66" s="393"/>
      <c r="BJ66" s="393"/>
      <c r="BK66" s="393"/>
      <c r="BL66" s="393"/>
      <c r="BM66" s="393"/>
      <c r="BN66" s="408"/>
      <c r="BO66" s="408"/>
    </row>
    <row r="67" spans="1:67" ht="16.5" customHeight="1">
      <c r="A67" s="394"/>
      <c r="B67" s="2624"/>
      <c r="C67" s="2636"/>
      <c r="D67" s="2636"/>
      <c r="E67" s="2641"/>
      <c r="F67" s="2647"/>
      <c r="G67" s="2669"/>
      <c r="H67" s="2672"/>
      <c r="I67" s="2675"/>
      <c r="J67" s="2675"/>
      <c r="K67" s="875" t="s">
        <v>127</v>
      </c>
      <c r="L67" s="896">
        <f>+'ref.지급기준 (2)'!F66*'ref.지급기준 (2)'!D66/'ref.지급기준 (2)'!$Q$2</f>
        <v>44891999.999999993</v>
      </c>
      <c r="M67" s="896"/>
      <c r="N67" s="1002">
        <f t="shared" si="0"/>
        <v>44891999.999999993</v>
      </c>
      <c r="O67" s="2666"/>
      <c r="P67" s="2667"/>
      <c r="Q67" s="874" t="b">
        <f t="shared" si="14"/>
        <v>1</v>
      </c>
      <c r="R67" s="908">
        <f t="shared" si="7"/>
        <v>0</v>
      </c>
      <c r="S67" s="909">
        <f t="shared" si="13"/>
        <v>0</v>
      </c>
      <c r="T67" s="2657"/>
      <c r="U67" s="914">
        <f>+S67/T65</f>
        <v>0</v>
      </c>
      <c r="V67" s="908">
        <f t="shared" si="25"/>
        <v>0</v>
      </c>
      <c r="W67" s="876"/>
      <c r="X67" s="919">
        <f>X66</f>
        <v>45777</v>
      </c>
      <c r="Y67" s="877">
        <f t="shared" si="2"/>
        <v>0</v>
      </c>
      <c r="Z67" s="877"/>
      <c r="AA67" s="883">
        <f>AA66</f>
        <v>45807</v>
      </c>
      <c r="AB67" s="877">
        <f t="shared" si="3"/>
        <v>0</v>
      </c>
      <c r="AC67" s="877"/>
      <c r="AD67" s="883">
        <f>AD66</f>
        <v>45930</v>
      </c>
      <c r="AE67" s="877">
        <f t="shared" si="4"/>
        <v>0</v>
      </c>
      <c r="AF67" s="877"/>
      <c r="AG67" s="883">
        <f>AG66</f>
        <v>45991</v>
      </c>
      <c r="AH67" s="877">
        <f t="shared" si="5"/>
        <v>0</v>
      </c>
      <c r="AI67" s="877"/>
      <c r="AJ67" s="883"/>
      <c r="AK67" s="877">
        <f t="shared" si="12"/>
        <v>0</v>
      </c>
      <c r="AL67" s="877"/>
      <c r="AM67" s="877"/>
      <c r="AN67" s="884">
        <f t="shared" si="9"/>
        <v>44891999.999999993</v>
      </c>
      <c r="AO67" s="884">
        <f>+AN67*'ref.지급기준 (2)'!G66</f>
        <v>17956799.999999996</v>
      </c>
      <c r="AP67" s="885">
        <f t="shared" si="15"/>
        <v>45777</v>
      </c>
      <c r="AQ67" s="407"/>
      <c r="AR67" s="945">
        <f>+$AN67*'ref.지급기준 (2)'!G66</f>
        <v>17956799.999999996</v>
      </c>
      <c r="AS67" s="884">
        <f t="shared" si="11"/>
        <v>0</v>
      </c>
      <c r="AT67" s="884">
        <f>+$AN67*'ref.지급기준 (2)'!I66</f>
        <v>8978399.9999999981</v>
      </c>
      <c r="AU67" s="884">
        <f t="shared" si="10"/>
        <v>0</v>
      </c>
      <c r="AV67" s="884">
        <f>+$AN67*'ref.지급기준 (2)'!K66</f>
        <v>13467599.999999998</v>
      </c>
      <c r="AW67" s="884"/>
      <c r="AX67" s="884">
        <f>+$AN67*'ref.지급기준 (2)'!M66</f>
        <v>4489199.9999999991</v>
      </c>
      <c r="AY67" s="884"/>
      <c r="AZ67" s="884">
        <f>+$AN67*'ref.지급기준 (2)'!O66</f>
        <v>0</v>
      </c>
      <c r="BA67" s="890"/>
      <c r="BB67" s="2683"/>
      <c r="BC67" s="393"/>
      <c r="BD67" s="393" t="b">
        <f t="shared" si="6"/>
        <v>1</v>
      </c>
      <c r="BE67" s="393"/>
      <c r="BF67" s="393"/>
      <c r="BG67" s="393"/>
      <c r="BH67" s="393"/>
      <c r="BI67" s="393"/>
      <c r="BJ67" s="393"/>
      <c r="BK67" s="393"/>
      <c r="BL67" s="393"/>
      <c r="BM67" s="393"/>
      <c r="BN67" s="408"/>
      <c r="BO67" s="408"/>
    </row>
    <row r="68" spans="1:67" ht="16.5" customHeight="1">
      <c r="A68" s="394"/>
      <c r="B68" s="2624"/>
      <c r="C68" s="2636"/>
      <c r="D68" s="2636"/>
      <c r="E68" s="2641"/>
      <c r="F68" s="2647"/>
      <c r="G68" s="2669"/>
      <c r="H68" s="2672"/>
      <c r="I68" s="2675"/>
      <c r="J68" s="2675"/>
      <c r="K68" s="875" t="s">
        <v>128</v>
      </c>
      <c r="L68" s="896">
        <f>+'ref.지급기준 (2)'!F67*'ref.지급기준 (2)'!D67/'ref.지급기준 (2)'!$Q$2</f>
        <v>29927999.999999996</v>
      </c>
      <c r="M68" s="896">
        <f t="shared" ref="M68" si="27">+L68*10%</f>
        <v>2992800</v>
      </c>
      <c r="N68" s="1002">
        <f t="shared" si="0"/>
        <v>32920799.999999996</v>
      </c>
      <c r="O68" s="2666"/>
      <c r="P68" s="2667"/>
      <c r="Q68" s="874" t="b">
        <f t="shared" si="14"/>
        <v>1</v>
      </c>
      <c r="R68" s="908">
        <f t="shared" si="7"/>
        <v>0</v>
      </c>
      <c r="S68" s="909">
        <f t="shared" si="13"/>
        <v>0</v>
      </c>
      <c r="T68" s="2657"/>
      <c r="U68" s="914">
        <f>+S68/T65</f>
        <v>0</v>
      </c>
      <c r="V68" s="908">
        <f t="shared" si="25"/>
        <v>0</v>
      </c>
      <c r="W68" s="876"/>
      <c r="X68" s="919">
        <f>X66</f>
        <v>45777</v>
      </c>
      <c r="Y68" s="877">
        <f t="shared" si="2"/>
        <v>0</v>
      </c>
      <c r="Z68" s="877"/>
      <c r="AA68" s="883">
        <f>AA66</f>
        <v>45807</v>
      </c>
      <c r="AB68" s="877">
        <f t="shared" si="3"/>
        <v>0</v>
      </c>
      <c r="AC68" s="877"/>
      <c r="AD68" s="883">
        <f>AD66</f>
        <v>45930</v>
      </c>
      <c r="AE68" s="877">
        <f t="shared" si="4"/>
        <v>0</v>
      </c>
      <c r="AF68" s="877"/>
      <c r="AG68" s="883">
        <f>AG66</f>
        <v>45991</v>
      </c>
      <c r="AH68" s="877">
        <f t="shared" si="5"/>
        <v>0</v>
      </c>
      <c r="AI68" s="877"/>
      <c r="AJ68" s="883"/>
      <c r="AK68" s="877">
        <f t="shared" si="12"/>
        <v>0</v>
      </c>
      <c r="AL68" s="877"/>
      <c r="AM68" s="877"/>
      <c r="AN68" s="884">
        <f t="shared" si="9"/>
        <v>32920799.999999996</v>
      </c>
      <c r="AO68" s="884">
        <f>+AN68*'ref.지급기준 (2)'!G67</f>
        <v>13168320</v>
      </c>
      <c r="AP68" s="885">
        <f t="shared" si="15"/>
        <v>45777</v>
      </c>
      <c r="AQ68" s="407"/>
      <c r="AR68" s="945">
        <f>+$AN68*'ref.지급기준 (2)'!G67</f>
        <v>13168320</v>
      </c>
      <c r="AS68" s="884">
        <f t="shared" si="11"/>
        <v>0</v>
      </c>
      <c r="AT68" s="884">
        <f>+$AN68*'ref.지급기준 (2)'!I67</f>
        <v>6584160</v>
      </c>
      <c r="AU68" s="884">
        <f t="shared" si="10"/>
        <v>0</v>
      </c>
      <c r="AV68" s="884">
        <f>+$AN68*'ref.지급기준 (2)'!K67</f>
        <v>9876239.9999999981</v>
      </c>
      <c r="AW68" s="884"/>
      <c r="AX68" s="884">
        <f>+$AN68*'ref.지급기준 (2)'!M67</f>
        <v>3292080</v>
      </c>
      <c r="AY68" s="884"/>
      <c r="AZ68" s="884">
        <f>+$AN68*'ref.지급기준 (2)'!O67</f>
        <v>0</v>
      </c>
      <c r="BA68" s="890"/>
      <c r="BB68" s="2683"/>
      <c r="BC68" s="393"/>
      <c r="BD68" s="393" t="b">
        <f t="shared" si="6"/>
        <v>1</v>
      </c>
      <c r="BE68" s="393"/>
      <c r="BF68" s="393"/>
      <c r="BG68" s="393"/>
      <c r="BH68" s="393"/>
      <c r="BI68" s="393"/>
      <c r="BJ68" s="393"/>
      <c r="BK68" s="393"/>
      <c r="BL68" s="393"/>
      <c r="BM68" s="393"/>
      <c r="BN68" s="408"/>
      <c r="BO68" s="408"/>
    </row>
    <row r="69" spans="1:67" ht="16.5" customHeight="1">
      <c r="A69" s="394"/>
      <c r="B69" s="2624"/>
      <c r="C69" s="2636"/>
      <c r="D69" s="2636"/>
      <c r="E69" s="2641"/>
      <c r="F69" s="2648"/>
      <c r="G69" s="2670"/>
      <c r="H69" s="2673"/>
      <c r="I69" s="2676"/>
      <c r="J69" s="2676"/>
      <c r="K69" s="999" t="s">
        <v>129</v>
      </c>
      <c r="L69" s="900"/>
      <c r="M69" s="900"/>
      <c r="N69" s="1003"/>
      <c r="O69" s="2666"/>
      <c r="P69" s="2667"/>
      <c r="Q69" s="874"/>
      <c r="R69" s="910"/>
      <c r="S69" s="911"/>
      <c r="T69" s="2665"/>
      <c r="U69" s="915">
        <f>+S69/T65</f>
        <v>0</v>
      </c>
      <c r="V69" s="910" t="str">
        <f t="shared" si="25"/>
        <v>-</v>
      </c>
      <c r="W69" s="926"/>
      <c r="X69" s="926"/>
      <c r="Y69" s="926" t="str">
        <f t="shared" ref="Y69:Y74" si="28">+IFERROR(Z69/$N69,"-")</f>
        <v>-</v>
      </c>
      <c r="Z69" s="926"/>
      <c r="AA69" s="927"/>
      <c r="AB69" s="926" t="str">
        <f t="shared" ref="AB69:AB74" si="29">+IFERROR(AC69/$N69,"-")</f>
        <v>-</v>
      </c>
      <c r="AC69" s="926"/>
      <c r="AD69" s="927"/>
      <c r="AE69" s="926" t="str">
        <f t="shared" ref="AE69:AE74" si="30">+IFERROR(AF69/$N69,"-")</f>
        <v>-</v>
      </c>
      <c r="AF69" s="926"/>
      <c r="AG69" s="927"/>
      <c r="AH69" s="926">
        <f t="shared" ref="AH69:AH74" si="31">+IFERROR(AI69/$N$6,"-")</f>
        <v>0</v>
      </c>
      <c r="AI69" s="926"/>
      <c r="AJ69" s="926"/>
      <c r="AK69" s="926"/>
      <c r="AL69" s="926"/>
      <c r="AM69" s="926"/>
      <c r="AN69" s="928">
        <f t="shared" si="9"/>
        <v>0</v>
      </c>
      <c r="AO69" s="928">
        <f>+AR69+AT69</f>
        <v>0</v>
      </c>
      <c r="AP69" s="931"/>
      <c r="AQ69" s="407"/>
      <c r="AR69" s="947">
        <f>+$AN69*'ref.지급기준 (2)'!G68</f>
        <v>0</v>
      </c>
      <c r="AS69" s="928">
        <f t="shared" si="11"/>
        <v>0</v>
      </c>
      <c r="AT69" s="928">
        <f>+$AN69*'ref.지급기준 (2)'!I68</f>
        <v>0</v>
      </c>
      <c r="AU69" s="928">
        <f t="shared" si="10"/>
        <v>0</v>
      </c>
      <c r="AV69" s="928">
        <f>+$AN69*'ref.지급기준 (2)'!K68</f>
        <v>0</v>
      </c>
      <c r="AW69" s="928"/>
      <c r="AX69" s="928">
        <f>+$AN69*'ref.지급기준 (2)'!M68</f>
        <v>0</v>
      </c>
      <c r="AY69" s="928"/>
      <c r="AZ69" s="928">
        <f>+$AN69*'ref.지급기준 (2)'!O68</f>
        <v>0</v>
      </c>
      <c r="BA69" s="997"/>
      <c r="BB69" s="2683"/>
      <c r="BC69" s="393"/>
      <c r="BD69" s="393"/>
      <c r="BE69" s="393"/>
      <c r="BF69" s="393"/>
      <c r="BG69" s="393"/>
      <c r="BH69" s="393"/>
      <c r="BI69" s="393"/>
      <c r="BJ69" s="393"/>
      <c r="BK69" s="393"/>
      <c r="BL69" s="393"/>
      <c r="BM69" s="393"/>
      <c r="BN69" s="408"/>
      <c r="BO69" s="408"/>
    </row>
    <row r="70" spans="1:67" ht="16.5" customHeight="1">
      <c r="A70" s="394"/>
      <c r="B70" s="2624"/>
      <c r="C70" s="2636"/>
      <c r="D70" s="2636"/>
      <c r="E70" s="2641"/>
      <c r="F70" s="2633" t="s">
        <v>1232</v>
      </c>
      <c r="G70" s="2650">
        <v>299.27999999999997</v>
      </c>
      <c r="H70" s="2652">
        <v>9.4500000000000001E-2</v>
      </c>
      <c r="I70" s="2654"/>
      <c r="J70" s="2654" t="s">
        <v>1213</v>
      </c>
      <c r="K70" s="891" t="s">
        <v>125</v>
      </c>
      <c r="L70" s="902">
        <f>+'ref.지급기준 (2)'!F69*'ref.지급기준 (2)'!D69/'ref.지급기준 (2)'!$Q$2</f>
        <v>314244000</v>
      </c>
      <c r="M70" s="902">
        <f>+L70*10%</f>
        <v>31424400</v>
      </c>
      <c r="N70" s="1007">
        <f t="shared" si="0"/>
        <v>345668400</v>
      </c>
      <c r="O70" s="2666"/>
      <c r="P70" s="2667"/>
      <c r="Q70" s="874" t="b">
        <f t="shared" si="14"/>
        <v>1</v>
      </c>
      <c r="R70" s="906">
        <f t="shared" si="7"/>
        <v>0</v>
      </c>
      <c r="S70" s="907">
        <f t="shared" si="13"/>
        <v>0</v>
      </c>
      <c r="T70" s="2656">
        <v>1470</v>
      </c>
      <c r="U70" s="913">
        <f>+S70/T70</f>
        <v>0</v>
      </c>
      <c r="V70" s="906">
        <f>+IFERROR(W70/$N70,"-")</f>
        <v>0</v>
      </c>
      <c r="W70" s="917"/>
      <c r="X70" s="918">
        <v>45716</v>
      </c>
      <c r="Y70" s="877">
        <f t="shared" si="28"/>
        <v>0</v>
      </c>
      <c r="Z70" s="877"/>
      <c r="AA70" s="883">
        <f>+EDATE(X70,1)+3</f>
        <v>45747</v>
      </c>
      <c r="AB70" s="877">
        <f t="shared" si="29"/>
        <v>0</v>
      </c>
      <c r="AC70" s="877"/>
      <c r="AD70" s="883">
        <f>+EDATE(AA70,3)</f>
        <v>45838</v>
      </c>
      <c r="AE70" s="877">
        <f t="shared" si="30"/>
        <v>0</v>
      </c>
      <c r="AF70" s="877"/>
      <c r="AG70" s="883">
        <f>+EDATE(AA70,4)</f>
        <v>45869</v>
      </c>
      <c r="AH70" s="877">
        <f t="shared" si="31"/>
        <v>0</v>
      </c>
      <c r="AI70" s="877"/>
      <c r="AJ70" s="883">
        <f>+EDATE(AA70,6)</f>
        <v>45930</v>
      </c>
      <c r="AK70" s="877">
        <f t="shared" si="12"/>
        <v>0</v>
      </c>
      <c r="AL70" s="877"/>
      <c r="AM70" s="877"/>
      <c r="AN70" s="884">
        <f t="shared" si="9"/>
        <v>345668400</v>
      </c>
      <c r="AO70" s="884">
        <f>+AN70*'ref.지급기준 (2)'!G69</f>
        <v>34566840</v>
      </c>
      <c r="AP70" s="885">
        <f t="shared" si="15"/>
        <v>45716</v>
      </c>
      <c r="AQ70" s="407"/>
      <c r="AR70" s="945">
        <f>+$AN70*'ref.지급기준 (2)'!G69</f>
        <v>34566840</v>
      </c>
      <c r="AS70" s="884">
        <f t="shared" si="11"/>
        <v>0</v>
      </c>
      <c r="AT70" s="884">
        <f>+$AN70*'ref.지급기준 (2)'!I69</f>
        <v>69133680</v>
      </c>
      <c r="AU70" s="884">
        <f t="shared" si="10"/>
        <v>0</v>
      </c>
      <c r="AV70" s="884">
        <f>+$AN70*'ref.지급기준 (2)'!K69</f>
        <v>138267360</v>
      </c>
      <c r="AW70" s="884"/>
      <c r="AX70" s="884">
        <f>+$AN70*'ref.지급기준 (2)'!M69</f>
        <v>86417100</v>
      </c>
      <c r="AY70" s="884"/>
      <c r="AZ70" s="884">
        <f>+$AN70*'ref.지급기준 (2)'!O69</f>
        <v>17283420</v>
      </c>
      <c r="BA70" s="890"/>
      <c r="BB70" s="2683"/>
      <c r="BC70" s="393"/>
      <c r="BD70" s="393" t="b">
        <f t="shared" si="6"/>
        <v>1</v>
      </c>
      <c r="BE70" s="393"/>
      <c r="BF70" s="393"/>
      <c r="BG70" s="393"/>
      <c r="BH70" s="393"/>
      <c r="BI70" s="393"/>
      <c r="BJ70" s="393"/>
      <c r="BK70" s="393"/>
      <c r="BL70" s="393"/>
      <c r="BM70" s="393"/>
      <c r="BN70" s="408"/>
      <c r="BO70" s="408"/>
    </row>
    <row r="71" spans="1:67" ht="16.5" customHeight="1">
      <c r="A71" s="394"/>
      <c r="B71" s="2624"/>
      <c r="C71" s="2636"/>
      <c r="D71" s="2636"/>
      <c r="E71" s="2641"/>
      <c r="F71" s="2633"/>
      <c r="G71" s="2650"/>
      <c r="H71" s="2652"/>
      <c r="I71" s="2654"/>
      <c r="J71" s="2654"/>
      <c r="K71" s="875" t="s">
        <v>126</v>
      </c>
      <c r="L71" s="896">
        <f>+'ref.지급기준 (2)'!F70*'ref.지급기준 (2)'!D70/'ref.지급기준 (2)'!$Q$2</f>
        <v>104747999.99999999</v>
      </c>
      <c r="M71" s="896">
        <f>+L71*10%</f>
        <v>10474800</v>
      </c>
      <c r="N71" s="1002">
        <f t="shared" si="0"/>
        <v>115222799.99999999</v>
      </c>
      <c r="O71" s="2666"/>
      <c r="P71" s="2667"/>
      <c r="Q71" s="874" t="b">
        <f t="shared" si="14"/>
        <v>1</v>
      </c>
      <c r="R71" s="908">
        <f t="shared" si="7"/>
        <v>0</v>
      </c>
      <c r="S71" s="909">
        <f t="shared" si="13"/>
        <v>0</v>
      </c>
      <c r="T71" s="2657"/>
      <c r="U71" s="914">
        <f>+S71/T70</f>
        <v>0</v>
      </c>
      <c r="V71" s="908">
        <f t="shared" ref="V71:V74" si="32">+IFERROR(W71/$N71,"-")</f>
        <v>0</v>
      </c>
      <c r="W71" s="876"/>
      <c r="X71" s="919">
        <v>45777</v>
      </c>
      <c r="Y71" s="877">
        <f t="shared" si="28"/>
        <v>0</v>
      </c>
      <c r="Z71" s="886"/>
      <c r="AA71" s="883">
        <f>EDATE(X71,1)</f>
        <v>45807</v>
      </c>
      <c r="AB71" s="877">
        <f t="shared" si="29"/>
        <v>0</v>
      </c>
      <c r="AC71" s="877"/>
      <c r="AD71" s="883">
        <f>EDATE(AA71,4)</f>
        <v>45930</v>
      </c>
      <c r="AE71" s="877">
        <f t="shared" si="30"/>
        <v>0</v>
      </c>
      <c r="AF71" s="877"/>
      <c r="AG71" s="883">
        <f>EDATE(AA71,6)</f>
        <v>45991</v>
      </c>
      <c r="AH71" s="877">
        <f t="shared" si="31"/>
        <v>0</v>
      </c>
      <c r="AI71" s="877"/>
      <c r="AJ71" s="883"/>
      <c r="AK71" s="877">
        <f t="shared" si="12"/>
        <v>0</v>
      </c>
      <c r="AL71" s="877"/>
      <c r="AM71" s="877"/>
      <c r="AN71" s="884">
        <f t="shared" si="9"/>
        <v>115222799.99999999</v>
      </c>
      <c r="AO71" s="884">
        <f>+AN71*'ref.지급기준 (2)'!G70</f>
        <v>46089120</v>
      </c>
      <c r="AP71" s="885">
        <f t="shared" si="15"/>
        <v>45777</v>
      </c>
      <c r="AQ71" s="407"/>
      <c r="AR71" s="945">
        <f>+$AN71*'ref.지급기준 (2)'!G70</f>
        <v>46089120</v>
      </c>
      <c r="AS71" s="884">
        <f t="shared" si="11"/>
        <v>0</v>
      </c>
      <c r="AT71" s="884">
        <f>+$AN71*'ref.지급기준 (2)'!I70</f>
        <v>23044560</v>
      </c>
      <c r="AU71" s="884">
        <f t="shared" si="10"/>
        <v>0</v>
      </c>
      <c r="AV71" s="884">
        <f>+$AN71*'ref.지급기준 (2)'!K70</f>
        <v>34566839.999999993</v>
      </c>
      <c r="AW71" s="884"/>
      <c r="AX71" s="884">
        <f>+$AN71*'ref.지급기준 (2)'!M70</f>
        <v>11522280</v>
      </c>
      <c r="AY71" s="884"/>
      <c r="AZ71" s="884">
        <f>+$AN71*'ref.지급기준 (2)'!O70</f>
        <v>0</v>
      </c>
      <c r="BA71" s="890"/>
      <c r="BB71" s="2683"/>
      <c r="BC71" s="393"/>
      <c r="BD71" s="393" t="b">
        <f t="shared" si="6"/>
        <v>1</v>
      </c>
      <c r="BE71" s="393"/>
      <c r="BF71" s="393"/>
      <c r="BG71" s="393"/>
      <c r="BH71" s="393"/>
      <c r="BI71" s="393"/>
      <c r="BJ71" s="393"/>
      <c r="BK71" s="393"/>
      <c r="BL71" s="393"/>
      <c r="BM71" s="393"/>
      <c r="BN71" s="408"/>
      <c r="BO71" s="408"/>
    </row>
    <row r="72" spans="1:67" ht="16.5" customHeight="1">
      <c r="A72" s="394"/>
      <c r="B72" s="2624"/>
      <c r="C72" s="2636"/>
      <c r="D72" s="2636"/>
      <c r="E72" s="2641"/>
      <c r="F72" s="2633"/>
      <c r="G72" s="2650"/>
      <c r="H72" s="2652"/>
      <c r="I72" s="2654"/>
      <c r="J72" s="2654"/>
      <c r="K72" s="875" t="s">
        <v>127</v>
      </c>
      <c r="L72" s="896">
        <f>+'ref.지급기준 (2)'!F71*'ref.지급기준 (2)'!D71/'ref.지급기준 (2)'!$Q$2</f>
        <v>89783999.999999985</v>
      </c>
      <c r="M72" s="896"/>
      <c r="N72" s="1002">
        <f t="shared" si="0"/>
        <v>89783999.999999985</v>
      </c>
      <c r="O72" s="2666"/>
      <c r="P72" s="2667"/>
      <c r="Q72" s="874" t="b">
        <f t="shared" si="14"/>
        <v>1</v>
      </c>
      <c r="R72" s="908">
        <f t="shared" si="7"/>
        <v>0</v>
      </c>
      <c r="S72" s="909">
        <f t="shared" si="13"/>
        <v>0</v>
      </c>
      <c r="T72" s="2657"/>
      <c r="U72" s="914">
        <f>+S72/T70</f>
        <v>0</v>
      </c>
      <c r="V72" s="908">
        <f t="shared" si="32"/>
        <v>0</v>
      </c>
      <c r="W72" s="876"/>
      <c r="X72" s="919">
        <f>X71</f>
        <v>45777</v>
      </c>
      <c r="Y72" s="877">
        <f t="shared" si="28"/>
        <v>0</v>
      </c>
      <c r="Z72" s="877"/>
      <c r="AA72" s="883">
        <f>AA71</f>
        <v>45807</v>
      </c>
      <c r="AB72" s="877">
        <f t="shared" si="29"/>
        <v>0</v>
      </c>
      <c r="AC72" s="877"/>
      <c r="AD72" s="883">
        <f>AD71</f>
        <v>45930</v>
      </c>
      <c r="AE72" s="877">
        <f t="shared" si="30"/>
        <v>0</v>
      </c>
      <c r="AF72" s="877"/>
      <c r="AG72" s="883">
        <f>AG71</f>
        <v>45991</v>
      </c>
      <c r="AH72" s="877">
        <f t="shared" si="31"/>
        <v>0</v>
      </c>
      <c r="AI72" s="877"/>
      <c r="AJ72" s="883"/>
      <c r="AK72" s="877">
        <f t="shared" si="12"/>
        <v>0</v>
      </c>
      <c r="AL72" s="877"/>
      <c r="AM72" s="877"/>
      <c r="AN72" s="884">
        <f t="shared" si="9"/>
        <v>89783999.999999985</v>
      </c>
      <c r="AO72" s="884">
        <f>+AN72*'ref.지급기준 (2)'!G71</f>
        <v>35913599.999999993</v>
      </c>
      <c r="AP72" s="885">
        <f t="shared" si="15"/>
        <v>45777</v>
      </c>
      <c r="AQ72" s="407"/>
      <c r="AR72" s="945">
        <f>+$AN72*'ref.지급기준 (2)'!G71</f>
        <v>35913599.999999993</v>
      </c>
      <c r="AS72" s="884">
        <f t="shared" si="11"/>
        <v>0</v>
      </c>
      <c r="AT72" s="884">
        <f>+$AN72*'ref.지급기준 (2)'!I71</f>
        <v>17956799.999999996</v>
      </c>
      <c r="AU72" s="884">
        <f t="shared" si="10"/>
        <v>0</v>
      </c>
      <c r="AV72" s="884">
        <f>+$AN72*'ref.지급기준 (2)'!K71</f>
        <v>26935199.999999996</v>
      </c>
      <c r="AW72" s="884"/>
      <c r="AX72" s="884">
        <f>+$AN72*'ref.지급기준 (2)'!M71</f>
        <v>8978399.9999999981</v>
      </c>
      <c r="AY72" s="884"/>
      <c r="AZ72" s="884">
        <f>+$AN72*'ref.지급기준 (2)'!O71</f>
        <v>0</v>
      </c>
      <c r="BA72" s="890"/>
      <c r="BB72" s="2683"/>
      <c r="BC72" s="393"/>
      <c r="BD72" s="393" t="b">
        <f t="shared" si="6"/>
        <v>1</v>
      </c>
      <c r="BE72" s="393"/>
      <c r="BF72" s="393"/>
      <c r="BG72" s="393"/>
      <c r="BH72" s="393"/>
      <c r="BI72" s="393"/>
      <c r="BJ72" s="393"/>
      <c r="BK72" s="393"/>
      <c r="BL72" s="393"/>
      <c r="BM72" s="393"/>
      <c r="BN72" s="408"/>
      <c r="BO72" s="408"/>
    </row>
    <row r="73" spans="1:67">
      <c r="A73" s="394"/>
      <c r="B73" s="2624"/>
      <c r="C73" s="2636"/>
      <c r="D73" s="2636"/>
      <c r="E73" s="2641"/>
      <c r="F73" s="2633"/>
      <c r="G73" s="2650"/>
      <c r="H73" s="2652"/>
      <c r="I73" s="2654"/>
      <c r="J73" s="2654"/>
      <c r="K73" s="875" t="s">
        <v>128</v>
      </c>
      <c r="L73" s="896">
        <f>+'ref.지급기준 (2)'!F72*'ref.지급기준 (2)'!D72/'ref.지급기준 (2)'!$Q$2</f>
        <v>59855999.999999993</v>
      </c>
      <c r="M73" s="896">
        <f t="shared" ref="M73" si="33">+L73*10%</f>
        <v>5985600</v>
      </c>
      <c r="N73" s="1002">
        <f t="shared" si="0"/>
        <v>65841599.999999993</v>
      </c>
      <c r="O73" s="2666"/>
      <c r="P73" s="2667"/>
      <c r="Q73" s="409" t="b">
        <f t="shared" si="14"/>
        <v>1</v>
      </c>
      <c r="R73" s="908">
        <f t="shared" si="7"/>
        <v>0</v>
      </c>
      <c r="S73" s="909">
        <f t="shared" si="13"/>
        <v>0</v>
      </c>
      <c r="T73" s="2657"/>
      <c r="U73" s="914">
        <f>+S73/T70</f>
        <v>0</v>
      </c>
      <c r="V73" s="908">
        <f t="shared" si="32"/>
        <v>0</v>
      </c>
      <c r="W73" s="876"/>
      <c r="X73" s="919">
        <f>X71</f>
        <v>45777</v>
      </c>
      <c r="Y73" s="877">
        <f t="shared" si="28"/>
        <v>0</v>
      </c>
      <c r="Z73" s="877"/>
      <c r="AA73" s="883">
        <f>AA71</f>
        <v>45807</v>
      </c>
      <c r="AB73" s="877">
        <f t="shared" si="29"/>
        <v>0</v>
      </c>
      <c r="AC73" s="877"/>
      <c r="AD73" s="883">
        <f>AD71</f>
        <v>45930</v>
      </c>
      <c r="AE73" s="877">
        <f t="shared" si="30"/>
        <v>0</v>
      </c>
      <c r="AF73" s="877"/>
      <c r="AG73" s="883">
        <f>AG71</f>
        <v>45991</v>
      </c>
      <c r="AH73" s="877">
        <f t="shared" si="31"/>
        <v>0</v>
      </c>
      <c r="AI73" s="877"/>
      <c r="AJ73" s="883"/>
      <c r="AK73" s="877">
        <f t="shared" si="12"/>
        <v>0</v>
      </c>
      <c r="AL73" s="877"/>
      <c r="AM73" s="877"/>
      <c r="AN73" s="884">
        <f t="shared" si="9"/>
        <v>65841599.999999993</v>
      </c>
      <c r="AO73" s="884">
        <f>+AN73*'ref.지급기준 (2)'!G72</f>
        <v>26336640</v>
      </c>
      <c r="AP73" s="885">
        <f t="shared" si="15"/>
        <v>45777</v>
      </c>
      <c r="AQ73" s="407"/>
      <c r="AR73" s="945">
        <f>+$AN73*'ref.지급기준 (2)'!G72</f>
        <v>26336640</v>
      </c>
      <c r="AS73" s="884">
        <f t="shared" si="11"/>
        <v>0</v>
      </c>
      <c r="AT73" s="884">
        <f>+$AN73*'ref.지급기준 (2)'!I72</f>
        <v>13168320</v>
      </c>
      <c r="AU73" s="884">
        <f t="shared" si="10"/>
        <v>0</v>
      </c>
      <c r="AV73" s="884">
        <f>+$AN73*'ref.지급기준 (2)'!K72</f>
        <v>19752479.999999996</v>
      </c>
      <c r="AW73" s="884"/>
      <c r="AX73" s="884">
        <f>+$AN73*'ref.지급기준 (2)'!M72</f>
        <v>6584160</v>
      </c>
      <c r="AY73" s="884"/>
      <c r="AZ73" s="884">
        <f>+$AN73*'ref.지급기준 (2)'!O72</f>
        <v>0</v>
      </c>
      <c r="BA73" s="890"/>
      <c r="BB73" s="2683"/>
      <c r="BC73" s="393"/>
      <c r="BD73" s="393" t="b">
        <f t="shared" si="6"/>
        <v>1</v>
      </c>
      <c r="BE73" s="393"/>
      <c r="BF73" s="393"/>
      <c r="BG73" s="393"/>
      <c r="BH73" s="393"/>
      <c r="BI73" s="393"/>
      <c r="BJ73" s="393"/>
      <c r="BK73" s="393"/>
      <c r="BL73" s="393"/>
      <c r="BM73" s="393"/>
      <c r="BN73" s="408"/>
      <c r="BO73" s="408"/>
    </row>
    <row r="74" spans="1:67" ht="17.25" thickBot="1">
      <c r="A74" s="394"/>
      <c r="B74" s="2624"/>
      <c r="C74" s="2637"/>
      <c r="D74" s="2637"/>
      <c r="E74" s="2642"/>
      <c r="F74" s="2634"/>
      <c r="G74" s="2651"/>
      <c r="H74" s="2653"/>
      <c r="I74" s="2655"/>
      <c r="J74" s="2655"/>
      <c r="K74" s="999" t="s">
        <v>129</v>
      </c>
      <c r="L74" s="900"/>
      <c r="M74" s="900"/>
      <c r="N74" s="1003"/>
      <c r="O74" s="2666"/>
      <c r="P74" s="2667"/>
      <c r="Q74" s="411"/>
      <c r="R74" s="936"/>
      <c r="S74" s="995"/>
      <c r="T74" s="2658"/>
      <c r="U74" s="935">
        <f>+S74/T70</f>
        <v>0</v>
      </c>
      <c r="V74" s="936" t="str">
        <f t="shared" si="32"/>
        <v>-</v>
      </c>
      <c r="W74" s="937"/>
      <c r="X74" s="937"/>
      <c r="Y74" s="937" t="str">
        <f t="shared" si="28"/>
        <v>-</v>
      </c>
      <c r="Z74" s="937"/>
      <c r="AA74" s="938"/>
      <c r="AB74" s="937" t="str">
        <f t="shared" si="29"/>
        <v>-</v>
      </c>
      <c r="AC74" s="937"/>
      <c r="AD74" s="938"/>
      <c r="AE74" s="937" t="str">
        <f t="shared" si="30"/>
        <v>-</v>
      </c>
      <c r="AF74" s="937"/>
      <c r="AG74" s="938"/>
      <c r="AH74" s="937">
        <f t="shared" si="31"/>
        <v>0</v>
      </c>
      <c r="AI74" s="937"/>
      <c r="AJ74" s="937"/>
      <c r="AK74" s="937"/>
      <c r="AL74" s="937"/>
      <c r="AM74" s="937"/>
      <c r="AN74" s="939">
        <f t="shared" si="9"/>
        <v>0</v>
      </c>
      <c r="AO74" s="939">
        <f>+AR74+AT74</f>
        <v>0</v>
      </c>
      <c r="AP74" s="940"/>
      <c r="AQ74" s="407"/>
      <c r="AR74" s="947">
        <f>+$AN74*'ref.지급기준 (2)'!G73</f>
        <v>0</v>
      </c>
      <c r="AS74" s="928">
        <f t="shared" si="11"/>
        <v>0</v>
      </c>
      <c r="AT74" s="928">
        <f>+$AN74*'ref.지급기준 (2)'!I73</f>
        <v>0</v>
      </c>
      <c r="AU74" s="928">
        <f t="shared" si="10"/>
        <v>0</v>
      </c>
      <c r="AV74" s="928">
        <f>+$AN74*'ref.지급기준 (2)'!K73</f>
        <v>0</v>
      </c>
      <c r="AW74" s="928"/>
      <c r="AX74" s="928">
        <f>+$AN74*'ref.지급기준 (2)'!M73</f>
        <v>0</v>
      </c>
      <c r="AY74" s="928"/>
      <c r="AZ74" s="928">
        <f>+$AN74*'ref.지급기준 (2)'!O73</f>
        <v>0</v>
      </c>
      <c r="BA74" s="997"/>
      <c r="BB74" s="2683"/>
      <c r="BC74" s="393"/>
      <c r="BD74" s="393"/>
      <c r="BE74" s="393"/>
      <c r="BF74" s="393"/>
      <c r="BG74" s="393"/>
      <c r="BH74" s="393"/>
      <c r="BI74" s="393"/>
      <c r="BJ74" s="393"/>
      <c r="BK74" s="393"/>
      <c r="BL74" s="393"/>
      <c r="BM74" s="393"/>
      <c r="BN74" s="408"/>
      <c r="BO74" s="408"/>
    </row>
    <row r="75" spans="1:67" ht="16.5" customHeight="1">
      <c r="A75" s="394"/>
      <c r="B75" s="2624"/>
      <c r="C75" s="2629">
        <v>4</v>
      </c>
      <c r="D75" s="2626" t="s">
        <v>1233</v>
      </c>
      <c r="E75" s="2630" t="s">
        <v>1234</v>
      </c>
      <c r="F75" s="2633" t="str">
        <f>+'ref.지급기준 (2)'!C74</f>
        <v>Galsan (SPA)</v>
      </c>
      <c r="G75" s="2649">
        <f>+'ref.지급기준 (2)'!D74</f>
        <v>993.6</v>
      </c>
      <c r="H75" s="2652">
        <f>+'Solar M&amp;A'!H17</f>
        <v>8.5699999999999998E-2</v>
      </c>
      <c r="I75" s="2654"/>
      <c r="J75" s="2654" t="s">
        <v>1213</v>
      </c>
      <c r="K75" s="891" t="s">
        <v>125</v>
      </c>
      <c r="L75" s="902">
        <f>+'ref.지급기준 (2)'!F74*'ref.지급기준 (2)'!D74/1000</f>
        <v>1043280000</v>
      </c>
      <c r="M75" s="902">
        <f>+L75*10%</f>
        <v>104328000</v>
      </c>
      <c r="N75" s="1007">
        <f t="shared" ref="N75:N78" si="34">SUM(L75:M75)</f>
        <v>1147608000</v>
      </c>
      <c r="O75" s="2659" t="s">
        <v>1235</v>
      </c>
      <c r="P75" s="2662" t="s">
        <v>1236</v>
      </c>
      <c r="Q75" s="874" t="b">
        <f t="shared" ref="Q75:Q78" si="35">+N75=AN75</f>
        <v>1</v>
      </c>
      <c r="R75" s="906">
        <f t="shared" ref="R75:R78" si="36">+IFERROR(S75/N75,"-")</f>
        <v>0</v>
      </c>
      <c r="S75" s="907">
        <f t="shared" ref="S75:S78" si="37">+IFERROR(W75+Z75+AC75+AF75+AI75+AL75,"-")</f>
        <v>0</v>
      </c>
      <c r="T75" s="2656">
        <v>1470</v>
      </c>
      <c r="U75" s="913">
        <f>+S75/T75</f>
        <v>0</v>
      </c>
      <c r="V75" s="906">
        <f>+IFERROR(W75/$N75,"-")</f>
        <v>0</v>
      </c>
      <c r="W75" s="917"/>
      <c r="X75" s="918">
        <v>45716</v>
      </c>
      <c r="Y75" s="877">
        <f t="shared" ref="Y75:Y94" si="38">+IFERROR(Z75/$N75,"-")</f>
        <v>0</v>
      </c>
      <c r="Z75" s="877"/>
      <c r="AA75" s="883">
        <f>+EDATE(X75,1)+3</f>
        <v>45747</v>
      </c>
      <c r="AB75" s="877">
        <f t="shared" ref="AB75:AB94" si="39">+IFERROR(AC75/$N75,"-")</f>
        <v>0</v>
      </c>
      <c r="AC75" s="877"/>
      <c r="AD75" s="883">
        <f>+EDATE(AA75,3)</f>
        <v>45838</v>
      </c>
      <c r="AE75" s="877">
        <f t="shared" ref="AE75:AE94" si="40">+IFERROR(AF75/$N75,"-")</f>
        <v>0</v>
      </c>
      <c r="AF75" s="877"/>
      <c r="AG75" s="883">
        <f>+EDATE(AA75,4)</f>
        <v>45869</v>
      </c>
      <c r="AH75" s="877">
        <f t="shared" ref="AH75:AH94" si="41">+IFERROR(AI75/$N$6,"-")</f>
        <v>0</v>
      </c>
      <c r="AI75" s="877"/>
      <c r="AJ75" s="883">
        <f>+EDATE(AA75,6)</f>
        <v>45930</v>
      </c>
      <c r="AK75" s="877">
        <f t="shared" ref="AK75:AK78" si="42">+IFERROR(AL75/$N$6,"-")</f>
        <v>0</v>
      </c>
      <c r="AL75" s="877"/>
      <c r="AM75" s="877"/>
      <c r="AN75" s="884">
        <f t="shared" ref="AN75:AN94" si="43">+N75</f>
        <v>1147608000</v>
      </c>
      <c r="AO75" s="884">
        <f>+AN75*'ref.지급기준 (2)'!G74</f>
        <v>114760800</v>
      </c>
      <c r="AP75" s="885">
        <f t="shared" ref="AP75:AP78" si="44">+X75</f>
        <v>45716</v>
      </c>
      <c r="AQ75" s="407"/>
      <c r="AR75" s="945">
        <f>+$AN75*'ref.지급기준 (2)'!G74</f>
        <v>114760800</v>
      </c>
      <c r="AS75" s="884">
        <f t="shared" ref="AS75:AS94" si="45">+W75</f>
        <v>0</v>
      </c>
      <c r="AT75" s="884">
        <f>+$AN75*'ref.지급기준 (2)'!I74</f>
        <v>229521600</v>
      </c>
      <c r="AU75" s="884">
        <f t="shared" ref="AU75:AU94" si="46">+Z75</f>
        <v>0</v>
      </c>
      <c r="AV75" s="884">
        <f>+$AN75*'ref.지급기준 (2)'!K74</f>
        <v>459043200</v>
      </c>
      <c r="AW75" s="884"/>
      <c r="AX75" s="884">
        <f>+$AN75*'ref.지급기준 (2)'!M74</f>
        <v>286902000</v>
      </c>
      <c r="AY75" s="884"/>
      <c r="AZ75" s="884">
        <f>+$AN75*'ref.지급기준 (2)'!O74</f>
        <v>57380400</v>
      </c>
      <c r="BA75" s="890"/>
      <c r="BC75" s="393"/>
      <c r="BD75" s="393" t="b">
        <f t="shared" ref="BD75:BD78" si="47">+(AZ75+AX75+AV75+AT75+AR75)=N75</f>
        <v>1</v>
      </c>
      <c r="BE75" s="393"/>
      <c r="BF75" s="393"/>
      <c r="BG75" s="393"/>
      <c r="BH75" s="393"/>
      <c r="BI75" s="393"/>
      <c r="BJ75" s="393"/>
      <c r="BK75" s="393"/>
      <c r="BL75" s="393"/>
      <c r="BM75" s="393"/>
      <c r="BN75" s="408"/>
      <c r="BO75" s="408"/>
    </row>
    <row r="76" spans="1:67" ht="16.5" customHeight="1">
      <c r="A76" s="394"/>
      <c r="B76" s="2624"/>
      <c r="C76" s="2627"/>
      <c r="D76" s="2627"/>
      <c r="E76" s="2631"/>
      <c r="F76" s="2633"/>
      <c r="G76" s="2650"/>
      <c r="H76" s="2652"/>
      <c r="I76" s="2654"/>
      <c r="J76" s="2654"/>
      <c r="K76" s="875" t="s">
        <v>126</v>
      </c>
      <c r="L76" s="896">
        <f>+'ref.지급기준 (2)'!F75*'ref.지급기준 (2)'!D75/1000</f>
        <v>149040000</v>
      </c>
      <c r="M76" s="896">
        <v>0</v>
      </c>
      <c r="N76" s="1002">
        <f t="shared" si="34"/>
        <v>149040000</v>
      </c>
      <c r="O76" s="2660"/>
      <c r="P76" s="2663"/>
      <c r="Q76" s="874" t="b">
        <f t="shared" si="35"/>
        <v>1</v>
      </c>
      <c r="R76" s="908">
        <f t="shared" si="36"/>
        <v>0</v>
      </c>
      <c r="S76" s="909">
        <f t="shared" si="37"/>
        <v>0</v>
      </c>
      <c r="T76" s="2657"/>
      <c r="U76" s="914">
        <f>+S76/T75</f>
        <v>0</v>
      </c>
      <c r="V76" s="908">
        <f t="shared" ref="V76:V79" si="48">+IFERROR(W76/$N76,"-")</f>
        <v>0</v>
      </c>
      <c r="W76" s="876"/>
      <c r="X76" s="919">
        <v>45777</v>
      </c>
      <c r="Y76" s="877">
        <f t="shared" si="38"/>
        <v>0</v>
      </c>
      <c r="Z76" s="886"/>
      <c r="AA76" s="883">
        <f>EDATE(X76,1)</f>
        <v>45807</v>
      </c>
      <c r="AB76" s="877">
        <f t="shared" si="39"/>
        <v>0</v>
      </c>
      <c r="AC76" s="877"/>
      <c r="AD76" s="883">
        <f>EDATE(AA76,4)</f>
        <v>45930</v>
      </c>
      <c r="AE76" s="877">
        <f t="shared" si="40"/>
        <v>0</v>
      </c>
      <c r="AF76" s="877"/>
      <c r="AG76" s="883">
        <f>EDATE(AA76,6)</f>
        <v>45991</v>
      </c>
      <c r="AH76" s="877">
        <f t="shared" si="41"/>
        <v>0</v>
      </c>
      <c r="AI76" s="877"/>
      <c r="AJ76" s="883"/>
      <c r="AK76" s="877">
        <f t="shared" si="42"/>
        <v>0</v>
      </c>
      <c r="AL76" s="877"/>
      <c r="AM76" s="877"/>
      <c r="AN76" s="884">
        <f t="shared" si="43"/>
        <v>149040000</v>
      </c>
      <c r="AO76" s="884">
        <f>+AN76*'ref.지급기준 (2)'!G75</f>
        <v>119232000</v>
      </c>
      <c r="AP76" s="885">
        <f t="shared" si="44"/>
        <v>45777</v>
      </c>
      <c r="AQ76" s="407"/>
      <c r="AR76" s="945">
        <f>+$AN76*'ref.지급기준 (2)'!G75</f>
        <v>119232000</v>
      </c>
      <c r="AS76" s="884">
        <f t="shared" si="45"/>
        <v>0</v>
      </c>
      <c r="AT76" s="884">
        <f>+$AN76*'ref.지급기준 (2)'!I75</f>
        <v>0</v>
      </c>
      <c r="AU76" s="884">
        <f t="shared" si="46"/>
        <v>0</v>
      </c>
      <c r="AV76" s="884">
        <f>+$AN76*'ref.지급기준 (2)'!K75</f>
        <v>0</v>
      </c>
      <c r="AW76" s="884"/>
      <c r="AX76" s="884">
        <f>+$AN76*'ref.지급기준 (2)'!M75</f>
        <v>29808000</v>
      </c>
      <c r="AY76" s="884"/>
      <c r="AZ76" s="884">
        <f>+$AN76*'ref.지급기준 (2)'!O75</f>
        <v>0</v>
      </c>
      <c r="BA76" s="890"/>
      <c r="BC76" s="393"/>
      <c r="BD76" s="393" t="b">
        <f t="shared" si="47"/>
        <v>1</v>
      </c>
      <c r="BE76" s="393"/>
      <c r="BF76" s="393"/>
      <c r="BG76" s="393"/>
      <c r="BH76" s="393"/>
      <c r="BI76" s="393"/>
      <c r="BJ76" s="393"/>
      <c r="BK76" s="393"/>
      <c r="BL76" s="393"/>
      <c r="BM76" s="393"/>
      <c r="BN76" s="408"/>
      <c r="BO76" s="408"/>
    </row>
    <row r="77" spans="1:67" ht="16.5" customHeight="1">
      <c r="A77" s="394"/>
      <c r="B77" s="2624"/>
      <c r="C77" s="2627"/>
      <c r="D77" s="2627"/>
      <c r="E77" s="2631"/>
      <c r="F77" s="2633"/>
      <c r="G77" s="2650"/>
      <c r="H77" s="2652"/>
      <c r="I77" s="2654"/>
      <c r="J77" s="2654"/>
      <c r="K77" s="875" t="s">
        <v>127</v>
      </c>
      <c r="L77" s="896">
        <f>+'ref.지급기준 (2)'!F76*'ref.지급기준 (2)'!D76/1000</f>
        <v>298080000</v>
      </c>
      <c r="M77" s="896">
        <v>0</v>
      </c>
      <c r="N77" s="1002">
        <f t="shared" si="34"/>
        <v>298080000</v>
      </c>
      <c r="O77" s="2660"/>
      <c r="P77" s="2663"/>
      <c r="Q77" s="874" t="b">
        <f t="shared" si="35"/>
        <v>1</v>
      </c>
      <c r="R77" s="908">
        <f t="shared" si="36"/>
        <v>0</v>
      </c>
      <c r="S77" s="909">
        <f t="shared" si="37"/>
        <v>0</v>
      </c>
      <c r="T77" s="2657"/>
      <c r="U77" s="914">
        <f>+S77/T75</f>
        <v>0</v>
      </c>
      <c r="V77" s="908">
        <f t="shared" si="48"/>
        <v>0</v>
      </c>
      <c r="W77" s="876"/>
      <c r="X77" s="919">
        <f>X76</f>
        <v>45777</v>
      </c>
      <c r="Y77" s="877">
        <f t="shared" si="38"/>
        <v>0</v>
      </c>
      <c r="Z77" s="877"/>
      <c r="AA77" s="883">
        <f>AA76</f>
        <v>45807</v>
      </c>
      <c r="AB77" s="877">
        <f t="shared" si="39"/>
        <v>0</v>
      </c>
      <c r="AC77" s="877"/>
      <c r="AD77" s="883">
        <f>AD76</f>
        <v>45930</v>
      </c>
      <c r="AE77" s="877">
        <f t="shared" si="40"/>
        <v>0</v>
      </c>
      <c r="AF77" s="877"/>
      <c r="AG77" s="883">
        <f>AG76</f>
        <v>45991</v>
      </c>
      <c r="AH77" s="877">
        <f t="shared" si="41"/>
        <v>0</v>
      </c>
      <c r="AI77" s="877"/>
      <c r="AJ77" s="883"/>
      <c r="AK77" s="877">
        <f t="shared" si="42"/>
        <v>0</v>
      </c>
      <c r="AL77" s="877"/>
      <c r="AM77" s="877"/>
      <c r="AN77" s="884">
        <f t="shared" si="43"/>
        <v>298080000</v>
      </c>
      <c r="AO77" s="884">
        <f>+AN77*'ref.지급기준 (2)'!G76</f>
        <v>238464000</v>
      </c>
      <c r="AP77" s="885">
        <f t="shared" si="44"/>
        <v>45777</v>
      </c>
      <c r="AQ77" s="407"/>
      <c r="AR77" s="945">
        <f>+$AN77*'ref.지급기준 (2)'!G76</f>
        <v>238464000</v>
      </c>
      <c r="AS77" s="884">
        <f t="shared" si="45"/>
        <v>0</v>
      </c>
      <c r="AT77" s="884">
        <f>+$AN77*'ref.지급기준 (2)'!I76</f>
        <v>0</v>
      </c>
      <c r="AU77" s="884">
        <f t="shared" si="46"/>
        <v>0</v>
      </c>
      <c r="AV77" s="884">
        <f>+$AN77*'ref.지급기준 (2)'!K76</f>
        <v>0</v>
      </c>
      <c r="AW77" s="884"/>
      <c r="AX77" s="884">
        <f>+$AN77*'ref.지급기준 (2)'!M76</f>
        <v>59616000</v>
      </c>
      <c r="AY77" s="884"/>
      <c r="AZ77" s="884">
        <f>+$AN77*'ref.지급기준 (2)'!O76</f>
        <v>0</v>
      </c>
      <c r="BA77" s="890"/>
      <c r="BC77" s="393"/>
      <c r="BD77" s="393" t="b">
        <f t="shared" si="47"/>
        <v>1</v>
      </c>
      <c r="BE77" s="393"/>
      <c r="BF77" s="393"/>
      <c r="BG77" s="393"/>
      <c r="BH77" s="393"/>
      <c r="BI77" s="393"/>
      <c r="BJ77" s="393"/>
      <c r="BK77" s="393"/>
      <c r="BL77" s="393"/>
      <c r="BM77" s="393"/>
      <c r="BN77" s="408"/>
      <c r="BO77" s="408"/>
    </row>
    <row r="78" spans="1:67">
      <c r="A78" s="394"/>
      <c r="B78" s="2624"/>
      <c r="C78" s="2627"/>
      <c r="D78" s="2627"/>
      <c r="E78" s="2631"/>
      <c r="F78" s="2633"/>
      <c r="G78" s="2650"/>
      <c r="H78" s="2652"/>
      <c r="I78" s="2654"/>
      <c r="J78" s="2654"/>
      <c r="K78" s="875" t="s">
        <v>128</v>
      </c>
      <c r="L78" s="896">
        <f>+'ref.지급기준 (2)'!F77*'ref.지급기준 (2)'!D77/1000</f>
        <v>198720000</v>
      </c>
      <c r="M78" s="896">
        <v>0</v>
      </c>
      <c r="N78" s="1002">
        <f t="shared" si="34"/>
        <v>198720000</v>
      </c>
      <c r="O78" s="2660"/>
      <c r="P78" s="2663"/>
      <c r="Q78" s="409" t="b">
        <f t="shared" si="35"/>
        <v>1</v>
      </c>
      <c r="R78" s="908">
        <f t="shared" si="36"/>
        <v>0</v>
      </c>
      <c r="S78" s="909">
        <f t="shared" si="37"/>
        <v>0</v>
      </c>
      <c r="T78" s="2657"/>
      <c r="U78" s="914">
        <f>+S78/T75</f>
        <v>0</v>
      </c>
      <c r="V78" s="908">
        <f t="shared" si="48"/>
        <v>0</v>
      </c>
      <c r="W78" s="876"/>
      <c r="X78" s="919">
        <f>X76</f>
        <v>45777</v>
      </c>
      <c r="Y78" s="877">
        <f t="shared" si="38"/>
        <v>0</v>
      </c>
      <c r="Z78" s="877"/>
      <c r="AA78" s="883">
        <f>AA76</f>
        <v>45807</v>
      </c>
      <c r="AB78" s="877">
        <f t="shared" si="39"/>
        <v>0</v>
      </c>
      <c r="AC78" s="877"/>
      <c r="AD78" s="883">
        <f>AD76</f>
        <v>45930</v>
      </c>
      <c r="AE78" s="877">
        <f t="shared" si="40"/>
        <v>0</v>
      </c>
      <c r="AF78" s="877"/>
      <c r="AG78" s="883">
        <f>AG76</f>
        <v>45991</v>
      </c>
      <c r="AH78" s="877">
        <f t="shared" si="41"/>
        <v>0</v>
      </c>
      <c r="AI78" s="877"/>
      <c r="AJ78" s="883"/>
      <c r="AK78" s="877">
        <f t="shared" si="42"/>
        <v>0</v>
      </c>
      <c r="AL78" s="877"/>
      <c r="AM78" s="877"/>
      <c r="AN78" s="884">
        <f t="shared" si="43"/>
        <v>198720000</v>
      </c>
      <c r="AO78" s="884">
        <f>+AN78*'ref.지급기준 (2)'!G77</f>
        <v>158976000</v>
      </c>
      <c r="AP78" s="885">
        <f t="shared" si="44"/>
        <v>45777</v>
      </c>
      <c r="AQ78" s="407"/>
      <c r="AR78" s="945">
        <f>+$AN78*'ref.지급기준 (2)'!G77</f>
        <v>158976000</v>
      </c>
      <c r="AS78" s="884">
        <f t="shared" si="45"/>
        <v>0</v>
      </c>
      <c r="AT78" s="884">
        <f>+$AN78*'ref.지급기준 (2)'!I77</f>
        <v>0</v>
      </c>
      <c r="AU78" s="884">
        <f t="shared" si="46"/>
        <v>0</v>
      </c>
      <c r="AV78" s="884">
        <f>+$AN78*'ref.지급기준 (2)'!K77</f>
        <v>0</v>
      </c>
      <c r="AW78" s="884"/>
      <c r="AX78" s="884">
        <f>+$AN78*'ref.지급기준 (2)'!M77</f>
        <v>39744000</v>
      </c>
      <c r="AY78" s="884"/>
      <c r="AZ78" s="884">
        <f>+$AN78*'ref.지급기준 (2)'!O77</f>
        <v>0</v>
      </c>
      <c r="BA78" s="890"/>
      <c r="BC78" s="393"/>
      <c r="BD78" s="393" t="b">
        <f t="shared" si="47"/>
        <v>1</v>
      </c>
      <c r="BE78" s="393"/>
      <c r="BF78" s="393"/>
      <c r="BG78" s="393"/>
      <c r="BH78" s="393"/>
      <c r="BI78" s="393"/>
      <c r="BJ78" s="393"/>
      <c r="BK78" s="393"/>
      <c r="BL78" s="393"/>
      <c r="BM78" s="393"/>
      <c r="BN78" s="408"/>
      <c r="BO78" s="408"/>
    </row>
    <row r="79" spans="1:67" ht="17.25" thickBot="1">
      <c r="A79" s="394"/>
      <c r="B79" s="2624"/>
      <c r="C79" s="2627"/>
      <c r="D79" s="2627"/>
      <c r="E79" s="2631"/>
      <c r="F79" s="2634"/>
      <c r="G79" s="2651"/>
      <c r="H79" s="2653"/>
      <c r="I79" s="2655"/>
      <c r="J79" s="2655"/>
      <c r="K79" s="999" t="s">
        <v>129</v>
      </c>
      <c r="L79" s="900">
        <f>+'ref.지급기준 (2)'!F78*'ref.지급기준 (2)'!D78/1000</f>
        <v>0</v>
      </c>
      <c r="M79" s="900"/>
      <c r="N79" s="1003"/>
      <c r="O79" s="2660"/>
      <c r="P79" s="2663"/>
      <c r="Q79" s="411"/>
      <c r="R79" s="936"/>
      <c r="S79" s="995"/>
      <c r="T79" s="2658"/>
      <c r="U79" s="935">
        <f>+S79/T75</f>
        <v>0</v>
      </c>
      <c r="V79" s="936" t="str">
        <f t="shared" si="48"/>
        <v>-</v>
      </c>
      <c r="W79" s="937"/>
      <c r="X79" s="937"/>
      <c r="Y79" s="937" t="str">
        <f t="shared" si="38"/>
        <v>-</v>
      </c>
      <c r="Z79" s="937"/>
      <c r="AA79" s="938"/>
      <c r="AB79" s="937" t="str">
        <f t="shared" si="39"/>
        <v>-</v>
      </c>
      <c r="AC79" s="937"/>
      <c r="AD79" s="938"/>
      <c r="AE79" s="937" t="str">
        <f t="shared" si="40"/>
        <v>-</v>
      </c>
      <c r="AF79" s="937"/>
      <c r="AG79" s="938"/>
      <c r="AH79" s="937">
        <f t="shared" si="41"/>
        <v>0</v>
      </c>
      <c r="AI79" s="937"/>
      <c r="AJ79" s="937"/>
      <c r="AK79" s="937"/>
      <c r="AL79" s="937"/>
      <c r="AM79" s="937"/>
      <c r="AN79" s="939">
        <f t="shared" si="43"/>
        <v>0</v>
      </c>
      <c r="AO79" s="939">
        <f>+AR79+AT79</f>
        <v>0</v>
      </c>
      <c r="AP79" s="940"/>
      <c r="AQ79" s="407"/>
      <c r="AR79" s="947">
        <f>+$AN79*'ref.지급기준 (2)'!G78</f>
        <v>0</v>
      </c>
      <c r="AS79" s="928">
        <f t="shared" si="45"/>
        <v>0</v>
      </c>
      <c r="AT79" s="928">
        <f>+$AN79*'ref.지급기준 (2)'!I78</f>
        <v>0</v>
      </c>
      <c r="AU79" s="928">
        <f t="shared" si="46"/>
        <v>0</v>
      </c>
      <c r="AV79" s="928">
        <f>+$AN79*'ref.지급기준 (2)'!K78</f>
        <v>0</v>
      </c>
      <c r="AW79" s="928"/>
      <c r="AX79" s="928">
        <f>+$AN79*'ref.지급기준 (2)'!M78</f>
        <v>0</v>
      </c>
      <c r="AY79" s="928"/>
      <c r="AZ79" s="928">
        <f>+$AN79*'ref.지급기준 (2)'!O78</f>
        <v>0</v>
      </c>
      <c r="BA79" s="997"/>
      <c r="BC79" s="393"/>
      <c r="BD79" s="393"/>
      <c r="BE79" s="393"/>
      <c r="BF79" s="393"/>
      <c r="BG79" s="393"/>
      <c r="BH79" s="393"/>
      <c r="BI79" s="393"/>
      <c r="BJ79" s="393"/>
      <c r="BK79" s="393"/>
      <c r="BL79" s="393"/>
      <c r="BM79" s="393"/>
      <c r="BN79" s="408"/>
      <c r="BO79" s="408"/>
    </row>
    <row r="80" spans="1:67" ht="16.5" customHeight="1">
      <c r="A80" s="394"/>
      <c r="B80" s="2624"/>
      <c r="C80" s="2627"/>
      <c r="D80" s="2627"/>
      <c r="E80" s="2631"/>
      <c r="F80" s="2633" t="str">
        <f>+'ref.지급기준 (2)'!C79</f>
        <v>Mineuri (SPA)</v>
      </c>
      <c r="G80" s="2649">
        <f>+'ref.지급기준 (2)'!D79</f>
        <v>993.6</v>
      </c>
      <c r="H80" s="2652">
        <f>+'Solar M&amp;A'!H18</f>
        <v>9.7699999999999995E-2</v>
      </c>
      <c r="I80" s="2654"/>
      <c r="J80" s="2654" t="s">
        <v>1213</v>
      </c>
      <c r="K80" s="891" t="s">
        <v>125</v>
      </c>
      <c r="L80" s="902">
        <f>+'ref.지급기준 (2)'!F79*'ref.지급기준 (2)'!D79/1000</f>
        <v>1043280000</v>
      </c>
      <c r="M80" s="902">
        <f>+L80*10%</f>
        <v>104328000</v>
      </c>
      <c r="N80" s="1007">
        <f t="shared" ref="N80:N83" si="49">SUM(L80:M80)</f>
        <v>1147608000</v>
      </c>
      <c r="O80" s="2660"/>
      <c r="P80" s="2663"/>
      <c r="Q80" s="874" t="b">
        <f t="shared" ref="Q80:Q83" si="50">+N80=AN80</f>
        <v>1</v>
      </c>
      <c r="R80" s="906">
        <f t="shared" ref="R80:R83" si="51">+IFERROR(S80/N80,"-")</f>
        <v>0</v>
      </c>
      <c r="S80" s="907">
        <f t="shared" ref="S80:S83" si="52">+IFERROR(W80+Z80+AC80+AF80+AI80+AL80,"-")</f>
        <v>0</v>
      </c>
      <c r="T80" s="2656">
        <v>1470</v>
      </c>
      <c r="U80" s="913">
        <f>+S80/T80</f>
        <v>0</v>
      </c>
      <c r="V80" s="906">
        <f>+IFERROR(W80/$N80,"-")</f>
        <v>0</v>
      </c>
      <c r="W80" s="917"/>
      <c r="X80" s="918">
        <v>45716</v>
      </c>
      <c r="Y80" s="877">
        <f t="shared" si="38"/>
        <v>0</v>
      </c>
      <c r="Z80" s="877"/>
      <c r="AA80" s="883">
        <f>+EDATE(X80,1)+3</f>
        <v>45747</v>
      </c>
      <c r="AB80" s="877">
        <f t="shared" si="39"/>
        <v>0</v>
      </c>
      <c r="AC80" s="877"/>
      <c r="AD80" s="883">
        <f>+EDATE(AA80,3)</f>
        <v>45838</v>
      </c>
      <c r="AE80" s="877">
        <f t="shared" si="40"/>
        <v>0</v>
      </c>
      <c r="AF80" s="877"/>
      <c r="AG80" s="883">
        <f>+EDATE(AA80,4)</f>
        <v>45869</v>
      </c>
      <c r="AH80" s="877">
        <f t="shared" si="41"/>
        <v>0</v>
      </c>
      <c r="AI80" s="877"/>
      <c r="AJ80" s="883">
        <f>+EDATE(AA80,6)</f>
        <v>45930</v>
      </c>
      <c r="AK80" s="877">
        <f t="shared" ref="AK80:AK83" si="53">+IFERROR(AL80/$N$6,"-")</f>
        <v>0</v>
      </c>
      <c r="AL80" s="877"/>
      <c r="AM80" s="877"/>
      <c r="AN80" s="884">
        <f t="shared" si="43"/>
        <v>1147608000</v>
      </c>
      <c r="AO80" s="884">
        <f>+AN80*'ref.지급기준 (2)'!G79</f>
        <v>114760800</v>
      </c>
      <c r="AP80" s="885">
        <f t="shared" ref="AP80:AP83" si="54">+X80</f>
        <v>45716</v>
      </c>
      <c r="AQ80" s="407"/>
      <c r="AR80" s="945">
        <f>+$AN80*'ref.지급기준 (2)'!G79</f>
        <v>114760800</v>
      </c>
      <c r="AS80" s="884">
        <f t="shared" si="45"/>
        <v>0</v>
      </c>
      <c r="AT80" s="884">
        <f>+$AN80*'ref.지급기준 (2)'!I79</f>
        <v>229521600</v>
      </c>
      <c r="AU80" s="884">
        <f t="shared" si="46"/>
        <v>0</v>
      </c>
      <c r="AV80" s="884">
        <f>+$AN80*'ref.지급기준 (2)'!K79</f>
        <v>459043200</v>
      </c>
      <c r="AW80" s="884"/>
      <c r="AX80" s="884">
        <f>+$AN80*'ref.지급기준 (2)'!M79</f>
        <v>286902000</v>
      </c>
      <c r="AY80" s="884"/>
      <c r="AZ80" s="884">
        <f>+$AN80*'ref.지급기준 (2)'!O79</f>
        <v>57380400</v>
      </c>
      <c r="BA80" s="890"/>
      <c r="BC80" s="393"/>
      <c r="BD80" s="393" t="b">
        <f t="shared" ref="BD80:BD83" si="55">+(AZ80+AX80+AV80+AT80+AR80)=N80</f>
        <v>1</v>
      </c>
      <c r="BE80" s="393"/>
      <c r="BF80" s="393"/>
      <c r="BG80" s="393"/>
      <c r="BH80" s="393"/>
      <c r="BI80" s="393"/>
      <c r="BJ80" s="393"/>
      <c r="BK80" s="393"/>
      <c r="BL80" s="393"/>
      <c r="BM80" s="393"/>
      <c r="BN80" s="408"/>
      <c r="BO80" s="408"/>
    </row>
    <row r="81" spans="1:67" ht="16.5" customHeight="1">
      <c r="A81" s="394"/>
      <c r="B81" s="2624"/>
      <c r="C81" s="2627"/>
      <c r="D81" s="2627"/>
      <c r="E81" s="2631"/>
      <c r="F81" s="2633"/>
      <c r="G81" s="2650"/>
      <c r="H81" s="2652"/>
      <c r="I81" s="2654"/>
      <c r="J81" s="2654"/>
      <c r="K81" s="875" t="s">
        <v>126</v>
      </c>
      <c r="L81" s="896">
        <f>+'ref.지급기준 (2)'!F80*'ref.지급기준 (2)'!D80/1000</f>
        <v>149040000</v>
      </c>
      <c r="M81" s="896">
        <v>0</v>
      </c>
      <c r="N81" s="1002">
        <f t="shared" si="49"/>
        <v>149040000</v>
      </c>
      <c r="O81" s="2660"/>
      <c r="P81" s="2663"/>
      <c r="Q81" s="874" t="b">
        <f t="shared" si="50"/>
        <v>1</v>
      </c>
      <c r="R81" s="908">
        <f t="shared" si="51"/>
        <v>0</v>
      </c>
      <c r="S81" s="909">
        <f t="shared" si="52"/>
        <v>0</v>
      </c>
      <c r="T81" s="2657"/>
      <c r="U81" s="914">
        <f>+S81/T80</f>
        <v>0</v>
      </c>
      <c r="V81" s="908">
        <f t="shared" ref="V81:V84" si="56">+IFERROR(W81/$N81,"-")</f>
        <v>0</v>
      </c>
      <c r="W81" s="876"/>
      <c r="X81" s="919">
        <v>45777</v>
      </c>
      <c r="Y81" s="877">
        <f t="shared" si="38"/>
        <v>0</v>
      </c>
      <c r="Z81" s="886"/>
      <c r="AA81" s="883">
        <f>EDATE(X81,1)</f>
        <v>45807</v>
      </c>
      <c r="AB81" s="877">
        <f t="shared" si="39"/>
        <v>0</v>
      </c>
      <c r="AC81" s="877"/>
      <c r="AD81" s="883">
        <f>EDATE(AA81,4)</f>
        <v>45930</v>
      </c>
      <c r="AE81" s="877">
        <f t="shared" si="40"/>
        <v>0</v>
      </c>
      <c r="AF81" s="877"/>
      <c r="AG81" s="883">
        <f>EDATE(AA81,6)</f>
        <v>45991</v>
      </c>
      <c r="AH81" s="877">
        <f t="shared" si="41"/>
        <v>0</v>
      </c>
      <c r="AI81" s="877"/>
      <c r="AJ81" s="883"/>
      <c r="AK81" s="877">
        <f t="shared" si="53"/>
        <v>0</v>
      </c>
      <c r="AL81" s="877"/>
      <c r="AM81" s="877"/>
      <c r="AN81" s="884">
        <f t="shared" si="43"/>
        <v>149040000</v>
      </c>
      <c r="AO81" s="884">
        <f>+AN81*'ref.지급기준 (2)'!G80</f>
        <v>119232000</v>
      </c>
      <c r="AP81" s="885">
        <f t="shared" si="54"/>
        <v>45777</v>
      </c>
      <c r="AQ81" s="407"/>
      <c r="AR81" s="945">
        <f>+$AN81*'ref.지급기준 (2)'!G80</f>
        <v>119232000</v>
      </c>
      <c r="AS81" s="884">
        <f t="shared" si="45"/>
        <v>0</v>
      </c>
      <c r="AT81" s="884">
        <f>+$AN81*'ref.지급기준 (2)'!I80</f>
        <v>0</v>
      </c>
      <c r="AU81" s="884">
        <f t="shared" si="46"/>
        <v>0</v>
      </c>
      <c r="AV81" s="884">
        <f>+$AN81*'ref.지급기준 (2)'!K80</f>
        <v>0</v>
      </c>
      <c r="AW81" s="884"/>
      <c r="AX81" s="884">
        <f>+$AN81*'ref.지급기준 (2)'!M80</f>
        <v>29808000</v>
      </c>
      <c r="AY81" s="884"/>
      <c r="AZ81" s="884">
        <f>+$AN81*'ref.지급기준 (2)'!O80</f>
        <v>0</v>
      </c>
      <c r="BA81" s="890"/>
      <c r="BC81" s="393"/>
      <c r="BD81" s="393" t="b">
        <f t="shared" si="55"/>
        <v>1</v>
      </c>
      <c r="BE81" s="393"/>
      <c r="BF81" s="393"/>
      <c r="BG81" s="393"/>
      <c r="BH81" s="393"/>
      <c r="BI81" s="393"/>
      <c r="BJ81" s="393"/>
      <c r="BK81" s="393"/>
      <c r="BL81" s="393"/>
      <c r="BM81" s="393"/>
      <c r="BN81" s="408"/>
      <c r="BO81" s="408"/>
    </row>
    <row r="82" spans="1:67" ht="16.5" customHeight="1">
      <c r="A82" s="394"/>
      <c r="B82" s="2624"/>
      <c r="C82" s="2627"/>
      <c r="D82" s="2627"/>
      <c r="E82" s="2631"/>
      <c r="F82" s="2633"/>
      <c r="G82" s="2650"/>
      <c r="H82" s="2652"/>
      <c r="I82" s="2654"/>
      <c r="J82" s="2654"/>
      <c r="K82" s="875" t="s">
        <v>127</v>
      </c>
      <c r="L82" s="896">
        <f>+'ref.지급기준 (2)'!F81*'ref.지급기준 (2)'!D81/1000</f>
        <v>298080000</v>
      </c>
      <c r="M82" s="896">
        <v>0</v>
      </c>
      <c r="N82" s="1002">
        <f t="shared" si="49"/>
        <v>298080000</v>
      </c>
      <c r="O82" s="2660"/>
      <c r="P82" s="2663"/>
      <c r="Q82" s="874" t="b">
        <f t="shared" si="50"/>
        <v>1</v>
      </c>
      <c r="R82" s="908">
        <f t="shared" si="51"/>
        <v>0</v>
      </c>
      <c r="S82" s="909">
        <f t="shared" si="52"/>
        <v>0</v>
      </c>
      <c r="T82" s="2657"/>
      <c r="U82" s="914">
        <f>+S82/T80</f>
        <v>0</v>
      </c>
      <c r="V82" s="908">
        <f t="shared" si="56"/>
        <v>0</v>
      </c>
      <c r="W82" s="876"/>
      <c r="X82" s="919">
        <f>X81</f>
        <v>45777</v>
      </c>
      <c r="Y82" s="877">
        <f t="shared" si="38"/>
        <v>0</v>
      </c>
      <c r="Z82" s="877"/>
      <c r="AA82" s="883">
        <f>AA81</f>
        <v>45807</v>
      </c>
      <c r="AB82" s="877">
        <f t="shared" si="39"/>
        <v>0</v>
      </c>
      <c r="AC82" s="877"/>
      <c r="AD82" s="883">
        <f>AD81</f>
        <v>45930</v>
      </c>
      <c r="AE82" s="877">
        <f t="shared" si="40"/>
        <v>0</v>
      </c>
      <c r="AF82" s="877"/>
      <c r="AG82" s="883">
        <f>AG81</f>
        <v>45991</v>
      </c>
      <c r="AH82" s="877">
        <f t="shared" si="41"/>
        <v>0</v>
      </c>
      <c r="AI82" s="877"/>
      <c r="AJ82" s="883"/>
      <c r="AK82" s="877">
        <f t="shared" si="53"/>
        <v>0</v>
      </c>
      <c r="AL82" s="877"/>
      <c r="AM82" s="877"/>
      <c r="AN82" s="884">
        <f t="shared" si="43"/>
        <v>298080000</v>
      </c>
      <c r="AO82" s="884">
        <f>+AN82*'ref.지급기준 (2)'!G81</f>
        <v>238464000</v>
      </c>
      <c r="AP82" s="885">
        <f t="shared" si="54"/>
        <v>45777</v>
      </c>
      <c r="AQ82" s="407"/>
      <c r="AR82" s="945">
        <f>+$AN82*'ref.지급기준 (2)'!G81</f>
        <v>238464000</v>
      </c>
      <c r="AS82" s="884">
        <f t="shared" si="45"/>
        <v>0</v>
      </c>
      <c r="AT82" s="884">
        <f>+$AN82*'ref.지급기준 (2)'!I81</f>
        <v>0</v>
      </c>
      <c r="AU82" s="884">
        <f t="shared" si="46"/>
        <v>0</v>
      </c>
      <c r="AV82" s="884">
        <f>+$AN82*'ref.지급기준 (2)'!K81</f>
        <v>0</v>
      </c>
      <c r="AW82" s="884"/>
      <c r="AX82" s="884">
        <f>+$AN82*'ref.지급기준 (2)'!M81</f>
        <v>59616000</v>
      </c>
      <c r="AY82" s="884"/>
      <c r="AZ82" s="884">
        <f>+$AN82*'ref.지급기준 (2)'!O81</f>
        <v>0</v>
      </c>
      <c r="BA82" s="890"/>
      <c r="BC82" s="393"/>
      <c r="BD82" s="393" t="b">
        <f t="shared" si="55"/>
        <v>1</v>
      </c>
      <c r="BE82" s="393"/>
      <c r="BF82" s="393"/>
      <c r="BG82" s="393"/>
      <c r="BH82" s="393"/>
      <c r="BI82" s="393"/>
      <c r="BJ82" s="393"/>
      <c r="BK82" s="393"/>
      <c r="BL82" s="393"/>
      <c r="BM82" s="393"/>
      <c r="BN82" s="408"/>
      <c r="BO82" s="408"/>
    </row>
    <row r="83" spans="1:67">
      <c r="A83" s="394"/>
      <c r="B83" s="2624"/>
      <c r="C83" s="2627"/>
      <c r="D83" s="2627"/>
      <c r="E83" s="2631"/>
      <c r="F83" s="2633"/>
      <c r="G83" s="2650"/>
      <c r="H83" s="2652"/>
      <c r="I83" s="2654"/>
      <c r="J83" s="2654"/>
      <c r="K83" s="875" t="s">
        <v>128</v>
      </c>
      <c r="L83" s="896">
        <f>+'ref.지급기준 (2)'!F82*'ref.지급기준 (2)'!D82/1000</f>
        <v>198720000</v>
      </c>
      <c r="M83" s="896">
        <v>0</v>
      </c>
      <c r="N83" s="1002">
        <f t="shared" si="49"/>
        <v>198720000</v>
      </c>
      <c r="O83" s="2660"/>
      <c r="P83" s="2663"/>
      <c r="Q83" s="409" t="b">
        <f t="shared" si="50"/>
        <v>1</v>
      </c>
      <c r="R83" s="908">
        <f t="shared" si="51"/>
        <v>0</v>
      </c>
      <c r="S83" s="909">
        <f t="shared" si="52"/>
        <v>0</v>
      </c>
      <c r="T83" s="2657"/>
      <c r="U83" s="914">
        <f>+S83/T80</f>
        <v>0</v>
      </c>
      <c r="V83" s="908">
        <f t="shared" si="56"/>
        <v>0</v>
      </c>
      <c r="W83" s="876"/>
      <c r="X83" s="919">
        <f>X81</f>
        <v>45777</v>
      </c>
      <c r="Y83" s="877">
        <f t="shared" si="38"/>
        <v>0</v>
      </c>
      <c r="Z83" s="877"/>
      <c r="AA83" s="883">
        <f>AA81</f>
        <v>45807</v>
      </c>
      <c r="AB83" s="877">
        <f t="shared" si="39"/>
        <v>0</v>
      </c>
      <c r="AC83" s="877"/>
      <c r="AD83" s="883">
        <f>AD81</f>
        <v>45930</v>
      </c>
      <c r="AE83" s="877">
        <f t="shared" si="40"/>
        <v>0</v>
      </c>
      <c r="AF83" s="877"/>
      <c r="AG83" s="883">
        <f>AG81</f>
        <v>45991</v>
      </c>
      <c r="AH83" s="877">
        <f t="shared" si="41"/>
        <v>0</v>
      </c>
      <c r="AI83" s="877"/>
      <c r="AJ83" s="883"/>
      <c r="AK83" s="877">
        <f t="shared" si="53"/>
        <v>0</v>
      </c>
      <c r="AL83" s="877"/>
      <c r="AM83" s="877"/>
      <c r="AN83" s="884">
        <f t="shared" si="43"/>
        <v>198720000</v>
      </c>
      <c r="AO83" s="884">
        <f>+AN83*'ref.지급기준 (2)'!G82</f>
        <v>158976000</v>
      </c>
      <c r="AP83" s="885">
        <f t="shared" si="54"/>
        <v>45777</v>
      </c>
      <c r="AQ83" s="407"/>
      <c r="AR83" s="945">
        <f>+$AN83*'ref.지급기준 (2)'!G82</f>
        <v>158976000</v>
      </c>
      <c r="AS83" s="884">
        <f t="shared" si="45"/>
        <v>0</v>
      </c>
      <c r="AT83" s="884">
        <f>+$AN83*'ref.지급기준 (2)'!I82</f>
        <v>0</v>
      </c>
      <c r="AU83" s="884">
        <f t="shared" si="46"/>
        <v>0</v>
      </c>
      <c r="AV83" s="884">
        <f>+$AN83*'ref.지급기준 (2)'!K82</f>
        <v>0</v>
      </c>
      <c r="AW83" s="884"/>
      <c r="AX83" s="884">
        <f>+$AN83*'ref.지급기준 (2)'!M82</f>
        <v>39744000</v>
      </c>
      <c r="AY83" s="884"/>
      <c r="AZ83" s="884">
        <f>+$AN83*'ref.지급기준 (2)'!O82</f>
        <v>0</v>
      </c>
      <c r="BA83" s="890"/>
      <c r="BC83" s="393"/>
      <c r="BD83" s="393" t="b">
        <f t="shared" si="55"/>
        <v>1</v>
      </c>
      <c r="BE83" s="393"/>
      <c r="BF83" s="393"/>
      <c r="BG83" s="393"/>
      <c r="BH83" s="393"/>
      <c r="BI83" s="393"/>
      <c r="BJ83" s="393"/>
      <c r="BK83" s="393"/>
      <c r="BL83" s="393"/>
      <c r="BM83" s="393"/>
      <c r="BN83" s="408"/>
      <c r="BO83" s="408"/>
    </row>
    <row r="84" spans="1:67" ht="17.25" thickBot="1">
      <c r="A84" s="394"/>
      <c r="B84" s="2624"/>
      <c r="C84" s="2627"/>
      <c r="D84" s="2627"/>
      <c r="E84" s="2631"/>
      <c r="F84" s="2634"/>
      <c r="G84" s="2651"/>
      <c r="H84" s="2653"/>
      <c r="I84" s="2655"/>
      <c r="J84" s="2655"/>
      <c r="K84" s="999" t="s">
        <v>129</v>
      </c>
      <c r="L84" s="900">
        <f>+'ref.지급기준 (2)'!F83*'ref.지급기준 (2)'!D83/1000</f>
        <v>0</v>
      </c>
      <c r="M84" s="900"/>
      <c r="N84" s="1003"/>
      <c r="O84" s="2660"/>
      <c r="P84" s="2663"/>
      <c r="Q84" s="411"/>
      <c r="R84" s="936"/>
      <c r="S84" s="995"/>
      <c r="T84" s="2658"/>
      <c r="U84" s="935">
        <f>+S84/T80</f>
        <v>0</v>
      </c>
      <c r="V84" s="936" t="str">
        <f t="shared" si="56"/>
        <v>-</v>
      </c>
      <c r="W84" s="937"/>
      <c r="X84" s="937"/>
      <c r="Y84" s="937" t="str">
        <f t="shared" si="38"/>
        <v>-</v>
      </c>
      <c r="Z84" s="937"/>
      <c r="AA84" s="938"/>
      <c r="AB84" s="937" t="str">
        <f t="shared" si="39"/>
        <v>-</v>
      </c>
      <c r="AC84" s="937"/>
      <c r="AD84" s="938"/>
      <c r="AE84" s="937" t="str">
        <f t="shared" si="40"/>
        <v>-</v>
      </c>
      <c r="AF84" s="937"/>
      <c r="AG84" s="938"/>
      <c r="AH84" s="937">
        <f t="shared" si="41"/>
        <v>0</v>
      </c>
      <c r="AI84" s="937"/>
      <c r="AJ84" s="937"/>
      <c r="AK84" s="937"/>
      <c r="AL84" s="937"/>
      <c r="AM84" s="937"/>
      <c r="AN84" s="939">
        <f t="shared" si="43"/>
        <v>0</v>
      </c>
      <c r="AO84" s="939">
        <f>+AR84+AT84</f>
        <v>0</v>
      </c>
      <c r="AP84" s="940"/>
      <c r="AQ84" s="407"/>
      <c r="AR84" s="947">
        <f>+$AN84*'ref.지급기준 (2)'!G83</f>
        <v>0</v>
      </c>
      <c r="AS84" s="928">
        <f t="shared" si="45"/>
        <v>0</v>
      </c>
      <c r="AT84" s="928">
        <f>+$AN84*'ref.지급기준 (2)'!I83</f>
        <v>0</v>
      </c>
      <c r="AU84" s="928">
        <f t="shared" si="46"/>
        <v>0</v>
      </c>
      <c r="AV84" s="928">
        <f>+$AN84*'ref.지급기준 (2)'!K83</f>
        <v>0</v>
      </c>
      <c r="AW84" s="928"/>
      <c r="AX84" s="928">
        <f>+$AN84*'ref.지급기준 (2)'!M83</f>
        <v>0</v>
      </c>
      <c r="AY84" s="928"/>
      <c r="AZ84" s="928">
        <f>+$AN84*'ref.지급기준 (2)'!O83</f>
        <v>0</v>
      </c>
      <c r="BA84" s="997"/>
      <c r="BC84" s="393"/>
      <c r="BD84" s="393"/>
      <c r="BE84" s="393"/>
      <c r="BF84" s="393"/>
      <c r="BG84" s="393"/>
      <c r="BH84" s="393"/>
      <c r="BI84" s="393"/>
      <c r="BJ84" s="393"/>
      <c r="BK84" s="393"/>
      <c r="BL84" s="393"/>
      <c r="BM84" s="393"/>
      <c r="BN84" s="408"/>
      <c r="BO84" s="408"/>
    </row>
    <row r="85" spans="1:67" ht="16.5" customHeight="1">
      <c r="A85" s="394"/>
      <c r="B85" s="2624"/>
      <c r="C85" s="2627"/>
      <c r="D85" s="2627"/>
      <c r="E85" s="2631"/>
      <c r="F85" s="2633" t="str">
        <f>+'ref.지급기준 (2)'!C84</f>
        <v>Saegol (SPA)</v>
      </c>
      <c r="G85" s="2649">
        <f>+'ref.지급기준 (2)'!D84</f>
        <v>993.6</v>
      </c>
      <c r="H85" s="2652">
        <f>+'Solar M&amp;A'!H19</f>
        <v>9.7900000000000001E-2</v>
      </c>
      <c r="I85" s="2654"/>
      <c r="J85" s="2654" t="s">
        <v>1213</v>
      </c>
      <c r="K85" s="891" t="s">
        <v>125</v>
      </c>
      <c r="L85" s="902">
        <f>+'ref.지급기준 (2)'!F84*'ref.지급기준 (2)'!D84/1000</f>
        <v>1043280000</v>
      </c>
      <c r="M85" s="902">
        <f>+L85*10%</f>
        <v>104328000</v>
      </c>
      <c r="N85" s="1007">
        <f t="shared" ref="N85:N88" si="57">SUM(L85:M85)</f>
        <v>1147608000</v>
      </c>
      <c r="O85" s="2660"/>
      <c r="P85" s="2663"/>
      <c r="Q85" s="874" t="b">
        <f t="shared" ref="Q85:Q88" si="58">+N85=AN85</f>
        <v>1</v>
      </c>
      <c r="R85" s="906">
        <f t="shared" ref="R85:R88" si="59">+IFERROR(S85/N85,"-")</f>
        <v>0</v>
      </c>
      <c r="S85" s="907">
        <f t="shared" ref="S85:S88" si="60">+IFERROR(W85+Z85+AC85+AF85+AI85+AL85,"-")</f>
        <v>0</v>
      </c>
      <c r="T85" s="2656">
        <v>1470</v>
      </c>
      <c r="U85" s="913">
        <f>+S85/T85</f>
        <v>0</v>
      </c>
      <c r="V85" s="906">
        <f>+IFERROR(W85/$N85,"-")</f>
        <v>0</v>
      </c>
      <c r="W85" s="917"/>
      <c r="X85" s="918">
        <v>45716</v>
      </c>
      <c r="Y85" s="877">
        <f t="shared" si="38"/>
        <v>0</v>
      </c>
      <c r="Z85" s="877"/>
      <c r="AA85" s="883">
        <f>+EDATE(X85,1)+3</f>
        <v>45747</v>
      </c>
      <c r="AB85" s="877">
        <f t="shared" si="39"/>
        <v>0</v>
      </c>
      <c r="AC85" s="877"/>
      <c r="AD85" s="883">
        <f>+EDATE(AA85,3)</f>
        <v>45838</v>
      </c>
      <c r="AE85" s="877">
        <f t="shared" si="40"/>
        <v>0</v>
      </c>
      <c r="AF85" s="877"/>
      <c r="AG85" s="883">
        <f>+EDATE(AA85,4)</f>
        <v>45869</v>
      </c>
      <c r="AH85" s="877">
        <f t="shared" si="41"/>
        <v>0</v>
      </c>
      <c r="AI85" s="877"/>
      <c r="AJ85" s="883">
        <f>+EDATE(AA85,6)</f>
        <v>45930</v>
      </c>
      <c r="AK85" s="877">
        <f t="shared" ref="AK85:AK88" si="61">+IFERROR(AL85/$N$6,"-")</f>
        <v>0</v>
      </c>
      <c r="AL85" s="877"/>
      <c r="AM85" s="877"/>
      <c r="AN85" s="884">
        <f t="shared" si="43"/>
        <v>1147608000</v>
      </c>
      <c r="AO85" s="884">
        <f>+AN85*'ref.지급기준 (2)'!G84</f>
        <v>114760800</v>
      </c>
      <c r="AP85" s="885">
        <f t="shared" ref="AP85:AP88" si="62">+X85</f>
        <v>45716</v>
      </c>
      <c r="AQ85" s="407"/>
      <c r="AR85" s="945">
        <f>+$AN85*'ref.지급기준 (2)'!G84</f>
        <v>114760800</v>
      </c>
      <c r="AS85" s="884">
        <f t="shared" si="45"/>
        <v>0</v>
      </c>
      <c r="AT85" s="884">
        <f>+$AN85*'ref.지급기준 (2)'!I84</f>
        <v>229521600</v>
      </c>
      <c r="AU85" s="884">
        <f t="shared" si="46"/>
        <v>0</v>
      </c>
      <c r="AV85" s="884">
        <f>+$AN85*'ref.지급기준 (2)'!K84</f>
        <v>459043200</v>
      </c>
      <c r="AW85" s="884"/>
      <c r="AX85" s="884">
        <f>+$AN85*'ref.지급기준 (2)'!M84</f>
        <v>286902000</v>
      </c>
      <c r="AY85" s="884"/>
      <c r="AZ85" s="884">
        <f>+$AN85*'ref.지급기준 (2)'!O84</f>
        <v>57380400</v>
      </c>
      <c r="BA85" s="890"/>
      <c r="BC85" s="393"/>
      <c r="BD85" s="393" t="b">
        <f t="shared" ref="BD85:BD88" si="63">+(AZ85+AX85+AV85+AT85+AR85)=N85</f>
        <v>1</v>
      </c>
      <c r="BE85" s="393"/>
      <c r="BF85" s="393"/>
      <c r="BG85" s="393"/>
      <c r="BH85" s="393"/>
      <c r="BI85" s="393"/>
      <c r="BJ85" s="393"/>
      <c r="BK85" s="393"/>
      <c r="BL85" s="393"/>
      <c r="BM85" s="393"/>
      <c r="BN85" s="408"/>
      <c r="BO85" s="408"/>
    </row>
    <row r="86" spans="1:67" ht="16.5" customHeight="1">
      <c r="A86" s="394"/>
      <c r="B86" s="2624"/>
      <c r="C86" s="2627"/>
      <c r="D86" s="2627"/>
      <c r="E86" s="2631"/>
      <c r="F86" s="2633"/>
      <c r="G86" s="2650"/>
      <c r="H86" s="2652"/>
      <c r="I86" s="2654"/>
      <c r="J86" s="2654"/>
      <c r="K86" s="875" t="s">
        <v>126</v>
      </c>
      <c r="L86" s="896">
        <f>+'ref.지급기준 (2)'!F85*'ref.지급기준 (2)'!D85/1000</f>
        <v>149040000</v>
      </c>
      <c r="M86" s="896">
        <v>0</v>
      </c>
      <c r="N86" s="1002">
        <f t="shared" si="57"/>
        <v>149040000</v>
      </c>
      <c r="O86" s="2660"/>
      <c r="P86" s="2663"/>
      <c r="Q86" s="874" t="b">
        <f t="shared" si="58"/>
        <v>1</v>
      </c>
      <c r="R86" s="908">
        <f t="shared" si="59"/>
        <v>0</v>
      </c>
      <c r="S86" s="909">
        <f t="shared" si="60"/>
        <v>0</v>
      </c>
      <c r="T86" s="2657"/>
      <c r="U86" s="914">
        <f>+S86/T85</f>
        <v>0</v>
      </c>
      <c r="V86" s="908">
        <f t="shared" ref="V86:V89" si="64">+IFERROR(W86/$N86,"-")</f>
        <v>0</v>
      </c>
      <c r="W86" s="876"/>
      <c r="X86" s="919">
        <v>45777</v>
      </c>
      <c r="Y86" s="877">
        <f t="shared" si="38"/>
        <v>0</v>
      </c>
      <c r="Z86" s="886"/>
      <c r="AA86" s="883">
        <f>EDATE(X86,1)</f>
        <v>45807</v>
      </c>
      <c r="AB86" s="877">
        <f t="shared" si="39"/>
        <v>0</v>
      </c>
      <c r="AC86" s="877"/>
      <c r="AD86" s="883">
        <f>EDATE(AA86,4)</f>
        <v>45930</v>
      </c>
      <c r="AE86" s="877">
        <f t="shared" si="40"/>
        <v>0</v>
      </c>
      <c r="AF86" s="877"/>
      <c r="AG86" s="883">
        <f>EDATE(AA86,6)</f>
        <v>45991</v>
      </c>
      <c r="AH86" s="877">
        <f t="shared" si="41"/>
        <v>0</v>
      </c>
      <c r="AI86" s="877"/>
      <c r="AJ86" s="883"/>
      <c r="AK86" s="877">
        <f t="shared" si="61"/>
        <v>0</v>
      </c>
      <c r="AL86" s="877"/>
      <c r="AM86" s="877"/>
      <c r="AN86" s="884">
        <f t="shared" si="43"/>
        <v>149040000</v>
      </c>
      <c r="AO86" s="884">
        <f>+AN86*'ref.지급기준 (2)'!G85</f>
        <v>119232000</v>
      </c>
      <c r="AP86" s="885">
        <f t="shared" si="62"/>
        <v>45777</v>
      </c>
      <c r="AQ86" s="407"/>
      <c r="AR86" s="945">
        <f>+$AN86*'ref.지급기준 (2)'!G85</f>
        <v>119232000</v>
      </c>
      <c r="AS86" s="884">
        <f t="shared" si="45"/>
        <v>0</v>
      </c>
      <c r="AT86" s="884">
        <f>+$AN86*'ref.지급기준 (2)'!I85</f>
        <v>0</v>
      </c>
      <c r="AU86" s="884">
        <f t="shared" si="46"/>
        <v>0</v>
      </c>
      <c r="AV86" s="884">
        <f>+$AN86*'ref.지급기준 (2)'!K85</f>
        <v>0</v>
      </c>
      <c r="AW86" s="884"/>
      <c r="AX86" s="884">
        <f>+$AN86*'ref.지급기준 (2)'!M85</f>
        <v>29808000</v>
      </c>
      <c r="AY86" s="884"/>
      <c r="AZ86" s="884">
        <f>+$AN86*'ref.지급기준 (2)'!O85</f>
        <v>0</v>
      </c>
      <c r="BA86" s="890"/>
      <c r="BC86" s="393"/>
      <c r="BD86" s="393" t="b">
        <f t="shared" si="63"/>
        <v>1</v>
      </c>
      <c r="BE86" s="393"/>
      <c r="BF86" s="393"/>
      <c r="BG86" s="393"/>
      <c r="BH86" s="393"/>
      <c r="BI86" s="393"/>
      <c r="BJ86" s="393"/>
      <c r="BK86" s="393"/>
      <c r="BL86" s="393"/>
      <c r="BM86" s="393"/>
      <c r="BN86" s="408"/>
      <c r="BO86" s="408"/>
    </row>
    <row r="87" spans="1:67" ht="16.5" customHeight="1">
      <c r="A87" s="394"/>
      <c r="B87" s="2624"/>
      <c r="C87" s="2627"/>
      <c r="D87" s="2627"/>
      <c r="E87" s="2631"/>
      <c r="F87" s="2633"/>
      <c r="G87" s="2650"/>
      <c r="H87" s="2652"/>
      <c r="I87" s="2654"/>
      <c r="J87" s="2654"/>
      <c r="K87" s="875" t="s">
        <v>127</v>
      </c>
      <c r="L87" s="896">
        <f>+'ref.지급기준 (2)'!F86*'ref.지급기준 (2)'!D86/1000</f>
        <v>298080000</v>
      </c>
      <c r="M87" s="896">
        <v>0</v>
      </c>
      <c r="N87" s="1002">
        <f t="shared" si="57"/>
        <v>298080000</v>
      </c>
      <c r="O87" s="2660"/>
      <c r="P87" s="2663"/>
      <c r="Q87" s="874" t="b">
        <f t="shared" si="58"/>
        <v>1</v>
      </c>
      <c r="R87" s="908">
        <f t="shared" si="59"/>
        <v>0</v>
      </c>
      <c r="S87" s="909">
        <f t="shared" si="60"/>
        <v>0</v>
      </c>
      <c r="T87" s="2657"/>
      <c r="U87" s="914">
        <f>+S87/T85</f>
        <v>0</v>
      </c>
      <c r="V87" s="908">
        <f t="shared" si="64"/>
        <v>0</v>
      </c>
      <c r="W87" s="876"/>
      <c r="X87" s="919">
        <f>X86</f>
        <v>45777</v>
      </c>
      <c r="Y87" s="877">
        <f t="shared" si="38"/>
        <v>0</v>
      </c>
      <c r="Z87" s="877"/>
      <c r="AA87" s="883">
        <f>AA86</f>
        <v>45807</v>
      </c>
      <c r="AB87" s="877">
        <f t="shared" si="39"/>
        <v>0</v>
      </c>
      <c r="AC87" s="877"/>
      <c r="AD87" s="883">
        <f>AD86</f>
        <v>45930</v>
      </c>
      <c r="AE87" s="877">
        <f t="shared" si="40"/>
        <v>0</v>
      </c>
      <c r="AF87" s="877"/>
      <c r="AG87" s="883">
        <f>AG86</f>
        <v>45991</v>
      </c>
      <c r="AH87" s="877">
        <f t="shared" si="41"/>
        <v>0</v>
      </c>
      <c r="AI87" s="877"/>
      <c r="AJ87" s="883"/>
      <c r="AK87" s="877">
        <f t="shared" si="61"/>
        <v>0</v>
      </c>
      <c r="AL87" s="877"/>
      <c r="AM87" s="877"/>
      <c r="AN87" s="884">
        <f t="shared" si="43"/>
        <v>298080000</v>
      </c>
      <c r="AO87" s="884">
        <f>+AN87*'ref.지급기준 (2)'!G86</f>
        <v>238464000</v>
      </c>
      <c r="AP87" s="885">
        <f t="shared" si="62"/>
        <v>45777</v>
      </c>
      <c r="AQ87" s="407"/>
      <c r="AR87" s="945">
        <f>+$AN87*'ref.지급기준 (2)'!G86</f>
        <v>238464000</v>
      </c>
      <c r="AS87" s="884">
        <f t="shared" si="45"/>
        <v>0</v>
      </c>
      <c r="AT87" s="884">
        <f>+$AN87*'ref.지급기준 (2)'!I86</f>
        <v>0</v>
      </c>
      <c r="AU87" s="884">
        <f t="shared" si="46"/>
        <v>0</v>
      </c>
      <c r="AV87" s="884">
        <f>+$AN87*'ref.지급기준 (2)'!K86</f>
        <v>0</v>
      </c>
      <c r="AW87" s="884"/>
      <c r="AX87" s="884">
        <f>+$AN87*'ref.지급기준 (2)'!M86</f>
        <v>59616000</v>
      </c>
      <c r="AY87" s="884"/>
      <c r="AZ87" s="884">
        <f>+$AN87*'ref.지급기준 (2)'!O86</f>
        <v>0</v>
      </c>
      <c r="BA87" s="890"/>
      <c r="BC87" s="393"/>
      <c r="BD87" s="393" t="b">
        <f t="shared" si="63"/>
        <v>1</v>
      </c>
      <c r="BE87" s="393"/>
      <c r="BF87" s="393"/>
      <c r="BG87" s="393"/>
      <c r="BH87" s="393"/>
      <c r="BI87" s="393"/>
      <c r="BJ87" s="393"/>
      <c r="BK87" s="393"/>
      <c r="BL87" s="393"/>
      <c r="BM87" s="393"/>
      <c r="BN87" s="408"/>
      <c r="BO87" s="408"/>
    </row>
    <row r="88" spans="1:67">
      <c r="A88" s="394"/>
      <c r="B88" s="2624"/>
      <c r="C88" s="2627"/>
      <c r="D88" s="2627"/>
      <c r="E88" s="2631"/>
      <c r="F88" s="2633"/>
      <c r="G88" s="2650"/>
      <c r="H88" s="2652"/>
      <c r="I88" s="2654"/>
      <c r="J88" s="2654"/>
      <c r="K88" s="875" t="s">
        <v>128</v>
      </c>
      <c r="L88" s="896">
        <f>+'ref.지급기준 (2)'!F87*'ref.지급기준 (2)'!D87/1000</f>
        <v>198720000</v>
      </c>
      <c r="M88" s="896">
        <v>0</v>
      </c>
      <c r="N88" s="1002">
        <f t="shared" si="57"/>
        <v>198720000</v>
      </c>
      <c r="O88" s="2660"/>
      <c r="P88" s="2663"/>
      <c r="Q88" s="409" t="b">
        <f t="shared" si="58"/>
        <v>1</v>
      </c>
      <c r="R88" s="908">
        <f t="shared" si="59"/>
        <v>0</v>
      </c>
      <c r="S88" s="909">
        <f t="shared" si="60"/>
        <v>0</v>
      </c>
      <c r="T88" s="2657"/>
      <c r="U88" s="914">
        <f>+S88/T85</f>
        <v>0</v>
      </c>
      <c r="V88" s="908">
        <f t="shared" si="64"/>
        <v>0</v>
      </c>
      <c r="W88" s="876"/>
      <c r="X88" s="919">
        <f>X86</f>
        <v>45777</v>
      </c>
      <c r="Y88" s="877">
        <f t="shared" si="38"/>
        <v>0</v>
      </c>
      <c r="Z88" s="877"/>
      <c r="AA88" s="883">
        <f>AA86</f>
        <v>45807</v>
      </c>
      <c r="AB88" s="877">
        <f t="shared" si="39"/>
        <v>0</v>
      </c>
      <c r="AC88" s="877"/>
      <c r="AD88" s="883">
        <f>AD86</f>
        <v>45930</v>
      </c>
      <c r="AE88" s="877">
        <f t="shared" si="40"/>
        <v>0</v>
      </c>
      <c r="AF88" s="877"/>
      <c r="AG88" s="883">
        <f>AG86</f>
        <v>45991</v>
      </c>
      <c r="AH88" s="877">
        <f t="shared" si="41"/>
        <v>0</v>
      </c>
      <c r="AI88" s="877"/>
      <c r="AJ88" s="883"/>
      <c r="AK88" s="877">
        <f t="shared" si="61"/>
        <v>0</v>
      </c>
      <c r="AL88" s="877"/>
      <c r="AM88" s="877"/>
      <c r="AN88" s="884">
        <f t="shared" si="43"/>
        <v>198720000</v>
      </c>
      <c r="AO88" s="884">
        <f>+AN88*'ref.지급기준 (2)'!G87</f>
        <v>158976000</v>
      </c>
      <c r="AP88" s="885">
        <f t="shared" si="62"/>
        <v>45777</v>
      </c>
      <c r="AQ88" s="407"/>
      <c r="AR88" s="945">
        <f>+$AN88*'ref.지급기준 (2)'!G87</f>
        <v>158976000</v>
      </c>
      <c r="AS88" s="884">
        <f t="shared" si="45"/>
        <v>0</v>
      </c>
      <c r="AT88" s="884">
        <f>+$AN88*'ref.지급기준 (2)'!I87</f>
        <v>0</v>
      </c>
      <c r="AU88" s="884">
        <f t="shared" si="46"/>
        <v>0</v>
      </c>
      <c r="AV88" s="884">
        <f>+$AN88*'ref.지급기준 (2)'!K87</f>
        <v>0</v>
      </c>
      <c r="AW88" s="884"/>
      <c r="AX88" s="884">
        <f>+$AN88*'ref.지급기준 (2)'!M87</f>
        <v>39744000</v>
      </c>
      <c r="AY88" s="884"/>
      <c r="AZ88" s="884">
        <f>+$AN88*'ref.지급기준 (2)'!O87</f>
        <v>0</v>
      </c>
      <c r="BA88" s="890"/>
      <c r="BC88" s="393"/>
      <c r="BD88" s="393" t="b">
        <f t="shared" si="63"/>
        <v>1</v>
      </c>
      <c r="BE88" s="393"/>
      <c r="BF88" s="393"/>
      <c r="BG88" s="393"/>
      <c r="BH88" s="393"/>
      <c r="BI88" s="393"/>
      <c r="BJ88" s="393"/>
      <c r="BK88" s="393"/>
      <c r="BL88" s="393"/>
      <c r="BM88" s="393"/>
      <c r="BN88" s="408"/>
      <c r="BO88" s="408"/>
    </row>
    <row r="89" spans="1:67" ht="17.25" thickBot="1">
      <c r="A89" s="394"/>
      <c r="B89" s="2624"/>
      <c r="C89" s="2627"/>
      <c r="D89" s="2627"/>
      <c r="E89" s="2631"/>
      <c r="F89" s="2634"/>
      <c r="G89" s="2651"/>
      <c r="H89" s="2653"/>
      <c r="I89" s="2655"/>
      <c r="J89" s="2655"/>
      <c r="K89" s="999" t="s">
        <v>129</v>
      </c>
      <c r="L89" s="900">
        <f>+'ref.지급기준 (2)'!F88*'ref.지급기준 (2)'!D88/1000</f>
        <v>0</v>
      </c>
      <c r="M89" s="900"/>
      <c r="N89" s="1003"/>
      <c r="O89" s="2660"/>
      <c r="P89" s="2663"/>
      <c r="Q89" s="411"/>
      <c r="R89" s="936"/>
      <c r="S89" s="995"/>
      <c r="T89" s="2658"/>
      <c r="U89" s="935">
        <f>+S89/T85</f>
        <v>0</v>
      </c>
      <c r="V89" s="936" t="str">
        <f t="shared" si="64"/>
        <v>-</v>
      </c>
      <c r="W89" s="937"/>
      <c r="X89" s="937"/>
      <c r="Y89" s="937" t="str">
        <f t="shared" si="38"/>
        <v>-</v>
      </c>
      <c r="Z89" s="937"/>
      <c r="AA89" s="938"/>
      <c r="AB89" s="937" t="str">
        <f t="shared" si="39"/>
        <v>-</v>
      </c>
      <c r="AC89" s="937"/>
      <c r="AD89" s="938"/>
      <c r="AE89" s="937" t="str">
        <f t="shared" si="40"/>
        <v>-</v>
      </c>
      <c r="AF89" s="937"/>
      <c r="AG89" s="938"/>
      <c r="AH89" s="937">
        <f t="shared" si="41"/>
        <v>0</v>
      </c>
      <c r="AI89" s="937"/>
      <c r="AJ89" s="937"/>
      <c r="AK89" s="937"/>
      <c r="AL89" s="937"/>
      <c r="AM89" s="937"/>
      <c r="AN89" s="939">
        <f t="shared" si="43"/>
        <v>0</v>
      </c>
      <c r="AO89" s="939">
        <f>+AR89+AT89</f>
        <v>0</v>
      </c>
      <c r="AP89" s="940"/>
      <c r="AQ89" s="407"/>
      <c r="AR89" s="947">
        <f>+$AN89*'ref.지급기준 (2)'!G88</f>
        <v>0</v>
      </c>
      <c r="AS89" s="928">
        <f t="shared" si="45"/>
        <v>0</v>
      </c>
      <c r="AT89" s="928">
        <f>+$AN89*'ref.지급기준 (2)'!I88</f>
        <v>0</v>
      </c>
      <c r="AU89" s="928">
        <f t="shared" si="46"/>
        <v>0</v>
      </c>
      <c r="AV89" s="928">
        <f>+$AN89*'ref.지급기준 (2)'!K88</f>
        <v>0</v>
      </c>
      <c r="AW89" s="928"/>
      <c r="AX89" s="928">
        <f>+$AN89*'ref.지급기준 (2)'!M88</f>
        <v>0</v>
      </c>
      <c r="AY89" s="928"/>
      <c r="AZ89" s="928">
        <f>+$AN89*'ref.지급기준 (2)'!O88</f>
        <v>0</v>
      </c>
      <c r="BA89" s="997"/>
      <c r="BC89" s="393"/>
      <c r="BD89" s="393"/>
      <c r="BE89" s="393"/>
      <c r="BF89" s="393"/>
      <c r="BG89" s="393"/>
      <c r="BH89" s="393"/>
      <c r="BI89" s="393"/>
      <c r="BJ89" s="393"/>
      <c r="BK89" s="393"/>
      <c r="BL89" s="393"/>
      <c r="BM89" s="393"/>
      <c r="BN89" s="408"/>
      <c r="BO89" s="408"/>
    </row>
    <row r="90" spans="1:67" ht="16.5" customHeight="1">
      <c r="A90" s="394"/>
      <c r="B90" s="2624"/>
      <c r="C90" s="2627"/>
      <c r="D90" s="2627"/>
      <c r="E90" s="2631"/>
      <c r="F90" s="2633" t="str">
        <f>+'ref.지급기준 (2)'!C89</f>
        <v>Jaesan (SPA)</v>
      </c>
      <c r="G90" s="2649">
        <f>+'ref.지급기준 (2)'!D89</f>
        <v>993.6</v>
      </c>
      <c r="H90" s="2652">
        <f>+'Solar M&amp;A'!H20</f>
        <v>9.7900000000000001E-2</v>
      </c>
      <c r="I90" s="2654"/>
      <c r="J90" s="2654" t="s">
        <v>1213</v>
      </c>
      <c r="K90" s="891" t="s">
        <v>125</v>
      </c>
      <c r="L90" s="902">
        <f>+'ref.지급기준 (2)'!F89*'ref.지급기준 (2)'!D89/1000</f>
        <v>1043280000</v>
      </c>
      <c r="M90" s="902">
        <f>+L90*10%</f>
        <v>104328000</v>
      </c>
      <c r="N90" s="1007">
        <f t="shared" ref="N90:N93" si="65">SUM(L90:M90)</f>
        <v>1147608000</v>
      </c>
      <c r="O90" s="2660"/>
      <c r="P90" s="2663"/>
      <c r="Q90" s="874" t="b">
        <f t="shared" ref="Q90:Q93" si="66">+N90=AN90</f>
        <v>1</v>
      </c>
      <c r="R90" s="906">
        <f t="shared" ref="R90:R93" si="67">+IFERROR(S90/N90,"-")</f>
        <v>0</v>
      </c>
      <c r="S90" s="907">
        <f t="shared" ref="S90:S93" si="68">+IFERROR(W90+Z90+AC90+AF90+AI90+AL90,"-")</f>
        <v>0</v>
      </c>
      <c r="T90" s="2656">
        <v>1470</v>
      </c>
      <c r="U90" s="913">
        <f>+S90/T90</f>
        <v>0</v>
      </c>
      <c r="V90" s="906">
        <f>+IFERROR(W90/$N90,"-")</f>
        <v>0</v>
      </c>
      <c r="W90" s="917"/>
      <c r="X90" s="918">
        <v>45716</v>
      </c>
      <c r="Y90" s="877">
        <f t="shared" si="38"/>
        <v>0</v>
      </c>
      <c r="Z90" s="877"/>
      <c r="AA90" s="883">
        <f>+EDATE(X90,1)+3</f>
        <v>45747</v>
      </c>
      <c r="AB90" s="877">
        <f t="shared" si="39"/>
        <v>0</v>
      </c>
      <c r="AC90" s="877"/>
      <c r="AD90" s="883">
        <f>+EDATE(AA90,3)</f>
        <v>45838</v>
      </c>
      <c r="AE90" s="877">
        <f t="shared" si="40"/>
        <v>0</v>
      </c>
      <c r="AF90" s="877"/>
      <c r="AG90" s="883">
        <f>+EDATE(AA90,4)</f>
        <v>45869</v>
      </c>
      <c r="AH90" s="877">
        <f t="shared" si="41"/>
        <v>0</v>
      </c>
      <c r="AI90" s="877"/>
      <c r="AJ90" s="883">
        <f>+EDATE(AA90,6)</f>
        <v>45930</v>
      </c>
      <c r="AK90" s="877">
        <f t="shared" ref="AK90:AK93" si="69">+IFERROR(AL90/$N$6,"-")</f>
        <v>0</v>
      </c>
      <c r="AL90" s="877"/>
      <c r="AM90" s="877"/>
      <c r="AN90" s="884">
        <f t="shared" si="43"/>
        <v>1147608000</v>
      </c>
      <c r="AO90" s="884">
        <f>+AN90*'ref.지급기준 (2)'!G89</f>
        <v>114760800</v>
      </c>
      <c r="AP90" s="885">
        <f t="shared" ref="AP90:AP93" si="70">+X90</f>
        <v>45716</v>
      </c>
      <c r="AQ90" s="407"/>
      <c r="AR90" s="945">
        <f>+$AN90*'ref.지급기준 (2)'!G89</f>
        <v>114760800</v>
      </c>
      <c r="AS90" s="884">
        <f t="shared" si="45"/>
        <v>0</v>
      </c>
      <c r="AT90" s="884">
        <f>+$AN90*'ref.지급기준 (2)'!I89</f>
        <v>229521600</v>
      </c>
      <c r="AU90" s="884">
        <f t="shared" si="46"/>
        <v>0</v>
      </c>
      <c r="AV90" s="884">
        <f>+$AN90*'ref.지급기준 (2)'!K89</f>
        <v>459043200</v>
      </c>
      <c r="AW90" s="884"/>
      <c r="AX90" s="884">
        <f>+$AN90*'ref.지급기준 (2)'!M89</f>
        <v>286902000</v>
      </c>
      <c r="AY90" s="884"/>
      <c r="AZ90" s="884">
        <f>+$AN90*'ref.지급기준 (2)'!O89</f>
        <v>57380400</v>
      </c>
      <c r="BA90" s="890"/>
      <c r="BC90" s="393"/>
      <c r="BD90" s="393" t="b">
        <f t="shared" ref="BD90:BD93" si="71">+(AZ90+AX90+AV90+AT90+AR90)=N90</f>
        <v>1</v>
      </c>
      <c r="BE90" s="393"/>
      <c r="BF90" s="393"/>
      <c r="BG90" s="393"/>
      <c r="BH90" s="393"/>
      <c r="BI90" s="393"/>
      <c r="BJ90" s="393"/>
      <c r="BK90" s="393"/>
      <c r="BL90" s="393"/>
      <c r="BM90" s="393"/>
      <c r="BN90" s="408"/>
      <c r="BO90" s="408"/>
    </row>
    <row r="91" spans="1:67" ht="16.5" customHeight="1">
      <c r="A91" s="394"/>
      <c r="B91" s="2624"/>
      <c r="C91" s="2627"/>
      <c r="D91" s="2627"/>
      <c r="E91" s="2631"/>
      <c r="F91" s="2633"/>
      <c r="G91" s="2650"/>
      <c r="H91" s="2652"/>
      <c r="I91" s="2654"/>
      <c r="J91" s="2654"/>
      <c r="K91" s="875" t="s">
        <v>126</v>
      </c>
      <c r="L91" s="896">
        <f>+'ref.지급기준 (2)'!F90*'ref.지급기준 (2)'!D90/1000</f>
        <v>149040000</v>
      </c>
      <c r="M91" s="896">
        <v>0</v>
      </c>
      <c r="N91" s="1002">
        <f t="shared" si="65"/>
        <v>149040000</v>
      </c>
      <c r="O91" s="2660"/>
      <c r="P91" s="2663"/>
      <c r="Q91" s="874" t="b">
        <f t="shared" si="66"/>
        <v>1</v>
      </c>
      <c r="R91" s="908">
        <f t="shared" si="67"/>
        <v>0</v>
      </c>
      <c r="S91" s="909">
        <f t="shared" si="68"/>
        <v>0</v>
      </c>
      <c r="T91" s="2657"/>
      <c r="U91" s="914">
        <f>+S91/T90</f>
        <v>0</v>
      </c>
      <c r="V91" s="908">
        <f t="shared" ref="V91:V94" si="72">+IFERROR(W91/$N91,"-")</f>
        <v>0</v>
      </c>
      <c r="W91" s="876"/>
      <c r="X91" s="919">
        <v>45777</v>
      </c>
      <c r="Y91" s="877">
        <f t="shared" si="38"/>
        <v>0</v>
      </c>
      <c r="Z91" s="886"/>
      <c r="AA91" s="883">
        <f>EDATE(X91,1)</f>
        <v>45807</v>
      </c>
      <c r="AB91" s="877">
        <f t="shared" si="39"/>
        <v>0</v>
      </c>
      <c r="AC91" s="877"/>
      <c r="AD91" s="883">
        <f>EDATE(AA91,4)</f>
        <v>45930</v>
      </c>
      <c r="AE91" s="877">
        <f t="shared" si="40"/>
        <v>0</v>
      </c>
      <c r="AF91" s="877"/>
      <c r="AG91" s="883">
        <f>EDATE(AA91,6)</f>
        <v>45991</v>
      </c>
      <c r="AH91" s="877">
        <f t="shared" si="41"/>
        <v>0</v>
      </c>
      <c r="AI91" s="877"/>
      <c r="AJ91" s="883"/>
      <c r="AK91" s="877">
        <f t="shared" si="69"/>
        <v>0</v>
      </c>
      <c r="AL91" s="877"/>
      <c r="AM91" s="877"/>
      <c r="AN91" s="884">
        <f t="shared" si="43"/>
        <v>149040000</v>
      </c>
      <c r="AO91" s="884">
        <f>+AN91*'ref.지급기준 (2)'!G90</f>
        <v>119232000</v>
      </c>
      <c r="AP91" s="885">
        <f t="shared" si="70"/>
        <v>45777</v>
      </c>
      <c r="AQ91" s="407"/>
      <c r="AR91" s="945">
        <f>+$AN91*'ref.지급기준 (2)'!G90</f>
        <v>119232000</v>
      </c>
      <c r="AS91" s="884">
        <f t="shared" si="45"/>
        <v>0</v>
      </c>
      <c r="AT91" s="884">
        <f>+$AN91*'ref.지급기준 (2)'!I90</f>
        <v>0</v>
      </c>
      <c r="AU91" s="884">
        <f t="shared" si="46"/>
        <v>0</v>
      </c>
      <c r="AV91" s="884">
        <f>+$AN91*'ref.지급기준 (2)'!K90</f>
        <v>0</v>
      </c>
      <c r="AW91" s="884"/>
      <c r="AX91" s="884">
        <f>+$AN91*'ref.지급기준 (2)'!M90</f>
        <v>29808000</v>
      </c>
      <c r="AY91" s="884"/>
      <c r="AZ91" s="884">
        <f>+$AN91*'ref.지급기준 (2)'!O90</f>
        <v>0</v>
      </c>
      <c r="BA91" s="890"/>
      <c r="BC91" s="393"/>
      <c r="BD91" s="393" t="b">
        <f t="shared" si="71"/>
        <v>1</v>
      </c>
      <c r="BE91" s="393"/>
      <c r="BF91" s="393"/>
      <c r="BG91" s="393"/>
      <c r="BH91" s="393"/>
      <c r="BI91" s="393"/>
      <c r="BJ91" s="393"/>
      <c r="BK91" s="393"/>
      <c r="BL91" s="393"/>
      <c r="BM91" s="393"/>
      <c r="BN91" s="408"/>
      <c r="BO91" s="408"/>
    </row>
    <row r="92" spans="1:67" ht="16.5" customHeight="1">
      <c r="A92" s="394"/>
      <c r="B92" s="2624"/>
      <c r="C92" s="2627"/>
      <c r="D92" s="2627"/>
      <c r="E92" s="2631"/>
      <c r="F92" s="2633"/>
      <c r="G92" s="2650"/>
      <c r="H92" s="2652"/>
      <c r="I92" s="2654"/>
      <c r="J92" s="2654"/>
      <c r="K92" s="875" t="s">
        <v>127</v>
      </c>
      <c r="L92" s="896">
        <f>+'ref.지급기준 (2)'!F91*'ref.지급기준 (2)'!D91/1000</f>
        <v>298080000</v>
      </c>
      <c r="M92" s="896">
        <v>0</v>
      </c>
      <c r="N92" s="1002">
        <f t="shared" si="65"/>
        <v>298080000</v>
      </c>
      <c r="O92" s="2660"/>
      <c r="P92" s="2663"/>
      <c r="Q92" s="874" t="b">
        <f t="shared" si="66"/>
        <v>1</v>
      </c>
      <c r="R92" s="908">
        <f t="shared" si="67"/>
        <v>0</v>
      </c>
      <c r="S92" s="909">
        <f t="shared" si="68"/>
        <v>0</v>
      </c>
      <c r="T92" s="2657"/>
      <c r="U92" s="914">
        <f>+S92/T90</f>
        <v>0</v>
      </c>
      <c r="V92" s="908">
        <f t="shared" si="72"/>
        <v>0</v>
      </c>
      <c r="W92" s="876"/>
      <c r="X92" s="919">
        <f>X91</f>
        <v>45777</v>
      </c>
      <c r="Y92" s="877">
        <f t="shared" si="38"/>
        <v>0</v>
      </c>
      <c r="Z92" s="877"/>
      <c r="AA92" s="883">
        <f>AA91</f>
        <v>45807</v>
      </c>
      <c r="AB92" s="877">
        <f t="shared" si="39"/>
        <v>0</v>
      </c>
      <c r="AC92" s="877"/>
      <c r="AD92" s="883">
        <f>AD91</f>
        <v>45930</v>
      </c>
      <c r="AE92" s="877">
        <f t="shared" si="40"/>
        <v>0</v>
      </c>
      <c r="AF92" s="877"/>
      <c r="AG92" s="883">
        <f>AG91</f>
        <v>45991</v>
      </c>
      <c r="AH92" s="877">
        <f t="shared" si="41"/>
        <v>0</v>
      </c>
      <c r="AI92" s="877"/>
      <c r="AJ92" s="883"/>
      <c r="AK92" s="877">
        <f t="shared" si="69"/>
        <v>0</v>
      </c>
      <c r="AL92" s="877"/>
      <c r="AM92" s="877"/>
      <c r="AN92" s="884">
        <f t="shared" si="43"/>
        <v>298080000</v>
      </c>
      <c r="AO92" s="884">
        <f>+AN92*'ref.지급기준 (2)'!G91</f>
        <v>238464000</v>
      </c>
      <c r="AP92" s="885">
        <f t="shared" si="70"/>
        <v>45777</v>
      </c>
      <c r="AQ92" s="407"/>
      <c r="AR92" s="945">
        <f>+$AN92*'ref.지급기준 (2)'!G91</f>
        <v>238464000</v>
      </c>
      <c r="AS92" s="884">
        <f t="shared" si="45"/>
        <v>0</v>
      </c>
      <c r="AT92" s="884">
        <f>+$AN92*'ref.지급기준 (2)'!I91</f>
        <v>0</v>
      </c>
      <c r="AU92" s="884">
        <f t="shared" si="46"/>
        <v>0</v>
      </c>
      <c r="AV92" s="884">
        <f>+$AN92*'ref.지급기준 (2)'!K91</f>
        <v>0</v>
      </c>
      <c r="AW92" s="884"/>
      <c r="AX92" s="884">
        <f>+$AN92*'ref.지급기준 (2)'!M91</f>
        <v>59616000</v>
      </c>
      <c r="AY92" s="884"/>
      <c r="AZ92" s="884">
        <f>+$AN92*'ref.지급기준 (2)'!O91</f>
        <v>0</v>
      </c>
      <c r="BA92" s="890"/>
      <c r="BC92" s="393"/>
      <c r="BD92" s="393" t="b">
        <f t="shared" si="71"/>
        <v>1</v>
      </c>
      <c r="BE92" s="393"/>
      <c r="BF92" s="393"/>
      <c r="BG92" s="393"/>
      <c r="BH92" s="393"/>
      <c r="BI92" s="393"/>
      <c r="BJ92" s="393"/>
      <c r="BK92" s="393"/>
      <c r="BL92" s="393"/>
      <c r="BM92" s="393"/>
      <c r="BN92" s="408"/>
      <c r="BO92" s="408"/>
    </row>
    <row r="93" spans="1:67">
      <c r="A93" s="394"/>
      <c r="B93" s="2624"/>
      <c r="C93" s="2627"/>
      <c r="D93" s="2627"/>
      <c r="E93" s="2631"/>
      <c r="F93" s="2633"/>
      <c r="G93" s="2650"/>
      <c r="H93" s="2652"/>
      <c r="I93" s="2654"/>
      <c r="J93" s="2654"/>
      <c r="K93" s="875" t="s">
        <v>128</v>
      </c>
      <c r="L93" s="896">
        <f>+'ref.지급기준 (2)'!F92*'ref.지급기준 (2)'!D92/1000</f>
        <v>198720000</v>
      </c>
      <c r="M93" s="896">
        <v>0</v>
      </c>
      <c r="N93" s="1002">
        <f t="shared" si="65"/>
        <v>198720000</v>
      </c>
      <c r="O93" s="2660"/>
      <c r="P93" s="2663"/>
      <c r="Q93" s="409" t="b">
        <f t="shared" si="66"/>
        <v>1</v>
      </c>
      <c r="R93" s="908">
        <f t="shared" si="67"/>
        <v>0</v>
      </c>
      <c r="S93" s="909">
        <f t="shared" si="68"/>
        <v>0</v>
      </c>
      <c r="T93" s="2657"/>
      <c r="U93" s="914">
        <f>+S93/T90</f>
        <v>0</v>
      </c>
      <c r="V93" s="908">
        <f t="shared" si="72"/>
        <v>0</v>
      </c>
      <c r="W93" s="876"/>
      <c r="X93" s="919">
        <f>X91</f>
        <v>45777</v>
      </c>
      <c r="Y93" s="877">
        <f t="shared" si="38"/>
        <v>0</v>
      </c>
      <c r="Z93" s="877"/>
      <c r="AA93" s="883">
        <f>AA91</f>
        <v>45807</v>
      </c>
      <c r="AB93" s="877">
        <f t="shared" si="39"/>
        <v>0</v>
      </c>
      <c r="AC93" s="877"/>
      <c r="AD93" s="883">
        <f>AD91</f>
        <v>45930</v>
      </c>
      <c r="AE93" s="877">
        <f t="shared" si="40"/>
        <v>0</v>
      </c>
      <c r="AF93" s="877"/>
      <c r="AG93" s="883">
        <f>AG91</f>
        <v>45991</v>
      </c>
      <c r="AH93" s="877">
        <f t="shared" si="41"/>
        <v>0</v>
      </c>
      <c r="AI93" s="877"/>
      <c r="AJ93" s="883"/>
      <c r="AK93" s="877">
        <f t="shared" si="69"/>
        <v>0</v>
      </c>
      <c r="AL93" s="877"/>
      <c r="AM93" s="877"/>
      <c r="AN93" s="884">
        <f t="shared" si="43"/>
        <v>198720000</v>
      </c>
      <c r="AO93" s="884">
        <f>+AN93*'ref.지급기준 (2)'!G92</f>
        <v>158976000</v>
      </c>
      <c r="AP93" s="885">
        <f t="shared" si="70"/>
        <v>45777</v>
      </c>
      <c r="AQ93" s="407"/>
      <c r="AR93" s="945">
        <f>+$AN93*'ref.지급기준 (2)'!G92</f>
        <v>158976000</v>
      </c>
      <c r="AS93" s="884">
        <f t="shared" si="45"/>
        <v>0</v>
      </c>
      <c r="AT93" s="884">
        <f>+$AN93*'ref.지급기준 (2)'!I92</f>
        <v>0</v>
      </c>
      <c r="AU93" s="884">
        <f t="shared" si="46"/>
        <v>0</v>
      </c>
      <c r="AV93" s="884">
        <f>+$AN93*'ref.지급기준 (2)'!K92</f>
        <v>0</v>
      </c>
      <c r="AW93" s="884"/>
      <c r="AX93" s="884">
        <f>+$AN93*'ref.지급기준 (2)'!M92</f>
        <v>39744000</v>
      </c>
      <c r="AY93" s="884"/>
      <c r="AZ93" s="884">
        <f>+$AN93*'ref.지급기준 (2)'!O92</f>
        <v>0</v>
      </c>
      <c r="BA93" s="890"/>
      <c r="BC93" s="393"/>
      <c r="BD93" s="393" t="b">
        <f t="shared" si="71"/>
        <v>1</v>
      </c>
      <c r="BE93" s="393"/>
      <c r="BF93" s="393"/>
      <c r="BG93" s="393"/>
      <c r="BH93" s="393"/>
      <c r="BI93" s="393"/>
      <c r="BJ93" s="393"/>
      <c r="BK93" s="393"/>
      <c r="BL93" s="393"/>
      <c r="BM93" s="393"/>
      <c r="BN93" s="408"/>
      <c r="BO93" s="408"/>
    </row>
    <row r="94" spans="1:67" ht="17.25" thickBot="1">
      <c r="A94" s="394"/>
      <c r="B94" s="2625"/>
      <c r="C94" s="2628"/>
      <c r="D94" s="2628"/>
      <c r="E94" s="2632"/>
      <c r="F94" s="2634"/>
      <c r="G94" s="2651"/>
      <c r="H94" s="2653"/>
      <c r="I94" s="2655"/>
      <c r="J94" s="2655"/>
      <c r="K94" s="999" t="s">
        <v>129</v>
      </c>
      <c r="L94" s="900">
        <f>+'ref.지급기준 (2)'!F93*'ref.지급기준 (2)'!D93/1000</f>
        <v>0</v>
      </c>
      <c r="M94" s="900"/>
      <c r="N94" s="1003"/>
      <c r="O94" s="2661"/>
      <c r="P94" s="2664"/>
      <c r="Q94" s="411"/>
      <c r="R94" s="936"/>
      <c r="S94" s="995"/>
      <c r="T94" s="2658"/>
      <c r="U94" s="935">
        <f>+S94/T90</f>
        <v>0</v>
      </c>
      <c r="V94" s="936" t="str">
        <f t="shared" si="72"/>
        <v>-</v>
      </c>
      <c r="W94" s="937"/>
      <c r="X94" s="937"/>
      <c r="Y94" s="937" t="str">
        <f t="shared" si="38"/>
        <v>-</v>
      </c>
      <c r="Z94" s="937"/>
      <c r="AA94" s="938"/>
      <c r="AB94" s="937" t="str">
        <f t="shared" si="39"/>
        <v>-</v>
      </c>
      <c r="AC94" s="937"/>
      <c r="AD94" s="938"/>
      <c r="AE94" s="937" t="str">
        <f t="shared" si="40"/>
        <v>-</v>
      </c>
      <c r="AF94" s="937"/>
      <c r="AG94" s="938"/>
      <c r="AH94" s="937">
        <f t="shared" si="41"/>
        <v>0</v>
      </c>
      <c r="AI94" s="937"/>
      <c r="AJ94" s="937"/>
      <c r="AK94" s="937"/>
      <c r="AL94" s="937"/>
      <c r="AM94" s="937"/>
      <c r="AN94" s="939">
        <f t="shared" si="43"/>
        <v>0</v>
      </c>
      <c r="AO94" s="939">
        <f>+AR94+AT94</f>
        <v>0</v>
      </c>
      <c r="AP94" s="940"/>
      <c r="AQ94" s="407"/>
      <c r="AR94" s="947">
        <f>+$AN94*'ref.지급기준 (2)'!G93</f>
        <v>0</v>
      </c>
      <c r="AS94" s="928">
        <f t="shared" si="45"/>
        <v>0</v>
      </c>
      <c r="AT94" s="928">
        <f>+$AN94*'ref.지급기준 (2)'!I93</f>
        <v>0</v>
      </c>
      <c r="AU94" s="928">
        <f t="shared" si="46"/>
        <v>0</v>
      </c>
      <c r="AV94" s="928">
        <f>+$AN94*'ref.지급기준 (2)'!K93</f>
        <v>0</v>
      </c>
      <c r="AW94" s="928"/>
      <c r="AX94" s="928">
        <f>+$AN94*'ref.지급기준 (2)'!M93</f>
        <v>0</v>
      </c>
      <c r="AY94" s="928"/>
      <c r="AZ94" s="928">
        <f>+$AN94*'ref.지급기준 (2)'!O93</f>
        <v>0</v>
      </c>
      <c r="BA94" s="997"/>
      <c r="BC94" s="393"/>
      <c r="BD94" s="393"/>
      <c r="BE94" s="393"/>
      <c r="BF94" s="393"/>
      <c r="BG94" s="393"/>
      <c r="BH94" s="393"/>
      <c r="BI94" s="393"/>
      <c r="BJ94" s="393"/>
      <c r="BK94" s="393"/>
      <c r="BL94" s="393"/>
      <c r="BM94" s="393"/>
      <c r="BN94" s="408"/>
      <c r="BO94" s="408"/>
    </row>
  </sheetData>
  <mergeCells count="156">
    <mergeCell ref="BC2:BD2"/>
    <mergeCell ref="B3:B4"/>
    <mergeCell ref="C3:C4"/>
    <mergeCell ref="D3:D4"/>
    <mergeCell ref="E3:F4"/>
    <mergeCell ref="O3:O4"/>
    <mergeCell ref="P3:P4"/>
    <mergeCell ref="R3:U3"/>
    <mergeCell ref="V3:X3"/>
    <mergeCell ref="G3:G4"/>
    <mergeCell ref="H3:H4"/>
    <mergeCell ref="I3:I4"/>
    <mergeCell ref="J3:J4"/>
    <mergeCell ref="K3:K4"/>
    <mergeCell ref="L3:L4"/>
    <mergeCell ref="AZ3:BA3"/>
    <mergeCell ref="BB3:BB4"/>
    <mergeCell ref="BC3:BD3"/>
    <mergeCell ref="AR3:AS3"/>
    <mergeCell ref="AV3:AW3"/>
    <mergeCell ref="AX3:AY3"/>
    <mergeCell ref="Y3:AA3"/>
    <mergeCell ref="AB3:AD3"/>
    <mergeCell ref="AE3:AG3"/>
    <mergeCell ref="G20:G24"/>
    <mergeCell ref="H20:H24"/>
    <mergeCell ref="I20:I24"/>
    <mergeCell ref="J20:J24"/>
    <mergeCell ref="I25:I29"/>
    <mergeCell ref="J25:J29"/>
    <mergeCell ref="T25:T29"/>
    <mergeCell ref="F40:F44"/>
    <mergeCell ref="G40:G44"/>
    <mergeCell ref="H40:H44"/>
    <mergeCell ref="I40:I44"/>
    <mergeCell ref="J40:J44"/>
    <mergeCell ref="T40:T44"/>
    <mergeCell ref="T35:T39"/>
    <mergeCell ref="AT3:AU3"/>
    <mergeCell ref="M3:M4"/>
    <mergeCell ref="N3:N4"/>
    <mergeCell ref="T20:T24"/>
    <mergeCell ref="O5:O44"/>
    <mergeCell ref="P5:P44"/>
    <mergeCell ref="T5:T9"/>
    <mergeCell ref="F30:F34"/>
    <mergeCell ref="G30:G34"/>
    <mergeCell ref="H30:H34"/>
    <mergeCell ref="I30:I34"/>
    <mergeCell ref="J30:J34"/>
    <mergeCell ref="T30:T34"/>
    <mergeCell ref="F25:F29"/>
    <mergeCell ref="G25:G29"/>
    <mergeCell ref="H25:H29"/>
    <mergeCell ref="AH3:AJ3"/>
    <mergeCell ref="AK3:AM3"/>
    <mergeCell ref="AN3:AN4"/>
    <mergeCell ref="AO3:AO4"/>
    <mergeCell ref="AP3:AP4"/>
    <mergeCell ref="I15:I19"/>
    <mergeCell ref="J15:J19"/>
    <mergeCell ref="T15:T19"/>
    <mergeCell ref="BB45:BB74"/>
    <mergeCell ref="F50:F54"/>
    <mergeCell ref="G50:G54"/>
    <mergeCell ref="H50:H54"/>
    <mergeCell ref="I50:I54"/>
    <mergeCell ref="J50:J54"/>
    <mergeCell ref="T50:T54"/>
    <mergeCell ref="T55:T59"/>
    <mergeCell ref="BB5:BB44"/>
    <mergeCell ref="F10:F14"/>
    <mergeCell ref="G10:G14"/>
    <mergeCell ref="H10:H14"/>
    <mergeCell ref="I10:I14"/>
    <mergeCell ref="J10:J14"/>
    <mergeCell ref="T10:T14"/>
    <mergeCell ref="F5:F9"/>
    <mergeCell ref="G5:G9"/>
    <mergeCell ref="H5:H9"/>
    <mergeCell ref="I5:I9"/>
    <mergeCell ref="J5:J9"/>
    <mergeCell ref="F15:F19"/>
    <mergeCell ref="G15:G19"/>
    <mergeCell ref="H15:H19"/>
    <mergeCell ref="H55:H59"/>
    <mergeCell ref="I55:I59"/>
    <mergeCell ref="J55:J59"/>
    <mergeCell ref="F60:F64"/>
    <mergeCell ref="G60:G64"/>
    <mergeCell ref="H60:H64"/>
    <mergeCell ref="I60:I64"/>
    <mergeCell ref="J60:J64"/>
    <mergeCell ref="F35:F39"/>
    <mergeCell ref="G35:G39"/>
    <mergeCell ref="H35:H39"/>
    <mergeCell ref="I35:I39"/>
    <mergeCell ref="J35:J39"/>
    <mergeCell ref="T80:T84"/>
    <mergeCell ref="T60:T64"/>
    <mergeCell ref="O45:O74"/>
    <mergeCell ref="P45:P74"/>
    <mergeCell ref="T45:T49"/>
    <mergeCell ref="F70:F74"/>
    <mergeCell ref="G70:G74"/>
    <mergeCell ref="H70:H74"/>
    <mergeCell ref="I70:I74"/>
    <mergeCell ref="J70:J74"/>
    <mergeCell ref="T70:T74"/>
    <mergeCell ref="F65:F69"/>
    <mergeCell ref="G65:G69"/>
    <mergeCell ref="H65:H69"/>
    <mergeCell ref="I65:I69"/>
    <mergeCell ref="J65:J69"/>
    <mergeCell ref="T65:T69"/>
    <mergeCell ref="F45:F49"/>
    <mergeCell ref="G45:G49"/>
    <mergeCell ref="H45:H49"/>
    <mergeCell ref="I45:I49"/>
    <mergeCell ref="J45:J49"/>
    <mergeCell ref="F55:F59"/>
    <mergeCell ref="G55:G59"/>
    <mergeCell ref="G85:G89"/>
    <mergeCell ref="H85:H89"/>
    <mergeCell ref="I85:I89"/>
    <mergeCell ref="J85:J89"/>
    <mergeCell ref="T85:T89"/>
    <mergeCell ref="F90:F94"/>
    <mergeCell ref="G90:G94"/>
    <mergeCell ref="H90:H94"/>
    <mergeCell ref="I90:I94"/>
    <mergeCell ref="J90:J94"/>
    <mergeCell ref="T90:T94"/>
    <mergeCell ref="O75:O94"/>
    <mergeCell ref="P75:P94"/>
    <mergeCell ref="F75:F79"/>
    <mergeCell ref="G75:G79"/>
    <mergeCell ref="H75:H79"/>
    <mergeCell ref="I75:I79"/>
    <mergeCell ref="J75:J79"/>
    <mergeCell ref="T75:T79"/>
    <mergeCell ref="F80:F84"/>
    <mergeCell ref="G80:G84"/>
    <mergeCell ref="H80:H84"/>
    <mergeCell ref="I80:I84"/>
    <mergeCell ref="J80:J84"/>
    <mergeCell ref="B5:B94"/>
    <mergeCell ref="D75:D94"/>
    <mergeCell ref="C75:C94"/>
    <mergeCell ref="E75:E94"/>
    <mergeCell ref="F85:F89"/>
    <mergeCell ref="C5:C74"/>
    <mergeCell ref="D5:D74"/>
    <mergeCell ref="E45:E74"/>
    <mergeCell ref="E5:E44"/>
    <mergeCell ref="F20:F24"/>
  </mergeCells>
  <phoneticPr fontId="19" type="noConversion"/>
  <printOptions horizontalCentered="1"/>
  <pageMargins left="0" right="0" top="0.39370078740157483" bottom="0" header="0" footer="0"/>
  <pageSetup paperSize="8" scale="33"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E4E7-0874-4A48-8EED-475478CEBFDB}">
  <sheetPr codeName="Sheet3">
    <tabColor rgb="FFFF0000"/>
    <pageSetUpPr fitToPage="1"/>
  </sheetPr>
  <dimension ref="A1:BP196"/>
  <sheetViews>
    <sheetView showGridLines="0" zoomScale="115" zoomScaleNormal="115" zoomScaleSheetLayoutView="55" workbookViewId="0">
      <pane xSplit="10" ySplit="4" topLeftCell="P154" activePane="bottomRight" state="frozen"/>
      <selection pane="topRight" activeCell="K1" sqref="K1"/>
      <selection pane="bottomLeft" activeCell="A5" sqref="A5"/>
      <selection pane="bottomRight" activeCell="R174" sqref="R174"/>
    </sheetView>
  </sheetViews>
  <sheetFormatPr defaultColWidth="9" defaultRowHeight="16.5" outlineLevelRow="1" outlineLevelCol="1"/>
  <cols>
    <col min="1" max="1" width="1.625" style="400" customWidth="1"/>
    <col min="2" max="2" width="4.875" style="400" customWidth="1"/>
    <col min="3" max="3" width="21" style="400" bestFit="1" customWidth="1"/>
    <col min="4" max="4" width="12.625" style="400" hidden="1" customWidth="1" outlineLevel="1"/>
    <col min="5" max="5" width="12.375" style="400" hidden="1" customWidth="1" outlineLevel="1"/>
    <col min="6" max="6" width="17" style="400" hidden="1" customWidth="1" outlineLevel="1"/>
    <col min="7" max="7" width="8.125" style="400" hidden="1" customWidth="1" outlineLevel="1"/>
    <col min="8" max="8" width="8.625" style="400" hidden="1" customWidth="1" outlineLevel="1"/>
    <col min="9" max="9" width="16.75" style="400" customWidth="1" collapsed="1"/>
    <col min="10" max="10" width="17.375" style="400" customWidth="1"/>
    <col min="11" max="11" width="8.875" style="400" customWidth="1"/>
    <col min="12" max="14" width="8.625" style="400" customWidth="1"/>
    <col min="15" max="15" width="16.5" style="400" bestFit="1" customWidth="1"/>
    <col min="16" max="18" width="13.625" style="400" customWidth="1"/>
    <col min="19" max="19" width="4.875" style="400" hidden="1" customWidth="1"/>
    <col min="20" max="20" width="6.875" style="400" customWidth="1"/>
    <col min="21" max="21" width="13.625" style="400" customWidth="1"/>
    <col min="22" max="22" width="5.5" style="400" customWidth="1"/>
    <col min="23" max="24" width="12.125" style="400" customWidth="1"/>
    <col min="25" max="26" width="6.875" style="400" customWidth="1"/>
    <col min="27" max="28" width="12.125" style="400" customWidth="1"/>
    <col min="29" max="29" width="6.875" style="400" customWidth="1"/>
    <col min="30" max="31" width="12.125" style="400" customWidth="1"/>
    <col min="32" max="32" width="6.875" style="400" customWidth="1"/>
    <col min="33" max="34" width="12.125" style="400" customWidth="1"/>
    <col min="35" max="35" width="6.875" style="400" customWidth="1"/>
    <col min="36" max="37" width="12.125" style="400" customWidth="1"/>
    <col min="38" max="38" width="6.75" style="400" hidden="1" customWidth="1"/>
    <col min="39" max="40" width="12.375" style="400" hidden="1" customWidth="1"/>
    <col min="41" max="43" width="13.625" style="400" customWidth="1"/>
    <col min="44" max="44" width="3.625" style="391" customWidth="1"/>
    <col min="45" max="54" width="13.625" style="400" customWidth="1" outlineLevel="1"/>
    <col min="55" max="55" width="22.25" style="412" customWidth="1" outlineLevel="1"/>
    <col min="56" max="16384" width="9" style="400"/>
  </cols>
  <sheetData>
    <row r="1" spans="1:68" s="391" customFormat="1">
      <c r="L1" s="1907"/>
      <c r="M1" s="1907"/>
      <c r="N1" s="1907"/>
      <c r="BC1" s="392"/>
    </row>
    <row r="2" spans="1:68" ht="17.25" thickBot="1">
      <c r="A2" s="393"/>
      <c r="B2" s="2769" t="s">
        <v>1183</v>
      </c>
      <c r="C2" s="2769"/>
      <c r="D2" s="395"/>
      <c r="E2" s="395"/>
      <c r="F2" s="395"/>
      <c r="G2" s="395"/>
      <c r="H2" s="395"/>
      <c r="I2" s="395"/>
      <c r="J2" s="395"/>
      <c r="K2" s="395"/>
      <c r="L2" s="1907"/>
      <c r="M2" s="1907"/>
      <c r="N2" s="1519"/>
      <c r="O2" s="393"/>
      <c r="P2" s="396"/>
      <c r="Q2" s="396"/>
      <c r="R2" s="396"/>
      <c r="S2" s="393"/>
      <c r="T2" s="393"/>
      <c r="U2" s="393"/>
      <c r="V2" s="393"/>
      <c r="W2" s="393"/>
      <c r="X2" s="393"/>
      <c r="Y2" s="393"/>
      <c r="Z2" s="393"/>
      <c r="AA2" s="393"/>
      <c r="AB2" s="393"/>
      <c r="AC2" s="393"/>
      <c r="AD2" s="751"/>
      <c r="AE2" s="752"/>
      <c r="AF2" s="393"/>
      <c r="AG2" s="393"/>
      <c r="AH2" s="393"/>
      <c r="AI2" s="393"/>
      <c r="AJ2" s="393"/>
      <c r="AK2" s="393"/>
      <c r="AL2" s="393"/>
      <c r="AM2" s="393"/>
      <c r="AN2" s="393"/>
      <c r="AO2" s="397"/>
      <c r="AP2" s="397"/>
      <c r="AQ2" s="393"/>
      <c r="AR2" s="398"/>
      <c r="AS2" s="393"/>
      <c r="AT2" s="393"/>
      <c r="AU2" s="393"/>
      <c r="AV2" s="393"/>
      <c r="AW2" s="393"/>
      <c r="AX2" s="393"/>
      <c r="AY2" s="393"/>
      <c r="AZ2" s="399"/>
      <c r="BA2" s="399"/>
      <c r="BB2" s="399"/>
      <c r="BC2" s="395"/>
      <c r="BD2" s="2700"/>
      <c r="BE2" s="2700"/>
      <c r="BF2" s="393"/>
      <c r="BG2" s="393"/>
      <c r="BH2" s="393"/>
      <c r="BI2" s="393"/>
      <c r="BJ2" s="393"/>
      <c r="BK2" s="393"/>
      <c r="BL2" s="393"/>
      <c r="BM2" s="393"/>
      <c r="BN2" s="393"/>
      <c r="BO2" s="393"/>
      <c r="BP2" s="393"/>
    </row>
    <row r="3" spans="1:68" s="405" customFormat="1" ht="28.15" customHeight="1">
      <c r="A3" s="401"/>
      <c r="B3" s="2701" t="s">
        <v>24</v>
      </c>
      <c r="C3" s="2775" t="s">
        <v>1237</v>
      </c>
      <c r="D3" s="2695" t="s">
        <v>1238</v>
      </c>
      <c r="E3" s="2695" t="s">
        <v>1239</v>
      </c>
      <c r="F3" s="2696" t="s">
        <v>1240</v>
      </c>
      <c r="G3" s="2687" t="s">
        <v>1184</v>
      </c>
      <c r="H3" s="2695" t="s">
        <v>1185</v>
      </c>
      <c r="I3" s="2705" t="s">
        <v>1186</v>
      </c>
      <c r="J3" s="2706"/>
      <c r="K3" s="2687" t="s">
        <v>100</v>
      </c>
      <c r="L3" s="2687" t="s">
        <v>1188</v>
      </c>
      <c r="M3" s="2687" t="s">
        <v>1189</v>
      </c>
      <c r="N3" s="2687" t="s">
        <v>1190</v>
      </c>
      <c r="O3" s="2687" t="s">
        <v>102</v>
      </c>
      <c r="P3" s="2687" t="s">
        <v>103</v>
      </c>
      <c r="Q3" s="2687" t="s">
        <v>104</v>
      </c>
      <c r="R3" s="2687" t="s">
        <v>105</v>
      </c>
      <c r="S3" s="402"/>
      <c r="T3" s="2694" t="s">
        <v>1193</v>
      </c>
      <c r="U3" s="2695"/>
      <c r="V3" s="1584" t="s">
        <v>1241</v>
      </c>
      <c r="W3" s="1582"/>
      <c r="X3" s="1581"/>
      <c r="Y3" s="1581"/>
      <c r="Z3" s="2694" t="s">
        <v>238</v>
      </c>
      <c r="AA3" s="2695"/>
      <c r="AB3" s="2696"/>
      <c r="AC3" s="2694" t="s">
        <v>109</v>
      </c>
      <c r="AD3" s="2695"/>
      <c r="AE3" s="2696"/>
      <c r="AF3" s="2694" t="s">
        <v>110</v>
      </c>
      <c r="AG3" s="2695"/>
      <c r="AH3" s="2696"/>
      <c r="AI3" s="2694" t="s">
        <v>111</v>
      </c>
      <c r="AJ3" s="2695"/>
      <c r="AK3" s="2696"/>
      <c r="AL3" s="2694" t="s">
        <v>112</v>
      </c>
      <c r="AM3" s="2695"/>
      <c r="AN3" s="2696"/>
      <c r="AO3" s="2687" t="s">
        <v>1194</v>
      </c>
      <c r="AP3" s="2687" t="s">
        <v>1195</v>
      </c>
      <c r="AQ3" s="2698" t="s">
        <v>1196</v>
      </c>
      <c r="AR3" s="403"/>
      <c r="AS3" s="2713" t="s">
        <v>1197</v>
      </c>
      <c r="AT3" s="2687"/>
      <c r="AU3" s="2687" t="s">
        <v>1198</v>
      </c>
      <c r="AV3" s="2687"/>
      <c r="AW3" s="2687" t="s">
        <v>1199</v>
      </c>
      <c r="AX3" s="2687"/>
      <c r="AY3" s="2687" t="s">
        <v>1200</v>
      </c>
      <c r="AZ3" s="2687"/>
      <c r="BA3" s="2687" t="s">
        <v>1201</v>
      </c>
      <c r="BB3" s="2687"/>
      <c r="BC3" s="2710" t="s">
        <v>1202</v>
      </c>
      <c r="BD3" s="2712"/>
      <c r="BE3" s="2712"/>
      <c r="BF3" s="401"/>
      <c r="BG3" s="401"/>
      <c r="BH3" s="401"/>
      <c r="BI3" s="401"/>
      <c r="BJ3" s="401"/>
      <c r="BK3" s="401"/>
      <c r="BL3" s="401"/>
      <c r="BM3" s="401"/>
      <c r="BN3" s="401"/>
      <c r="BO3" s="404"/>
      <c r="BP3" s="404"/>
    </row>
    <row r="4" spans="1:68" s="405" customFormat="1" ht="28.15" customHeight="1" thickBot="1">
      <c r="A4" s="401"/>
      <c r="B4" s="2702"/>
      <c r="C4" s="2776"/>
      <c r="D4" s="2777"/>
      <c r="E4" s="2777"/>
      <c r="F4" s="2778"/>
      <c r="G4" s="2703"/>
      <c r="H4" s="2704"/>
      <c r="I4" s="2707"/>
      <c r="J4" s="2708"/>
      <c r="K4" s="2688"/>
      <c r="L4" s="2709"/>
      <c r="M4" s="2688"/>
      <c r="N4" s="2688"/>
      <c r="O4" s="2688"/>
      <c r="P4" s="2688"/>
      <c r="Q4" s="2688"/>
      <c r="R4" s="2688"/>
      <c r="S4" s="406"/>
      <c r="T4" s="980" t="s">
        <v>115</v>
      </c>
      <c r="U4" s="979" t="s">
        <v>1203</v>
      </c>
      <c r="V4" s="1583" t="s">
        <v>1242</v>
      </c>
      <c r="W4" s="1583" t="s">
        <v>1243</v>
      </c>
      <c r="X4" s="1583" t="s">
        <v>1244</v>
      </c>
      <c r="Y4" s="894"/>
      <c r="Z4" s="894" t="s">
        <v>115</v>
      </c>
      <c r="AA4" s="894" t="s">
        <v>1206</v>
      </c>
      <c r="AB4" s="894" t="s">
        <v>1207</v>
      </c>
      <c r="AC4" s="894" t="s">
        <v>115</v>
      </c>
      <c r="AD4" s="894" t="s">
        <v>1206</v>
      </c>
      <c r="AE4" s="894" t="s">
        <v>1207</v>
      </c>
      <c r="AF4" s="894" t="s">
        <v>115</v>
      </c>
      <c r="AG4" s="894" t="s">
        <v>1206</v>
      </c>
      <c r="AH4" s="894" t="s">
        <v>1207</v>
      </c>
      <c r="AI4" s="894" t="s">
        <v>115</v>
      </c>
      <c r="AJ4" s="894" t="s">
        <v>1206</v>
      </c>
      <c r="AK4" s="894" t="s">
        <v>1207</v>
      </c>
      <c r="AL4" s="894" t="s">
        <v>115</v>
      </c>
      <c r="AM4" s="894" t="s">
        <v>1206</v>
      </c>
      <c r="AN4" s="894" t="s">
        <v>1207</v>
      </c>
      <c r="AO4" s="2697"/>
      <c r="AP4" s="2697"/>
      <c r="AQ4" s="2699"/>
      <c r="AR4" s="403"/>
      <c r="AS4" s="941" t="s">
        <v>1208</v>
      </c>
      <c r="AT4" s="942" t="s">
        <v>1209</v>
      </c>
      <c r="AU4" s="942" t="s">
        <v>1208</v>
      </c>
      <c r="AV4" s="942" t="s">
        <v>1209</v>
      </c>
      <c r="AW4" s="942" t="s">
        <v>1208</v>
      </c>
      <c r="AX4" s="942" t="s">
        <v>1209</v>
      </c>
      <c r="AY4" s="942" t="s">
        <v>1208</v>
      </c>
      <c r="AZ4" s="942" t="s">
        <v>1209</v>
      </c>
      <c r="BA4" s="942" t="s">
        <v>1208</v>
      </c>
      <c r="BB4" s="942" t="s">
        <v>1209</v>
      </c>
      <c r="BC4" s="2711"/>
      <c r="BD4" s="401"/>
      <c r="BE4" s="401"/>
      <c r="BF4" s="401"/>
      <c r="BG4" s="401"/>
      <c r="BH4" s="401"/>
      <c r="BI4" s="401"/>
      <c r="BJ4" s="401"/>
      <c r="BK4" s="401"/>
      <c r="BL4" s="401"/>
      <c r="BM4" s="401"/>
      <c r="BN4" s="401"/>
      <c r="BO4" s="404"/>
      <c r="BP4" s="404"/>
    </row>
    <row r="5" spans="1:68">
      <c r="A5" s="394"/>
      <c r="B5" s="2774">
        <v>2</v>
      </c>
      <c r="C5" s="2779" t="s">
        <v>1245</v>
      </c>
      <c r="D5" s="2650" t="s">
        <v>1246</v>
      </c>
      <c r="E5" s="2770" t="s">
        <v>1247</v>
      </c>
      <c r="F5" s="2771" t="s">
        <v>1248</v>
      </c>
      <c r="G5" s="2773">
        <f>SUBTOTAL(103,I5:I64)</f>
        <v>11</v>
      </c>
      <c r="H5" s="2772" t="s">
        <v>1249</v>
      </c>
      <c r="I5" s="2787" t="s">
        <v>1250</v>
      </c>
      <c r="J5" s="2785" t="s">
        <v>1251</v>
      </c>
      <c r="K5" s="2791">
        <f>+'DG-PV Organic'!O9</f>
        <v>1041</v>
      </c>
      <c r="L5" s="2730">
        <f>+'DG-PV Organic'!H9</f>
        <v>0.1033</v>
      </c>
      <c r="M5" s="2717">
        <f>+'DG-PV Organic'!J10</f>
        <v>0.105</v>
      </c>
      <c r="N5" s="2717" t="s">
        <v>1213</v>
      </c>
      <c r="O5" s="893" t="s">
        <v>125</v>
      </c>
      <c r="P5" s="904">
        <f>+'PAYMENT RATIO_RAW'!F34*'SPVs Status 3'!$K$5/1000</f>
        <v>1093050000</v>
      </c>
      <c r="Q5" s="904">
        <f>+P5*10%</f>
        <v>109305000</v>
      </c>
      <c r="R5" s="905">
        <f t="shared" ref="R5:R63" si="0">SUM(P5:Q5)</f>
        <v>1202355000</v>
      </c>
      <c r="S5" s="874" t="b">
        <f t="shared" ref="S5:S36" si="1">+R5=AO5</f>
        <v>1</v>
      </c>
      <c r="T5" s="983">
        <f>+IFERROR(U5/R5,"-")</f>
        <v>0</v>
      </c>
      <c r="U5" s="984">
        <f>+IFERROR(X5+AA5+AD5+AG5+AJ5+AM5,"-")</f>
        <v>0</v>
      </c>
      <c r="V5" s="912">
        <f t="shared" ref="V5:V36" si="2">+IFERROR(X5/$R5,"-")</f>
        <v>0</v>
      </c>
      <c r="W5" s="883">
        <f>AE8</f>
        <v>45838</v>
      </c>
      <c r="X5" s="991"/>
      <c r="Y5" s="912"/>
      <c r="Z5" s="877">
        <f t="shared" ref="Z5" si="3">+IFERROR(AA5/$R5,"-")</f>
        <v>0</v>
      </c>
      <c r="AA5" s="877"/>
      <c r="AB5" s="883">
        <f>+EDATE(W5,1)</f>
        <v>45868</v>
      </c>
      <c r="AC5" s="877">
        <f t="shared" ref="AC5" si="4">+IFERROR(AD5/$R5,"-")</f>
        <v>0</v>
      </c>
      <c r="AD5" s="877"/>
      <c r="AE5" s="883">
        <f t="shared" ref="AE5" si="5">+EDATE(AB5,3)</f>
        <v>45960</v>
      </c>
      <c r="AF5" s="877">
        <f t="shared" ref="AF5" si="6">+IFERROR(AG5/$R5,"-")</f>
        <v>0</v>
      </c>
      <c r="AG5" s="877"/>
      <c r="AH5" s="883">
        <f t="shared" ref="AH5" si="7">+EDATE(AB5,4)</f>
        <v>45991</v>
      </c>
      <c r="AI5" s="877" t="str">
        <f>+IFERROR(AJ5/#REF!,"-")</f>
        <v>-</v>
      </c>
      <c r="AJ5" s="877"/>
      <c r="AK5" s="883">
        <f>+EDATE(AB5,6)+1</f>
        <v>46053</v>
      </c>
      <c r="AL5" s="912" t="str">
        <f>+IFERROR(AM5/#REF!,"-")</f>
        <v>-</v>
      </c>
      <c r="AM5" s="912"/>
      <c r="AN5" s="912"/>
      <c r="AO5" s="920">
        <f t="shared" ref="AO5:AO36" si="8">+R5</f>
        <v>1202355000</v>
      </c>
      <c r="AP5" s="920">
        <f t="shared" ref="AP5:AP63" si="9">+AS5</f>
        <v>120235500</v>
      </c>
      <c r="AQ5" s="993" t="s">
        <v>793</v>
      </c>
      <c r="AR5" s="410"/>
      <c r="AS5" s="945">
        <f>+$AO5*'ref.지급기준 (2)'!G94</f>
        <v>120235500</v>
      </c>
      <c r="AT5" s="884">
        <f t="shared" ref="AT5:AT36" si="10">+X5</f>
        <v>0</v>
      </c>
      <c r="AU5" s="884">
        <f>+$AO5*'ref.지급기준 (2)'!I94</f>
        <v>240471000</v>
      </c>
      <c r="AV5" s="884">
        <f t="shared" ref="AV5:AV63" si="11">+AA5</f>
        <v>0</v>
      </c>
      <c r="AW5" s="884">
        <f>+$AO5*'ref.지급기준 (2)'!K94</f>
        <v>480942000</v>
      </c>
      <c r="AX5" s="884"/>
      <c r="AY5" s="884">
        <f>+$AO5*'ref.지급기준 (2)'!M94</f>
        <v>300588750</v>
      </c>
      <c r="AZ5" s="884"/>
      <c r="BA5" s="884">
        <f>+$AO5*'ref.지급기준 (2)'!O94</f>
        <v>60117750</v>
      </c>
      <c r="BB5" s="890"/>
      <c r="BC5" s="2718" t="s">
        <v>1252</v>
      </c>
      <c r="BD5" s="393"/>
      <c r="BE5" s="393" t="b">
        <f>+(BA5+AY5+AW5+AU5+AS5)=R5</f>
        <v>1</v>
      </c>
      <c r="BF5" s="393"/>
      <c r="BG5" s="393"/>
      <c r="BH5" s="393"/>
      <c r="BI5" s="393"/>
      <c r="BJ5" s="393"/>
      <c r="BK5" s="393"/>
      <c r="BL5" s="393"/>
      <c r="BM5" s="393"/>
      <c r="BN5" s="393"/>
      <c r="BO5" s="408"/>
      <c r="BP5" s="408"/>
    </row>
    <row r="6" spans="1:68">
      <c r="A6" s="394"/>
      <c r="B6" s="2774"/>
      <c r="C6" s="2780"/>
      <c r="D6" s="2650"/>
      <c r="E6" s="2770"/>
      <c r="F6" s="2771"/>
      <c r="G6" s="2773"/>
      <c r="H6" s="2772"/>
      <c r="I6" s="2731"/>
      <c r="J6" s="2786"/>
      <c r="K6" s="2792"/>
      <c r="L6" s="2652"/>
      <c r="M6" s="2654"/>
      <c r="N6" s="2654"/>
      <c r="O6" s="875" t="s">
        <v>126</v>
      </c>
      <c r="P6" s="896">
        <f>+'PAYMENT RATIO_RAW'!F35*'SPVs Status 3'!$K$5/1000</f>
        <v>312300000</v>
      </c>
      <c r="Q6" s="896">
        <f>+P6*10%</f>
        <v>31230000</v>
      </c>
      <c r="R6" s="897">
        <f t="shared" si="0"/>
        <v>343530000</v>
      </c>
      <c r="S6" s="874" t="b">
        <f t="shared" si="1"/>
        <v>1</v>
      </c>
      <c r="T6" s="908">
        <f>+IFERROR(U6/R6,"-")</f>
        <v>0.30000000000000004</v>
      </c>
      <c r="U6" s="909">
        <f>+IFERROR(X6+AA6+AD6+AG6+AJ6+AM6,"-")</f>
        <v>103059000.00000001</v>
      </c>
      <c r="V6" s="879">
        <f t="shared" si="2"/>
        <v>0.30000000000000004</v>
      </c>
      <c r="W6" s="889">
        <v>45714</v>
      </c>
      <c r="X6" s="880">
        <f>300000000*K5/1000*30%*1.1</f>
        <v>103059000.00000001</v>
      </c>
      <c r="Y6" s="879"/>
      <c r="Z6" s="877">
        <f t="shared" ref="Z6:Z65" si="12">+IFERROR(AA6/$R6,"-")</f>
        <v>0</v>
      </c>
      <c r="AA6" s="886"/>
      <c r="AB6" s="883">
        <v>45807</v>
      </c>
      <c r="AC6" s="877">
        <f t="shared" ref="AC6:AC65" si="13">+IFERROR(AD6/$R6,"-")</f>
        <v>0</v>
      </c>
      <c r="AD6" s="877"/>
      <c r="AE6" s="883">
        <f>+EDATE(AB6,1)</f>
        <v>45838</v>
      </c>
      <c r="AF6" s="877">
        <f t="shared" ref="AF6:AF65" si="14">+IFERROR(AG6/$R6,"-")</f>
        <v>0</v>
      </c>
      <c r="AG6" s="877"/>
      <c r="AH6" s="883">
        <f>+EDATE(AB5,9)</f>
        <v>46142</v>
      </c>
      <c r="AI6" s="877" t="str">
        <f>+IFERROR(AJ6/#REF!,"-")</f>
        <v>-</v>
      </c>
      <c r="AJ6" s="877"/>
      <c r="AK6" s="877"/>
      <c r="AL6" s="877" t="str">
        <f>+IFERROR(AM6/#REF!,"-")</f>
        <v>-</v>
      </c>
      <c r="AM6" s="877"/>
      <c r="AN6" s="877"/>
      <c r="AO6" s="884">
        <f t="shared" si="8"/>
        <v>343530000</v>
      </c>
      <c r="AP6" s="884">
        <f t="shared" si="9"/>
        <v>103059000</v>
      </c>
      <c r="AQ6" s="888"/>
      <c r="AR6" s="410"/>
      <c r="AS6" s="945">
        <f>+$AO6*'ref.지급기준 (2)'!G95</f>
        <v>103059000</v>
      </c>
      <c r="AT6" s="884">
        <f t="shared" si="10"/>
        <v>103059000.00000001</v>
      </c>
      <c r="AU6" s="884">
        <f>+$AO6*'ref.지급기준 (2)'!I95</f>
        <v>34353000</v>
      </c>
      <c r="AV6" s="884">
        <f t="shared" si="11"/>
        <v>0</v>
      </c>
      <c r="AW6" s="884">
        <f>+$AO6*'ref.지급기준 (2)'!K95</f>
        <v>171765000</v>
      </c>
      <c r="AX6" s="884"/>
      <c r="AY6" s="884">
        <f>+$AO6*'ref.지급기준 (2)'!M95</f>
        <v>34353000</v>
      </c>
      <c r="AZ6" s="884"/>
      <c r="BA6" s="884">
        <f>+$AO6*'ref.지급기준 (2)'!O95</f>
        <v>0</v>
      </c>
      <c r="BB6" s="890"/>
      <c r="BC6" s="2719"/>
      <c r="BD6" s="393"/>
      <c r="BE6" s="393" t="b">
        <f>+(BA6+AY6+AW6+AU6+AS6)=R6</f>
        <v>1</v>
      </c>
      <c r="BF6" s="393"/>
      <c r="BG6" s="393"/>
      <c r="BH6" s="393"/>
      <c r="BI6" s="393"/>
      <c r="BJ6" s="393"/>
      <c r="BK6" s="393"/>
      <c r="BL6" s="393"/>
      <c r="BM6" s="393"/>
      <c r="BN6" s="393"/>
      <c r="BO6" s="408"/>
      <c r="BP6" s="408"/>
    </row>
    <row r="7" spans="1:68">
      <c r="A7" s="394"/>
      <c r="B7" s="2774"/>
      <c r="C7" s="2780"/>
      <c r="D7" s="2650"/>
      <c r="E7" s="2770"/>
      <c r="F7" s="2771"/>
      <c r="G7" s="2773"/>
      <c r="H7" s="2772"/>
      <c r="I7" s="2731"/>
      <c r="J7" s="2786"/>
      <c r="K7" s="2792"/>
      <c r="L7" s="2652">
        <f>+'DG-PV Organic'!H10</f>
        <v>9.7799999999999998E-2</v>
      </c>
      <c r="M7" s="2654"/>
      <c r="N7" s="2654"/>
      <c r="O7" s="875" t="s">
        <v>127</v>
      </c>
      <c r="P7" s="896" t="e">
        <f>+'PAYMENT RATIO_RAW'!#REF!*'SPVs Status 3'!$K$5/1000</f>
        <v>#REF!</v>
      </c>
      <c r="Q7" s="896"/>
      <c r="R7" s="897" t="e">
        <f t="shared" si="0"/>
        <v>#REF!</v>
      </c>
      <c r="S7" s="874" t="e">
        <f t="shared" si="1"/>
        <v>#REF!</v>
      </c>
      <c r="T7" s="908" t="str">
        <f>+IFERROR(U7/R7,"-")</f>
        <v>-</v>
      </c>
      <c r="U7" s="909">
        <f>+IFERROR(X7+AA7+AD7+AG7+AJ7+AM7,"-")</f>
        <v>0</v>
      </c>
      <c r="V7" s="877" t="str">
        <f t="shared" si="2"/>
        <v>-</v>
      </c>
      <c r="W7" s="887"/>
      <c r="X7" s="876"/>
      <c r="Y7" s="877"/>
      <c r="Z7" s="877" t="str">
        <f t="shared" si="12"/>
        <v>-</v>
      </c>
      <c r="AA7" s="877"/>
      <c r="AB7" s="883"/>
      <c r="AC7" s="877" t="str">
        <f t="shared" si="13"/>
        <v>-</v>
      </c>
      <c r="AD7" s="877"/>
      <c r="AE7" s="883"/>
      <c r="AF7" s="877" t="str">
        <f t="shared" si="14"/>
        <v>-</v>
      </c>
      <c r="AG7" s="877"/>
      <c r="AH7" s="883"/>
      <c r="AI7" s="877" t="str">
        <f>+IFERROR(AJ7/#REF!,"-")</f>
        <v>-</v>
      </c>
      <c r="AJ7" s="877"/>
      <c r="AK7" s="877"/>
      <c r="AL7" s="877" t="str">
        <f>+IFERROR(AM7/#REF!,"-")</f>
        <v>-</v>
      </c>
      <c r="AM7" s="877"/>
      <c r="AN7" s="877"/>
      <c r="AO7" s="884" t="e">
        <f t="shared" si="8"/>
        <v>#REF!</v>
      </c>
      <c r="AP7" s="884" t="e">
        <f t="shared" si="9"/>
        <v>#REF!</v>
      </c>
      <c r="AQ7" s="888"/>
      <c r="AR7" s="410"/>
      <c r="AS7" s="945" t="e">
        <f>+$AO7*'ref.지급기준 (2)'!G96</f>
        <v>#REF!</v>
      </c>
      <c r="AT7" s="884">
        <f t="shared" si="10"/>
        <v>0</v>
      </c>
      <c r="AU7" s="884" t="e">
        <f>+$AO7*'ref.지급기준 (2)'!I96</f>
        <v>#REF!</v>
      </c>
      <c r="AV7" s="884">
        <f t="shared" si="11"/>
        <v>0</v>
      </c>
      <c r="AW7" s="884" t="e">
        <f>+$AO7*'ref.지급기준 (2)'!K96</f>
        <v>#REF!</v>
      </c>
      <c r="AX7" s="884"/>
      <c r="AY7" s="884" t="e">
        <f>+$AO7*'ref.지급기준 (2)'!M96</f>
        <v>#REF!</v>
      </c>
      <c r="AZ7" s="884"/>
      <c r="BA7" s="884" t="e">
        <f>+$AO7*'ref.지급기준 (2)'!O96</f>
        <v>#REF!</v>
      </c>
      <c r="BB7" s="890"/>
      <c r="BC7" s="2719"/>
      <c r="BD7" s="393"/>
      <c r="BE7" s="393" t="e">
        <f>+(BA7+AY7+AW7+AU7+AS7)=R7</f>
        <v>#REF!</v>
      </c>
      <c r="BF7" s="393"/>
      <c r="BG7" s="393"/>
      <c r="BH7" s="393"/>
      <c r="BI7" s="393"/>
      <c r="BJ7" s="393"/>
      <c r="BK7" s="393"/>
      <c r="BL7" s="393"/>
      <c r="BM7" s="393"/>
      <c r="BN7" s="393"/>
      <c r="BO7" s="408"/>
      <c r="BP7" s="408"/>
    </row>
    <row r="8" spans="1:68">
      <c r="A8" s="394"/>
      <c r="B8" s="2774"/>
      <c r="C8" s="2780"/>
      <c r="D8" s="2650"/>
      <c r="E8" s="2770"/>
      <c r="F8" s="2771"/>
      <c r="G8" s="2773"/>
      <c r="H8" s="2772"/>
      <c r="I8" s="2731"/>
      <c r="J8" s="2786"/>
      <c r="K8" s="2792"/>
      <c r="L8" s="2652"/>
      <c r="M8" s="2654"/>
      <c r="N8" s="2654"/>
      <c r="O8" s="875" t="s">
        <v>128</v>
      </c>
      <c r="P8" s="896">
        <f>+'PAYMENT RATIO_RAW'!F36*'SPVs Status 3'!$K$5/1000</f>
        <v>52050000</v>
      </c>
      <c r="Q8" s="896">
        <f t="shared" ref="Q8" si="15">+P8*10%</f>
        <v>5205000</v>
      </c>
      <c r="R8" s="899">
        <f t="shared" si="0"/>
        <v>57255000</v>
      </c>
      <c r="S8" s="409" t="b">
        <f t="shared" si="1"/>
        <v>1</v>
      </c>
      <c r="T8" s="908">
        <f>+IFERROR(U8/R8,"-")</f>
        <v>0.3</v>
      </c>
      <c r="U8" s="909">
        <f>+IFERROR(X8+AA8+AD8+AG8+AJ8+AM8,"-")</f>
        <v>17176500</v>
      </c>
      <c r="V8" s="879">
        <f t="shared" si="2"/>
        <v>0.3</v>
      </c>
      <c r="W8" s="881">
        <f>W6</f>
        <v>45714</v>
      </c>
      <c r="X8" s="880">
        <f>50000000*K5/1000*30%*1.1</f>
        <v>17176500</v>
      </c>
      <c r="Y8" s="879"/>
      <c r="Z8" s="877">
        <f t="shared" si="12"/>
        <v>0</v>
      </c>
      <c r="AA8" s="877"/>
      <c r="AB8" s="883">
        <f>AB6</f>
        <v>45807</v>
      </c>
      <c r="AC8" s="877">
        <f t="shared" si="13"/>
        <v>0</v>
      </c>
      <c r="AD8" s="877"/>
      <c r="AE8" s="883">
        <f>AE6</f>
        <v>45838</v>
      </c>
      <c r="AF8" s="877">
        <f t="shared" si="14"/>
        <v>0</v>
      </c>
      <c r="AG8" s="877"/>
      <c r="AH8" s="883">
        <f>AH6</f>
        <v>46142</v>
      </c>
      <c r="AI8" s="877" t="str">
        <f>+IFERROR(AJ8/#REF!,"-")</f>
        <v>-</v>
      </c>
      <c r="AJ8" s="877"/>
      <c r="AK8" s="877"/>
      <c r="AL8" s="877" t="str">
        <f>+IFERROR(AM8/#REF!,"-")</f>
        <v>-</v>
      </c>
      <c r="AM8" s="877"/>
      <c r="AN8" s="877"/>
      <c r="AO8" s="884">
        <f t="shared" si="8"/>
        <v>57255000</v>
      </c>
      <c r="AP8" s="884">
        <f t="shared" si="9"/>
        <v>17176500</v>
      </c>
      <c r="AQ8" s="888"/>
      <c r="AR8" s="410"/>
      <c r="AS8" s="945">
        <f>+$AO8*'ref.지급기준 (2)'!G97</f>
        <v>17176500</v>
      </c>
      <c r="AT8" s="884">
        <f t="shared" si="10"/>
        <v>17176500</v>
      </c>
      <c r="AU8" s="884">
        <f>+$AO8*'ref.지급기준 (2)'!I97</f>
        <v>5725500</v>
      </c>
      <c r="AV8" s="884">
        <f t="shared" si="11"/>
        <v>0</v>
      </c>
      <c r="AW8" s="884">
        <f>+$AO8*'ref.지급기준 (2)'!K97</f>
        <v>28627500</v>
      </c>
      <c r="AX8" s="884"/>
      <c r="AY8" s="884">
        <f>+$AO8*'ref.지급기준 (2)'!M97</f>
        <v>5725500</v>
      </c>
      <c r="AZ8" s="884"/>
      <c r="BA8" s="884">
        <f>+$AO8*'ref.지급기준 (2)'!O97</f>
        <v>0</v>
      </c>
      <c r="BB8" s="890"/>
      <c r="BC8" s="2719"/>
      <c r="BD8" s="393"/>
      <c r="BE8" s="393" t="b">
        <f>+(BA8+AY8+AW8+AU8+AS8)=R8</f>
        <v>1</v>
      </c>
      <c r="BF8" s="393"/>
      <c r="BG8" s="393"/>
      <c r="BH8" s="393"/>
      <c r="BI8" s="393"/>
      <c r="BJ8" s="393"/>
      <c r="BK8" s="393"/>
      <c r="BL8" s="393"/>
      <c r="BM8" s="393"/>
      <c r="BN8" s="393"/>
      <c r="BO8" s="408"/>
      <c r="BP8" s="408"/>
    </row>
    <row r="9" spans="1:68">
      <c r="A9" s="394"/>
      <c r="B9" s="2774"/>
      <c r="C9" s="2780"/>
      <c r="D9" s="2650"/>
      <c r="E9" s="2770"/>
      <c r="F9" s="2771"/>
      <c r="G9" s="2773"/>
      <c r="H9" s="2772"/>
      <c r="I9" s="2731"/>
      <c r="J9" s="2786"/>
      <c r="K9" s="2792"/>
      <c r="L9" s="2652"/>
      <c r="M9" s="2654"/>
      <c r="N9" s="2654"/>
      <c r="O9" s="892" t="s">
        <v>129</v>
      </c>
      <c r="P9" s="898">
        <f>+'PAYMENT RATIO_RAW'!F37*'SPVs Status 3'!$K$5/1000</f>
        <v>182175000</v>
      </c>
      <c r="Q9" s="899">
        <f>+P9*10%</f>
        <v>18217500</v>
      </c>
      <c r="R9" s="1006">
        <f>SUM(P9:Q9)</f>
        <v>200392500</v>
      </c>
      <c r="S9" s="874" t="b">
        <f t="shared" si="1"/>
        <v>1</v>
      </c>
      <c r="T9" s="1270"/>
      <c r="U9" s="1271"/>
      <c r="V9" s="910">
        <f t="shared" si="2"/>
        <v>0</v>
      </c>
      <c r="W9" s="926"/>
      <c r="X9" s="926"/>
      <c r="Y9" s="926"/>
      <c r="Z9" s="1266">
        <f t="shared" si="12"/>
        <v>0</v>
      </c>
      <c r="AA9" s="1266"/>
      <c r="AB9" s="1267"/>
      <c r="AC9" s="1266">
        <f t="shared" si="13"/>
        <v>0</v>
      </c>
      <c r="AD9" s="1266"/>
      <c r="AE9" s="1267"/>
      <c r="AF9" s="1266">
        <f t="shared" si="14"/>
        <v>0</v>
      </c>
      <c r="AG9" s="1266"/>
      <c r="AH9" s="1267"/>
      <c r="AI9" s="1266" t="str">
        <f>+IFERROR(AJ9/#REF!,"-")</f>
        <v>-</v>
      </c>
      <c r="AJ9" s="1266"/>
      <c r="AK9" s="1266"/>
      <c r="AL9" s="1266"/>
      <c r="AM9" s="1266"/>
      <c r="AN9" s="1266"/>
      <c r="AO9" s="1268">
        <f t="shared" si="8"/>
        <v>200392500</v>
      </c>
      <c r="AP9" s="1268">
        <f>+AS9+AU9</f>
        <v>200392500</v>
      </c>
      <c r="AQ9" s="1269"/>
      <c r="AR9" s="410"/>
      <c r="AS9" s="947">
        <f>+$AO9*'ref.지급기준 (2)'!G98</f>
        <v>200392500</v>
      </c>
      <c r="AT9" s="928">
        <f t="shared" si="10"/>
        <v>0</v>
      </c>
      <c r="AU9" s="928">
        <f>+$AO9*'ref.지급기준 (2)'!I98</f>
        <v>0</v>
      </c>
      <c r="AV9" s="928">
        <f t="shared" si="11"/>
        <v>0</v>
      </c>
      <c r="AW9" s="928">
        <f>+$AO9*'ref.지급기준 (2)'!K98</f>
        <v>0</v>
      </c>
      <c r="AX9" s="928"/>
      <c r="AY9" s="928">
        <f>+$AO9*'ref.지급기준 (2)'!M98</f>
        <v>0</v>
      </c>
      <c r="AZ9" s="928"/>
      <c r="BA9" s="928">
        <f>+$AO9*'ref.지급기준 (2)'!O98</f>
        <v>0</v>
      </c>
      <c r="BB9" s="997"/>
      <c r="BC9" s="2719"/>
      <c r="BD9" s="393"/>
      <c r="BE9" s="393"/>
      <c r="BF9" s="393"/>
      <c r="BG9" s="393"/>
      <c r="BH9" s="393"/>
      <c r="BI9" s="393"/>
      <c r="BJ9" s="393"/>
      <c r="BK9" s="393"/>
      <c r="BL9" s="393"/>
      <c r="BM9" s="393"/>
      <c r="BN9" s="393"/>
      <c r="BO9" s="408"/>
      <c r="BP9" s="408"/>
    </row>
    <row r="10" spans="1:68">
      <c r="A10" s="394"/>
      <c r="B10" s="2774"/>
      <c r="C10" s="2780"/>
      <c r="D10" s="2650"/>
      <c r="E10" s="2770"/>
      <c r="F10" s="2771"/>
      <c r="G10" s="2773"/>
      <c r="H10" s="2772"/>
      <c r="I10" s="2721" t="s">
        <v>1253</v>
      </c>
      <c r="J10" s="2724" t="s">
        <v>1254</v>
      </c>
      <c r="K10" s="2727">
        <f>+'DG-PV Organic'!O11</f>
        <v>406</v>
      </c>
      <c r="L10" s="2730">
        <f>+'DG-PV Organic'!H11</f>
        <v>9.2499999999999999E-2</v>
      </c>
      <c r="M10" s="2717">
        <f>+'DG-PV Organic'!J11</f>
        <v>0.105</v>
      </c>
      <c r="N10" s="2717" t="s">
        <v>1213</v>
      </c>
      <c r="O10" s="893" t="s">
        <v>125</v>
      </c>
      <c r="P10" s="904">
        <f>+'DG-PV Organic'!AL11</f>
        <v>426300000</v>
      </c>
      <c r="Q10" s="904">
        <f>+P10*10%</f>
        <v>42630000</v>
      </c>
      <c r="R10" s="905">
        <f t="shared" ref="R10:R13" si="16">SUM(P10:Q10)</f>
        <v>468930000</v>
      </c>
      <c r="S10" s="1272" t="b">
        <f t="shared" si="1"/>
        <v>1</v>
      </c>
      <c r="T10" s="906">
        <f>+IFERROR(U10/R10,"-")</f>
        <v>0</v>
      </c>
      <c r="U10" s="907">
        <f>+IFERROR(X10+AA10+AD10+AG10+AJ10+AM10,"-")</f>
        <v>0</v>
      </c>
      <c r="V10" s="877">
        <f t="shared" si="2"/>
        <v>0</v>
      </c>
      <c r="W10" s="883">
        <f>AE13</f>
        <v>45838</v>
      </c>
      <c r="X10" s="876"/>
      <c r="Y10" s="877"/>
      <c r="Z10" s="877">
        <f t="shared" si="12"/>
        <v>0</v>
      </c>
      <c r="AA10" s="877"/>
      <c r="AB10" s="883">
        <f>+EDATE(W10,1)</f>
        <v>45868</v>
      </c>
      <c r="AC10" s="877">
        <f t="shared" si="13"/>
        <v>0</v>
      </c>
      <c r="AD10" s="877"/>
      <c r="AE10" s="883">
        <f t="shared" ref="AE10" si="17">+EDATE(AB10,3)</f>
        <v>45960</v>
      </c>
      <c r="AF10" s="877">
        <f t="shared" si="14"/>
        <v>0</v>
      </c>
      <c r="AG10" s="877"/>
      <c r="AH10" s="883">
        <f t="shared" ref="AH10" si="18">+EDATE(AB10,4)</f>
        <v>45991</v>
      </c>
      <c r="AI10" s="877" t="str">
        <f>+IFERROR(AJ10/#REF!,"-")</f>
        <v>-</v>
      </c>
      <c r="AJ10" s="877"/>
      <c r="AK10" s="883">
        <f>+EDATE(AB10,6)+1</f>
        <v>46053</v>
      </c>
      <c r="AL10" s="922" t="str">
        <f>+IFERROR(AM10/#REF!,"-")</f>
        <v>-</v>
      </c>
      <c r="AM10" s="922"/>
      <c r="AN10" s="922"/>
      <c r="AO10" s="924">
        <f t="shared" si="8"/>
        <v>468930000</v>
      </c>
      <c r="AP10" s="924">
        <f t="shared" ref="AP10:AP13" si="19">+AS10</f>
        <v>46893000</v>
      </c>
      <c r="AQ10" s="1273" t="s">
        <v>793</v>
      </c>
      <c r="AR10" s="410"/>
      <c r="AS10" s="945">
        <f>+$AO10*'ref.지급기준 (2)'!G64</f>
        <v>46893000</v>
      </c>
      <c r="AT10" s="884">
        <f t="shared" si="10"/>
        <v>0</v>
      </c>
      <c r="AU10" s="884">
        <f>+$AO10*'ref.지급기준 (2)'!I64</f>
        <v>93786000</v>
      </c>
      <c r="AV10" s="884">
        <f t="shared" ref="AV10:AV14" si="20">+AA10</f>
        <v>0</v>
      </c>
      <c r="AW10" s="884">
        <f>+$AO10*'ref.지급기준 (2)'!K64</f>
        <v>187572000</v>
      </c>
      <c r="AX10" s="884"/>
      <c r="AY10" s="884">
        <f>+$AO10*'ref.지급기준 (2)'!M64</f>
        <v>117232500</v>
      </c>
      <c r="AZ10" s="884"/>
      <c r="BA10" s="884">
        <f>+$AO10*'ref.지급기준 (2)'!O64</f>
        <v>23446500</v>
      </c>
      <c r="BB10" s="890"/>
      <c r="BC10" s="2718" t="s">
        <v>1252</v>
      </c>
      <c r="BD10" s="393"/>
      <c r="BE10" s="393" t="b">
        <f t="shared" ref="BE10:BE41" si="21">+(BA10+AY10+AW10+AU10+AS10)=R10</f>
        <v>1</v>
      </c>
      <c r="BF10" s="393"/>
      <c r="BG10" s="393"/>
      <c r="BH10" s="393"/>
      <c r="BI10" s="393"/>
      <c r="BJ10" s="393"/>
      <c r="BK10" s="393"/>
      <c r="BL10" s="393"/>
      <c r="BM10" s="393"/>
      <c r="BN10" s="393"/>
      <c r="BO10" s="408"/>
      <c r="BP10" s="408"/>
    </row>
    <row r="11" spans="1:68">
      <c r="A11" s="394"/>
      <c r="B11" s="2774"/>
      <c r="C11" s="2780"/>
      <c r="D11" s="2650"/>
      <c r="E11" s="2770"/>
      <c r="F11" s="2771"/>
      <c r="G11" s="2773"/>
      <c r="H11" s="2772"/>
      <c r="I11" s="2722"/>
      <c r="J11" s="2725"/>
      <c r="K11" s="2728"/>
      <c r="L11" s="2652"/>
      <c r="M11" s="2654"/>
      <c r="N11" s="2654"/>
      <c r="O11" s="875" t="s">
        <v>126</v>
      </c>
      <c r="P11" s="896">
        <f>+'DG-PV Organic'!AK11</f>
        <v>121800000</v>
      </c>
      <c r="Q11" s="896">
        <f>+P11*10%</f>
        <v>12180000</v>
      </c>
      <c r="R11" s="897">
        <f t="shared" si="16"/>
        <v>133980000</v>
      </c>
      <c r="S11" s="409" t="b">
        <f t="shared" si="1"/>
        <v>1</v>
      </c>
      <c r="T11" s="908">
        <f>+IFERROR(U11/R11,"-")</f>
        <v>0.3</v>
      </c>
      <c r="U11" s="909">
        <f>+IFERROR(X11+AA11+AD11+AG11+AJ11+AM11,"-")</f>
        <v>40194000</v>
      </c>
      <c r="V11" s="879">
        <f t="shared" si="2"/>
        <v>0.3</v>
      </c>
      <c r="W11" s="889">
        <v>45730</v>
      </c>
      <c r="X11" s="880">
        <f>300000000*K10/1000*30%*1.1</f>
        <v>40194000</v>
      </c>
      <c r="Y11" s="879"/>
      <c r="Z11" s="877">
        <f t="shared" ref="Z11:Z15" si="22">+IFERROR(AA11/$R11,"-")</f>
        <v>0</v>
      </c>
      <c r="AA11" s="886"/>
      <c r="AB11" s="883">
        <v>45777</v>
      </c>
      <c r="AC11" s="877">
        <f t="shared" ref="AC11:AC15" si="23">+IFERROR(AD11/$R11,"-")</f>
        <v>0</v>
      </c>
      <c r="AD11" s="877"/>
      <c r="AE11" s="883">
        <f>+EDATE(AB11,2)</f>
        <v>45838</v>
      </c>
      <c r="AF11" s="877">
        <f t="shared" ref="AF11:AF15" si="24">+IFERROR(AG11/$R11,"-")</f>
        <v>0</v>
      </c>
      <c r="AG11" s="877"/>
      <c r="AH11" s="883">
        <f>+EDATE(AB10,9)</f>
        <v>46142</v>
      </c>
      <c r="AI11" s="877" t="str">
        <f>+IFERROR(AJ11/#REF!,"-")</f>
        <v>-</v>
      </c>
      <c r="AJ11" s="877"/>
      <c r="AK11" s="877"/>
      <c r="AL11" s="877" t="str">
        <f>+IFERROR(AM11/#REF!,"-")</f>
        <v>-</v>
      </c>
      <c r="AM11" s="877"/>
      <c r="AN11" s="877"/>
      <c r="AO11" s="884">
        <f t="shared" si="8"/>
        <v>133980000</v>
      </c>
      <c r="AP11" s="884">
        <f t="shared" si="19"/>
        <v>53592000</v>
      </c>
      <c r="AQ11" s="1274"/>
      <c r="AR11" s="410"/>
      <c r="AS11" s="945">
        <f>+$AO11*'ref.지급기준 (2)'!G65</f>
        <v>53592000</v>
      </c>
      <c r="AT11" s="884">
        <f t="shared" si="10"/>
        <v>40194000</v>
      </c>
      <c r="AU11" s="884">
        <f>+$AO11*'ref.지급기준 (2)'!I65</f>
        <v>26796000</v>
      </c>
      <c r="AV11" s="884">
        <f t="shared" si="20"/>
        <v>0</v>
      </c>
      <c r="AW11" s="884">
        <f>+$AO11*'ref.지급기준 (2)'!K65</f>
        <v>40194000</v>
      </c>
      <c r="AX11" s="884"/>
      <c r="AY11" s="884">
        <f>+$AO11*'ref.지급기준 (2)'!M65</f>
        <v>13398000</v>
      </c>
      <c r="AZ11" s="884"/>
      <c r="BA11" s="884">
        <f>+$AO11*'ref.지급기준 (2)'!O65</f>
        <v>0</v>
      </c>
      <c r="BB11" s="890"/>
      <c r="BC11" s="2719"/>
      <c r="BD11" s="393"/>
      <c r="BE11" s="393" t="b">
        <f t="shared" si="21"/>
        <v>1</v>
      </c>
      <c r="BF11" s="393"/>
      <c r="BG11" s="393"/>
      <c r="BH11" s="393"/>
      <c r="BI11" s="393"/>
      <c r="BJ11" s="393"/>
      <c r="BK11" s="393"/>
      <c r="BL11" s="393"/>
      <c r="BM11" s="393"/>
      <c r="BN11" s="393"/>
      <c r="BO11" s="408"/>
      <c r="BP11" s="408"/>
    </row>
    <row r="12" spans="1:68">
      <c r="A12" s="394"/>
      <c r="B12" s="2774"/>
      <c r="C12" s="2780"/>
      <c r="D12" s="2650"/>
      <c r="E12" s="2770"/>
      <c r="F12" s="2771"/>
      <c r="G12" s="2773"/>
      <c r="H12" s="2772"/>
      <c r="I12" s="2722"/>
      <c r="J12" s="2725"/>
      <c r="K12" s="2728"/>
      <c r="L12" s="2652"/>
      <c r="M12" s="2654"/>
      <c r="N12" s="2654"/>
      <c r="O12" s="875" t="s">
        <v>127</v>
      </c>
      <c r="P12" s="896">
        <v>0</v>
      </c>
      <c r="Q12" s="896"/>
      <c r="R12" s="897">
        <f t="shared" si="16"/>
        <v>0</v>
      </c>
      <c r="S12" s="409" t="b">
        <f t="shared" si="1"/>
        <v>1</v>
      </c>
      <c r="T12" s="908" t="str">
        <f>+IFERROR(U12/R12,"-")</f>
        <v>-</v>
      </c>
      <c r="U12" s="909">
        <f>+IFERROR(X12+AA12+AD12+AG12+AJ12+AM12,"-")</f>
        <v>0</v>
      </c>
      <c r="V12" s="877" t="str">
        <f t="shared" si="2"/>
        <v>-</v>
      </c>
      <c r="W12" s="887"/>
      <c r="X12" s="876"/>
      <c r="Y12" s="877"/>
      <c r="Z12" s="877" t="str">
        <f t="shared" si="22"/>
        <v>-</v>
      </c>
      <c r="AA12" s="877"/>
      <c r="AB12" s="883"/>
      <c r="AC12" s="877" t="str">
        <f t="shared" si="23"/>
        <v>-</v>
      </c>
      <c r="AD12" s="877"/>
      <c r="AE12" s="883"/>
      <c r="AF12" s="877" t="str">
        <f t="shared" si="24"/>
        <v>-</v>
      </c>
      <c r="AG12" s="877"/>
      <c r="AH12" s="883"/>
      <c r="AI12" s="877" t="str">
        <f>+IFERROR(AJ12/#REF!,"-")</f>
        <v>-</v>
      </c>
      <c r="AJ12" s="877"/>
      <c r="AK12" s="877"/>
      <c r="AL12" s="877" t="str">
        <f>+IFERROR(AM12/#REF!,"-")</f>
        <v>-</v>
      </c>
      <c r="AM12" s="877"/>
      <c r="AN12" s="877"/>
      <c r="AO12" s="884">
        <f t="shared" si="8"/>
        <v>0</v>
      </c>
      <c r="AP12" s="884">
        <f t="shared" si="19"/>
        <v>0</v>
      </c>
      <c r="AQ12" s="1274"/>
      <c r="AR12" s="410"/>
      <c r="AS12" s="945">
        <f>+$AO12*'ref.지급기준 (2)'!G66</f>
        <v>0</v>
      </c>
      <c r="AT12" s="884">
        <f t="shared" si="10"/>
        <v>0</v>
      </c>
      <c r="AU12" s="884">
        <f>+$AO12*'ref.지급기준 (2)'!I66</f>
        <v>0</v>
      </c>
      <c r="AV12" s="884">
        <f t="shared" si="20"/>
        <v>0</v>
      </c>
      <c r="AW12" s="884">
        <f>+$AO12*'ref.지급기준 (2)'!K66</f>
        <v>0</v>
      </c>
      <c r="AX12" s="884"/>
      <c r="AY12" s="884">
        <f>+$AO12*'ref.지급기준 (2)'!M66</f>
        <v>0</v>
      </c>
      <c r="AZ12" s="884"/>
      <c r="BA12" s="884">
        <f>+$AO12*'ref.지급기준 (2)'!O66</f>
        <v>0</v>
      </c>
      <c r="BB12" s="890"/>
      <c r="BC12" s="2719"/>
      <c r="BD12" s="393"/>
      <c r="BE12" s="393" t="b">
        <f t="shared" si="21"/>
        <v>1</v>
      </c>
      <c r="BF12" s="393"/>
      <c r="BG12" s="393"/>
      <c r="BH12" s="393"/>
      <c r="BI12" s="393"/>
      <c r="BJ12" s="393"/>
      <c r="BK12" s="393"/>
      <c r="BL12" s="393"/>
      <c r="BM12" s="393"/>
      <c r="BN12" s="393"/>
      <c r="BO12" s="408"/>
      <c r="BP12" s="408"/>
    </row>
    <row r="13" spans="1:68">
      <c r="A13" s="394"/>
      <c r="B13" s="2774"/>
      <c r="C13" s="2780"/>
      <c r="D13" s="2650"/>
      <c r="E13" s="2770"/>
      <c r="F13" s="2771"/>
      <c r="G13" s="2773"/>
      <c r="H13" s="2772"/>
      <c r="I13" s="2722"/>
      <c r="J13" s="2725"/>
      <c r="K13" s="2728"/>
      <c r="L13" s="2652"/>
      <c r="M13" s="2654"/>
      <c r="N13" s="2654"/>
      <c r="O13" s="875" t="s">
        <v>128</v>
      </c>
      <c r="P13" s="896">
        <f>+'DG-PV Organic'!AJ11</f>
        <v>20300000</v>
      </c>
      <c r="Q13" s="896">
        <f t="shared" ref="Q13" si="25">+P13*10%</f>
        <v>2030000</v>
      </c>
      <c r="R13" s="897">
        <f t="shared" si="16"/>
        <v>22330000</v>
      </c>
      <c r="S13" s="409" t="b">
        <f t="shared" si="1"/>
        <v>1</v>
      </c>
      <c r="T13" s="908">
        <f>+IFERROR(U13/R13,"-")</f>
        <v>0.30000000000000004</v>
      </c>
      <c r="U13" s="909">
        <f>+IFERROR(X13+AA13+AD13+AG13+AJ13+AM13,"-")</f>
        <v>6699000.0000000009</v>
      </c>
      <c r="V13" s="879">
        <f t="shared" si="2"/>
        <v>0.30000000000000004</v>
      </c>
      <c r="W13" s="881">
        <f>W11</f>
        <v>45730</v>
      </c>
      <c r="X13" s="880">
        <f>50000000*K10/1000*30%*1.1</f>
        <v>6699000.0000000009</v>
      </c>
      <c r="Y13" s="879"/>
      <c r="Z13" s="877">
        <f t="shared" si="22"/>
        <v>0</v>
      </c>
      <c r="AA13" s="877"/>
      <c r="AB13" s="883">
        <f t="shared" ref="AB13" si="26">AB11</f>
        <v>45777</v>
      </c>
      <c r="AC13" s="877">
        <f t="shared" si="23"/>
        <v>0</v>
      </c>
      <c r="AD13" s="877"/>
      <c r="AE13" s="883">
        <f t="shared" ref="AE13" si="27">AE11</f>
        <v>45838</v>
      </c>
      <c r="AF13" s="877">
        <f t="shared" si="24"/>
        <v>0</v>
      </c>
      <c r="AG13" s="877"/>
      <c r="AH13" s="883">
        <f t="shared" ref="AH13" si="28">AH11</f>
        <v>46142</v>
      </c>
      <c r="AI13" s="877" t="str">
        <f>+IFERROR(AJ13/#REF!,"-")</f>
        <v>-</v>
      </c>
      <c r="AJ13" s="877"/>
      <c r="AK13" s="877"/>
      <c r="AL13" s="877" t="str">
        <f>+IFERROR(AM13/#REF!,"-")</f>
        <v>-</v>
      </c>
      <c r="AM13" s="877"/>
      <c r="AN13" s="877"/>
      <c r="AO13" s="884">
        <f t="shared" si="8"/>
        <v>22330000</v>
      </c>
      <c r="AP13" s="884">
        <f t="shared" si="19"/>
        <v>8932000</v>
      </c>
      <c r="AQ13" s="1274"/>
      <c r="AR13" s="410"/>
      <c r="AS13" s="945">
        <f>+$AO13*'ref.지급기준 (2)'!G67</f>
        <v>8932000</v>
      </c>
      <c r="AT13" s="884">
        <f t="shared" si="10"/>
        <v>6699000.0000000009</v>
      </c>
      <c r="AU13" s="884">
        <f>+$AO13*'ref.지급기준 (2)'!I67</f>
        <v>4466000</v>
      </c>
      <c r="AV13" s="884">
        <f t="shared" si="20"/>
        <v>0</v>
      </c>
      <c r="AW13" s="884">
        <f>+$AO13*'ref.지급기준 (2)'!K67</f>
        <v>6699000</v>
      </c>
      <c r="AX13" s="884"/>
      <c r="AY13" s="884">
        <f>+$AO13*'ref.지급기준 (2)'!M67</f>
        <v>2233000</v>
      </c>
      <c r="AZ13" s="884"/>
      <c r="BA13" s="884">
        <f>+$AO13*'ref.지급기준 (2)'!O67</f>
        <v>0</v>
      </c>
      <c r="BB13" s="890"/>
      <c r="BC13" s="2719"/>
      <c r="BD13" s="393"/>
      <c r="BE13" s="393" t="b">
        <f t="shared" si="21"/>
        <v>1</v>
      </c>
      <c r="BF13" s="393"/>
      <c r="BG13" s="393"/>
      <c r="BH13" s="393"/>
      <c r="BI13" s="393"/>
      <c r="BJ13" s="393"/>
      <c r="BK13" s="393"/>
      <c r="BL13" s="393"/>
      <c r="BM13" s="393"/>
      <c r="BN13" s="393"/>
      <c r="BO13" s="408"/>
      <c r="BP13" s="408"/>
    </row>
    <row r="14" spans="1:68">
      <c r="A14" s="394"/>
      <c r="B14" s="2774"/>
      <c r="C14" s="2780"/>
      <c r="D14" s="2650"/>
      <c r="E14" s="2770"/>
      <c r="F14" s="2771"/>
      <c r="G14" s="2773"/>
      <c r="H14" s="2772"/>
      <c r="I14" s="2723"/>
      <c r="J14" s="2726"/>
      <c r="K14" s="2729"/>
      <c r="L14" s="2653"/>
      <c r="M14" s="2655"/>
      <c r="N14" s="2655"/>
      <c r="O14" s="999" t="s">
        <v>129</v>
      </c>
      <c r="P14" s="900">
        <f>+'DG-PV Organic'!AI11</f>
        <v>71050000</v>
      </c>
      <c r="Q14" s="900">
        <f>+P14*0.1</f>
        <v>7105000</v>
      </c>
      <c r="R14" s="901">
        <f>SUM(P14:Q14)</f>
        <v>78155000</v>
      </c>
      <c r="S14" s="1275" t="b">
        <f t="shared" si="1"/>
        <v>1</v>
      </c>
      <c r="T14" s="910"/>
      <c r="U14" s="911"/>
      <c r="V14" s="910">
        <f t="shared" si="2"/>
        <v>0</v>
      </c>
      <c r="W14" s="926"/>
      <c r="X14" s="926"/>
      <c r="Y14" s="926"/>
      <c r="Z14" s="926">
        <f t="shared" si="22"/>
        <v>0</v>
      </c>
      <c r="AA14" s="926"/>
      <c r="AB14" s="927"/>
      <c r="AC14" s="926">
        <f t="shared" si="23"/>
        <v>0</v>
      </c>
      <c r="AD14" s="926"/>
      <c r="AE14" s="927"/>
      <c r="AF14" s="926">
        <f t="shared" si="24"/>
        <v>0</v>
      </c>
      <c r="AG14" s="926"/>
      <c r="AH14" s="927"/>
      <c r="AI14" s="926" t="str">
        <f>+IFERROR(AJ14/#REF!,"-")</f>
        <v>-</v>
      </c>
      <c r="AJ14" s="926"/>
      <c r="AK14" s="926"/>
      <c r="AL14" s="926"/>
      <c r="AM14" s="926"/>
      <c r="AN14" s="926"/>
      <c r="AO14" s="928">
        <f t="shared" si="8"/>
        <v>78155000</v>
      </c>
      <c r="AP14" s="928">
        <f>+AS14+AU14</f>
        <v>0</v>
      </c>
      <c r="AQ14" s="1276"/>
      <c r="AR14" s="410"/>
      <c r="AS14" s="947">
        <f>+$AO14*'ref.지급기준 (2)'!G68</f>
        <v>0</v>
      </c>
      <c r="AT14" s="928">
        <f t="shared" si="10"/>
        <v>0</v>
      </c>
      <c r="AU14" s="928">
        <f>+$AO14*'ref.지급기준 (2)'!I68</f>
        <v>0</v>
      </c>
      <c r="AV14" s="928">
        <f t="shared" si="20"/>
        <v>0</v>
      </c>
      <c r="AW14" s="928">
        <f>+$AO14*'ref.지급기준 (2)'!K68</f>
        <v>0</v>
      </c>
      <c r="AX14" s="928"/>
      <c r="AY14" s="928">
        <f>+$AO14*'ref.지급기준 (2)'!M68</f>
        <v>0</v>
      </c>
      <c r="AZ14" s="928"/>
      <c r="BA14" s="928">
        <f>+$AO14*'ref.지급기준 (2)'!O68</f>
        <v>0</v>
      </c>
      <c r="BB14" s="997"/>
      <c r="BC14" s="2720"/>
      <c r="BD14" s="393"/>
      <c r="BE14" s="393" t="b">
        <f t="shared" si="21"/>
        <v>0</v>
      </c>
      <c r="BF14" s="393"/>
      <c r="BG14" s="393"/>
      <c r="BH14" s="393"/>
      <c r="BI14" s="393"/>
      <c r="BJ14" s="393"/>
      <c r="BK14" s="393"/>
      <c r="BL14" s="393"/>
      <c r="BM14" s="393"/>
      <c r="BN14" s="393"/>
      <c r="BO14" s="408"/>
      <c r="BP14" s="408"/>
    </row>
    <row r="15" spans="1:68">
      <c r="A15" s="394"/>
      <c r="B15" s="2774"/>
      <c r="C15" s="2780"/>
      <c r="D15" s="2650"/>
      <c r="E15" s="2770"/>
      <c r="F15" s="2771"/>
      <c r="G15" s="2773"/>
      <c r="H15" s="2772"/>
      <c r="I15" s="2721" t="s">
        <v>1255</v>
      </c>
      <c r="J15" s="2724" t="str">
        <f>+'ref.지급기준 (2)'!C109</f>
        <v>Doori Industry</v>
      </c>
      <c r="K15" s="2727">
        <f>+'DG-PV Organic'!O29</f>
        <v>210</v>
      </c>
      <c r="L15" s="2730">
        <f>+'DG-PV Organic'!H29</f>
        <v>9.0899999999999995E-2</v>
      </c>
      <c r="M15" s="2717">
        <f>+'DG-PV Organic'!J29</f>
        <v>9.6000000000000002E-2</v>
      </c>
      <c r="N15" s="2717" t="s">
        <v>1213</v>
      </c>
      <c r="O15" s="893" t="s">
        <v>125</v>
      </c>
      <c r="P15" s="904">
        <f>+'DG-PV Organic'!AL29</f>
        <v>220500000</v>
      </c>
      <c r="Q15" s="904">
        <f>+P15*10%</f>
        <v>22050000</v>
      </c>
      <c r="R15" s="905">
        <f t="shared" ref="R15:R18" si="29">SUM(P15:Q15)</f>
        <v>242550000</v>
      </c>
      <c r="S15" s="1272" t="b">
        <f t="shared" si="1"/>
        <v>1</v>
      </c>
      <c r="T15" s="906">
        <f>+IFERROR(U15/R15,"-")</f>
        <v>0</v>
      </c>
      <c r="U15" s="907">
        <f>+IFERROR(X15+AA15+AD15+AG15+AJ15+AM15,"-")</f>
        <v>0</v>
      </c>
      <c r="V15" s="877">
        <f t="shared" si="2"/>
        <v>0</v>
      </c>
      <c r="W15" s="883">
        <f>AE18</f>
        <v>45899</v>
      </c>
      <c r="X15" s="876"/>
      <c r="Y15" s="877"/>
      <c r="Z15" s="877">
        <f t="shared" si="22"/>
        <v>0</v>
      </c>
      <c r="AA15" s="877"/>
      <c r="AB15" s="883">
        <f>+EDATE(W15,1)</f>
        <v>45930</v>
      </c>
      <c r="AC15" s="877">
        <f t="shared" si="23"/>
        <v>0</v>
      </c>
      <c r="AD15" s="877"/>
      <c r="AE15" s="883">
        <f t="shared" ref="AE15" si="30">+EDATE(AB15,3)</f>
        <v>46021</v>
      </c>
      <c r="AF15" s="877">
        <f t="shared" si="24"/>
        <v>0</v>
      </c>
      <c r="AG15" s="877"/>
      <c r="AH15" s="883">
        <f t="shared" ref="AH15" si="31">+EDATE(AB15,4)</f>
        <v>46052</v>
      </c>
      <c r="AI15" s="877" t="str">
        <f>+IFERROR(AJ15/#REF!,"-")</f>
        <v>-</v>
      </c>
      <c r="AJ15" s="877"/>
      <c r="AK15" s="883">
        <f>+EDATE(AB15,6)+1</f>
        <v>46112</v>
      </c>
      <c r="AL15" s="922" t="str">
        <f>+IFERROR(AM15/#REF!,"-")</f>
        <v>-</v>
      </c>
      <c r="AM15" s="922"/>
      <c r="AN15" s="922"/>
      <c r="AO15" s="924">
        <f t="shared" si="8"/>
        <v>242550000</v>
      </c>
      <c r="AP15" s="924">
        <f t="shared" ref="AP15:AP18" si="32">+AS15</f>
        <v>24255000</v>
      </c>
      <c r="AQ15" s="1273" t="s">
        <v>793</v>
      </c>
      <c r="AR15" s="410"/>
      <c r="AS15" s="945">
        <f>+$AO15*'ref.지급기준 (2)'!G99</f>
        <v>24255000</v>
      </c>
      <c r="AT15" s="884">
        <f t="shared" si="10"/>
        <v>0</v>
      </c>
      <c r="AU15" s="884">
        <f>+$AO15*'ref.지급기준 (2)'!I99</f>
        <v>48510000</v>
      </c>
      <c r="AV15" s="884">
        <f t="shared" ref="AV15:AV34" si="33">+AA15</f>
        <v>0</v>
      </c>
      <c r="AW15" s="884">
        <f>+$AO15*'ref.지급기준 (2)'!K99</f>
        <v>97020000</v>
      </c>
      <c r="AX15" s="884"/>
      <c r="AY15" s="884">
        <f>+$AO15*'ref.지급기준 (2)'!M99</f>
        <v>60637500</v>
      </c>
      <c r="AZ15" s="884"/>
      <c r="BA15" s="884">
        <f>+$AO15*'ref.지급기준 (2)'!O99</f>
        <v>12127500</v>
      </c>
      <c r="BB15" s="890"/>
      <c r="BC15" s="2718" t="s">
        <v>1252</v>
      </c>
      <c r="BD15" s="393"/>
      <c r="BE15" s="393" t="b">
        <f t="shared" si="21"/>
        <v>1</v>
      </c>
      <c r="BF15" s="393"/>
      <c r="BG15" s="393"/>
      <c r="BH15" s="393"/>
      <c r="BI15" s="393"/>
      <c r="BJ15" s="393"/>
      <c r="BK15" s="393"/>
      <c r="BL15" s="393"/>
      <c r="BM15" s="393"/>
      <c r="BN15" s="393"/>
      <c r="BO15" s="408"/>
      <c r="BP15" s="408"/>
    </row>
    <row r="16" spans="1:68">
      <c r="A16" s="394"/>
      <c r="B16" s="2774"/>
      <c r="C16" s="2780"/>
      <c r="D16" s="2650"/>
      <c r="E16" s="2770"/>
      <c r="F16" s="2771"/>
      <c r="G16" s="2773"/>
      <c r="H16" s="2772"/>
      <c r="I16" s="2722"/>
      <c r="J16" s="2725"/>
      <c r="K16" s="2728"/>
      <c r="L16" s="2652"/>
      <c r="M16" s="2654"/>
      <c r="N16" s="2654"/>
      <c r="O16" s="875" t="s">
        <v>126</v>
      </c>
      <c r="P16" s="896">
        <f>+'DG-PV Organic'!AK29</f>
        <v>63000000</v>
      </c>
      <c r="Q16" s="896">
        <f>+P16*10%</f>
        <v>6300000</v>
      </c>
      <c r="R16" s="897">
        <f t="shared" si="29"/>
        <v>69300000</v>
      </c>
      <c r="S16" s="409" t="b">
        <f t="shared" si="1"/>
        <v>1</v>
      </c>
      <c r="T16" s="908">
        <f>+IFERROR(U16/R16,"-")</f>
        <v>0.3</v>
      </c>
      <c r="U16" s="909">
        <f>+IFERROR(X16+AA16+AD16+AG16+AJ16+AM16,"-")</f>
        <v>20790000</v>
      </c>
      <c r="V16" s="879">
        <f t="shared" si="2"/>
        <v>0.3</v>
      </c>
      <c r="W16" s="889">
        <v>45764</v>
      </c>
      <c r="X16" s="880">
        <f>300000000*K15/1000*30%*1.1</f>
        <v>20790000</v>
      </c>
      <c r="Y16" s="879"/>
      <c r="Z16" s="877">
        <f t="shared" ref="Z16:Z35" si="34">+IFERROR(AA16/$R16,"-")</f>
        <v>0</v>
      </c>
      <c r="AA16" s="886"/>
      <c r="AB16" s="883">
        <v>45838</v>
      </c>
      <c r="AC16" s="877">
        <f t="shared" ref="AC16:AC35" si="35">+IFERROR(AD16/$R16,"-")</f>
        <v>0</v>
      </c>
      <c r="AD16" s="877"/>
      <c r="AE16" s="883">
        <f>+EDATE(AB16,2)</f>
        <v>45899</v>
      </c>
      <c r="AF16" s="877">
        <f t="shared" ref="AF16:AF35" si="36">+IFERROR(AG16/$R16,"-")</f>
        <v>0</v>
      </c>
      <c r="AG16" s="877"/>
      <c r="AH16" s="883">
        <f>+EDATE(AB15,11)</f>
        <v>46264</v>
      </c>
      <c r="AI16" s="877" t="str">
        <f>+IFERROR(AJ16/#REF!,"-")</f>
        <v>-</v>
      </c>
      <c r="AJ16" s="877"/>
      <c r="AK16" s="877"/>
      <c r="AL16" s="877" t="str">
        <f>+IFERROR(AM16/#REF!,"-")</f>
        <v>-</v>
      </c>
      <c r="AM16" s="877"/>
      <c r="AN16" s="877"/>
      <c r="AO16" s="884">
        <f t="shared" si="8"/>
        <v>69300000</v>
      </c>
      <c r="AP16" s="884">
        <f t="shared" si="32"/>
        <v>20790000</v>
      </c>
      <c r="AQ16" s="1274"/>
      <c r="AR16" s="410"/>
      <c r="AS16" s="945">
        <f>+$AO16*'ref.지급기준 (2)'!G100</f>
        <v>20790000</v>
      </c>
      <c r="AT16" s="884">
        <f t="shared" si="10"/>
        <v>20790000</v>
      </c>
      <c r="AU16" s="884">
        <f>+$AO16*'ref.지급기준 (2)'!I100</f>
        <v>6930000</v>
      </c>
      <c r="AV16" s="884">
        <f t="shared" si="33"/>
        <v>0</v>
      </c>
      <c r="AW16" s="884">
        <f>+$AO16*'ref.지급기준 (2)'!K100</f>
        <v>34650000</v>
      </c>
      <c r="AX16" s="884"/>
      <c r="AY16" s="884">
        <f>+$AO16*'ref.지급기준 (2)'!M100</f>
        <v>6930000</v>
      </c>
      <c r="AZ16" s="884"/>
      <c r="BA16" s="884">
        <f>+$AO16*'ref.지급기준 (2)'!O100</f>
        <v>0</v>
      </c>
      <c r="BB16" s="890"/>
      <c r="BC16" s="2719"/>
      <c r="BD16" s="393"/>
      <c r="BE16" s="393" t="b">
        <f t="shared" si="21"/>
        <v>1</v>
      </c>
      <c r="BF16" s="393"/>
      <c r="BG16" s="393"/>
      <c r="BH16" s="393"/>
      <c r="BI16" s="393"/>
      <c r="BJ16" s="393"/>
      <c r="BK16" s="393"/>
      <c r="BL16" s="393"/>
      <c r="BM16" s="393"/>
      <c r="BN16" s="393"/>
      <c r="BO16" s="408"/>
      <c r="BP16" s="408"/>
    </row>
    <row r="17" spans="1:68">
      <c r="A17" s="394"/>
      <c r="B17" s="2774"/>
      <c r="C17" s="2780"/>
      <c r="D17" s="2650"/>
      <c r="E17" s="2770"/>
      <c r="F17" s="2771"/>
      <c r="G17" s="2773"/>
      <c r="H17" s="2772"/>
      <c r="I17" s="2722"/>
      <c r="J17" s="2725"/>
      <c r="K17" s="2728"/>
      <c r="L17" s="2652"/>
      <c r="M17" s="2654"/>
      <c r="N17" s="2654"/>
      <c r="O17" s="875" t="s">
        <v>127</v>
      </c>
      <c r="P17" s="896"/>
      <c r="Q17" s="896"/>
      <c r="R17" s="897">
        <f t="shared" si="29"/>
        <v>0</v>
      </c>
      <c r="S17" s="409" t="b">
        <f t="shared" si="1"/>
        <v>1</v>
      </c>
      <c r="T17" s="908" t="str">
        <f>+IFERROR(U17/R17,"-")</f>
        <v>-</v>
      </c>
      <c r="U17" s="909">
        <f>+IFERROR(X17+AA17+AD17+AG17+AJ17+AM17,"-")</f>
        <v>0</v>
      </c>
      <c r="V17" s="877" t="str">
        <f t="shared" si="2"/>
        <v>-</v>
      </c>
      <c r="W17" s="887"/>
      <c r="X17" s="876"/>
      <c r="Y17" s="877"/>
      <c r="Z17" s="877" t="str">
        <f t="shared" si="34"/>
        <v>-</v>
      </c>
      <c r="AA17" s="877"/>
      <c r="AB17" s="883"/>
      <c r="AC17" s="877" t="str">
        <f t="shared" si="35"/>
        <v>-</v>
      </c>
      <c r="AD17" s="877"/>
      <c r="AE17" s="883"/>
      <c r="AF17" s="877" t="str">
        <f t="shared" si="36"/>
        <v>-</v>
      </c>
      <c r="AG17" s="877"/>
      <c r="AH17" s="883"/>
      <c r="AI17" s="877" t="str">
        <f>+IFERROR(AJ17/#REF!,"-")</f>
        <v>-</v>
      </c>
      <c r="AJ17" s="877"/>
      <c r="AK17" s="877"/>
      <c r="AL17" s="877" t="str">
        <f>+IFERROR(AM17/#REF!,"-")</f>
        <v>-</v>
      </c>
      <c r="AM17" s="877"/>
      <c r="AN17" s="877"/>
      <c r="AO17" s="884">
        <f t="shared" si="8"/>
        <v>0</v>
      </c>
      <c r="AP17" s="884">
        <f t="shared" si="32"/>
        <v>0</v>
      </c>
      <c r="AQ17" s="1274"/>
      <c r="AR17" s="410"/>
      <c r="AS17" s="945">
        <f>+$AO17*'ref.지급기준 (2)'!G101</f>
        <v>0</v>
      </c>
      <c r="AT17" s="884">
        <f t="shared" si="10"/>
        <v>0</v>
      </c>
      <c r="AU17" s="884">
        <f>+$AO17*'ref.지급기준 (2)'!I101</f>
        <v>0</v>
      </c>
      <c r="AV17" s="884">
        <f t="shared" si="33"/>
        <v>0</v>
      </c>
      <c r="AW17" s="884">
        <f>+$AO17*'ref.지급기준 (2)'!K101</f>
        <v>0</v>
      </c>
      <c r="AX17" s="884"/>
      <c r="AY17" s="884">
        <f>+$AO17*'ref.지급기준 (2)'!M101</f>
        <v>0</v>
      </c>
      <c r="AZ17" s="884"/>
      <c r="BA17" s="884">
        <f>+$AO17*'ref.지급기준 (2)'!O101</f>
        <v>0</v>
      </c>
      <c r="BB17" s="890"/>
      <c r="BC17" s="2719"/>
      <c r="BD17" s="393"/>
      <c r="BE17" s="393" t="b">
        <f t="shared" si="21"/>
        <v>1</v>
      </c>
      <c r="BF17" s="393"/>
      <c r="BG17" s="393"/>
      <c r="BH17" s="393"/>
      <c r="BI17" s="393"/>
      <c r="BJ17" s="393"/>
      <c r="BK17" s="393"/>
      <c r="BL17" s="393"/>
      <c r="BM17" s="393"/>
      <c r="BN17" s="393"/>
      <c r="BO17" s="408"/>
      <c r="BP17" s="408"/>
    </row>
    <row r="18" spans="1:68">
      <c r="A18" s="394"/>
      <c r="B18" s="2774"/>
      <c r="C18" s="2780"/>
      <c r="D18" s="2650"/>
      <c r="E18" s="2770"/>
      <c r="F18" s="2771"/>
      <c r="G18" s="2773"/>
      <c r="H18" s="2772"/>
      <c r="I18" s="2722"/>
      <c r="J18" s="2725"/>
      <c r="K18" s="2728"/>
      <c r="L18" s="2652"/>
      <c r="M18" s="2654"/>
      <c r="N18" s="2654"/>
      <c r="O18" s="875" t="s">
        <v>128</v>
      </c>
      <c r="P18" s="896">
        <f>+'DG-PV Organic'!AJ29</f>
        <v>31500000</v>
      </c>
      <c r="Q18" s="896">
        <f t="shared" ref="Q18" si="37">+P18*10%</f>
        <v>3150000</v>
      </c>
      <c r="R18" s="897">
        <f t="shared" si="29"/>
        <v>34650000</v>
      </c>
      <c r="S18" s="409" t="b">
        <f t="shared" si="1"/>
        <v>1</v>
      </c>
      <c r="T18" s="908">
        <f>+IFERROR(U18/R18,"-")</f>
        <v>0.3</v>
      </c>
      <c r="U18" s="909">
        <f>+IFERROR(X18+AA18+AD18+AG18+AJ18+AM18,"-")</f>
        <v>10395000</v>
      </c>
      <c r="V18" s="879">
        <f t="shared" si="2"/>
        <v>0.3</v>
      </c>
      <c r="W18" s="881">
        <v>45764</v>
      </c>
      <c r="X18" s="880">
        <f>150000000*K15/1000*30%*1.1</f>
        <v>10395000</v>
      </c>
      <c r="Y18" s="879"/>
      <c r="Z18" s="877">
        <f t="shared" si="34"/>
        <v>0</v>
      </c>
      <c r="AA18" s="877"/>
      <c r="AB18" s="883">
        <f t="shared" ref="AB18" si="38">AB16</f>
        <v>45838</v>
      </c>
      <c r="AC18" s="877">
        <f t="shared" si="35"/>
        <v>0</v>
      </c>
      <c r="AD18" s="877"/>
      <c r="AE18" s="883">
        <f t="shared" ref="AE18" si="39">AE16</f>
        <v>45899</v>
      </c>
      <c r="AF18" s="877">
        <f t="shared" si="36"/>
        <v>0</v>
      </c>
      <c r="AG18" s="877"/>
      <c r="AH18" s="883">
        <f t="shared" ref="AH18" si="40">AH16</f>
        <v>46264</v>
      </c>
      <c r="AI18" s="877" t="str">
        <f>+IFERROR(AJ18/#REF!,"-")</f>
        <v>-</v>
      </c>
      <c r="AJ18" s="877"/>
      <c r="AK18" s="877"/>
      <c r="AL18" s="877" t="str">
        <f>+IFERROR(AM18/#REF!,"-")</f>
        <v>-</v>
      </c>
      <c r="AM18" s="877"/>
      <c r="AN18" s="877"/>
      <c r="AO18" s="884">
        <f t="shared" si="8"/>
        <v>34650000</v>
      </c>
      <c r="AP18" s="884">
        <f t="shared" si="32"/>
        <v>10395000</v>
      </c>
      <c r="AQ18" s="1274"/>
      <c r="AR18" s="410"/>
      <c r="AS18" s="945">
        <f>+$AO18*'ref.지급기준 (2)'!G102</f>
        <v>10395000</v>
      </c>
      <c r="AT18" s="884">
        <f t="shared" si="10"/>
        <v>10395000</v>
      </c>
      <c r="AU18" s="884">
        <f>+$AO18*'ref.지급기준 (2)'!I102</f>
        <v>3465000</v>
      </c>
      <c r="AV18" s="884">
        <f t="shared" si="33"/>
        <v>0</v>
      </c>
      <c r="AW18" s="884">
        <f>+$AO18*'ref.지급기준 (2)'!K102</f>
        <v>17325000</v>
      </c>
      <c r="AX18" s="884"/>
      <c r="AY18" s="884">
        <f>+$AO18*'ref.지급기준 (2)'!M102</f>
        <v>3465000</v>
      </c>
      <c r="AZ18" s="884"/>
      <c r="BA18" s="884">
        <f>+$AO18*'ref.지급기준 (2)'!O102</f>
        <v>0</v>
      </c>
      <c r="BB18" s="890"/>
      <c r="BC18" s="2719"/>
      <c r="BD18" s="393"/>
      <c r="BE18" s="393" t="b">
        <f t="shared" si="21"/>
        <v>1</v>
      </c>
      <c r="BF18" s="393"/>
      <c r="BG18" s="393"/>
      <c r="BH18" s="393"/>
      <c r="BI18" s="393"/>
      <c r="BJ18" s="393"/>
      <c r="BK18" s="393"/>
      <c r="BL18" s="393"/>
      <c r="BM18" s="393"/>
      <c r="BN18" s="393"/>
      <c r="BO18" s="408"/>
      <c r="BP18" s="408"/>
    </row>
    <row r="19" spans="1:68">
      <c r="A19" s="394"/>
      <c r="B19" s="2774"/>
      <c r="C19" s="2780"/>
      <c r="D19" s="2650"/>
      <c r="E19" s="2770"/>
      <c r="F19" s="2771"/>
      <c r="G19" s="2773"/>
      <c r="H19" s="2772"/>
      <c r="I19" s="2723"/>
      <c r="J19" s="2726"/>
      <c r="K19" s="2729"/>
      <c r="L19" s="2653"/>
      <c r="M19" s="2655"/>
      <c r="N19" s="2655"/>
      <c r="O19" s="999" t="s">
        <v>129</v>
      </c>
      <c r="P19" s="900">
        <f>+'DG-PV Organic'!AI29</f>
        <v>42000000</v>
      </c>
      <c r="Q19" s="900">
        <f>+P19*0.1</f>
        <v>4200000</v>
      </c>
      <c r="R19" s="901">
        <f>SUM(P19:Q19)</f>
        <v>46200000</v>
      </c>
      <c r="S19" s="1275" t="b">
        <f t="shared" si="1"/>
        <v>1</v>
      </c>
      <c r="T19" s="910"/>
      <c r="U19" s="911"/>
      <c r="V19" s="910">
        <f t="shared" si="2"/>
        <v>0</v>
      </c>
      <c r="W19" s="926"/>
      <c r="X19" s="926"/>
      <c r="Y19" s="926"/>
      <c r="Z19" s="926">
        <f t="shared" si="34"/>
        <v>0</v>
      </c>
      <c r="AA19" s="926"/>
      <c r="AB19" s="927"/>
      <c r="AC19" s="926">
        <f t="shared" si="35"/>
        <v>0</v>
      </c>
      <c r="AD19" s="926"/>
      <c r="AE19" s="927"/>
      <c r="AF19" s="926">
        <f t="shared" si="36"/>
        <v>0</v>
      </c>
      <c r="AG19" s="926"/>
      <c r="AH19" s="927"/>
      <c r="AI19" s="926" t="str">
        <f>+IFERROR(AJ19/#REF!,"-")</f>
        <v>-</v>
      </c>
      <c r="AJ19" s="926"/>
      <c r="AK19" s="926"/>
      <c r="AL19" s="926"/>
      <c r="AM19" s="926"/>
      <c r="AN19" s="926"/>
      <c r="AO19" s="928">
        <f t="shared" si="8"/>
        <v>46200000</v>
      </c>
      <c r="AP19" s="928">
        <f>+AS19+AU19</f>
        <v>46200000</v>
      </c>
      <c r="AQ19" s="1276"/>
      <c r="AR19" s="410"/>
      <c r="AS19" s="947">
        <f>+$AO19*'ref.지급기준 (2)'!G103</f>
        <v>46200000</v>
      </c>
      <c r="AT19" s="928">
        <f t="shared" si="10"/>
        <v>0</v>
      </c>
      <c r="AU19" s="928">
        <f>+$AO19*'ref.지급기준 (2)'!I103</f>
        <v>0</v>
      </c>
      <c r="AV19" s="928">
        <f t="shared" si="33"/>
        <v>0</v>
      </c>
      <c r="AW19" s="928">
        <f>+$AO19*'ref.지급기준 (2)'!K103</f>
        <v>0</v>
      </c>
      <c r="AX19" s="928"/>
      <c r="AY19" s="928">
        <f>+$AO19*'ref.지급기준 (2)'!M103</f>
        <v>0</v>
      </c>
      <c r="AZ19" s="928"/>
      <c r="BA19" s="928">
        <f>+$AO19*'ref.지급기준 (2)'!O103</f>
        <v>0</v>
      </c>
      <c r="BB19" s="997"/>
      <c r="BC19" s="2720"/>
      <c r="BD19" s="393"/>
      <c r="BE19" s="393" t="b">
        <f t="shared" si="21"/>
        <v>1</v>
      </c>
      <c r="BF19" s="393"/>
      <c r="BG19" s="393"/>
      <c r="BH19" s="393"/>
      <c r="BI19" s="393"/>
      <c r="BJ19" s="393"/>
      <c r="BK19" s="393"/>
      <c r="BL19" s="393"/>
      <c r="BM19" s="393"/>
      <c r="BN19" s="393"/>
      <c r="BO19" s="408"/>
      <c r="BP19" s="408"/>
    </row>
    <row r="20" spans="1:68">
      <c r="A20" s="394"/>
      <c r="B20" s="2774"/>
      <c r="C20" s="2780"/>
      <c r="D20" s="2650"/>
      <c r="E20" s="2770"/>
      <c r="F20" s="2771"/>
      <c r="G20" s="2773"/>
      <c r="H20" s="2772"/>
      <c r="I20" s="2721" t="s">
        <v>1256</v>
      </c>
      <c r="J20" s="2788" t="str">
        <f>+'ref.지급기준 (2)'!C114</f>
        <v>Gyeongju Hyosung Energy farm</v>
      </c>
      <c r="K20" s="2727">
        <f>+'DG-PV Organic'!O30</f>
        <v>249.6</v>
      </c>
      <c r="L20" s="2730">
        <f>+'DG-PV Organic'!H30</f>
        <v>9.0399999999999994E-2</v>
      </c>
      <c r="M20" s="2717">
        <f>+'DG-PV Organic'!J30</f>
        <v>9.6000000000000002E-2</v>
      </c>
      <c r="N20" s="2717" t="s">
        <v>1257</v>
      </c>
      <c r="O20" s="893" t="s">
        <v>125</v>
      </c>
      <c r="P20" s="904">
        <f>+'DG-PV Organic'!AL30</f>
        <v>262080000</v>
      </c>
      <c r="Q20" s="904">
        <f>+P20*10%</f>
        <v>26208000</v>
      </c>
      <c r="R20" s="905">
        <f t="shared" ref="R20:R23" si="41">SUM(P20:Q20)</f>
        <v>288288000</v>
      </c>
      <c r="S20" s="1272" t="b">
        <f t="shared" si="1"/>
        <v>1</v>
      </c>
      <c r="T20" s="906">
        <f>+IFERROR(U20/R20,"-")</f>
        <v>0</v>
      </c>
      <c r="U20" s="907">
        <f>+IFERROR(X20+AA20+AD20+AG20+AJ20+AM20,"-")</f>
        <v>0</v>
      </c>
      <c r="V20" s="906">
        <f t="shared" si="2"/>
        <v>0</v>
      </c>
      <c r="W20" s="883">
        <f>AE23</f>
        <v>45899</v>
      </c>
      <c r="X20" s="917"/>
      <c r="Y20" s="922"/>
      <c r="Z20" s="877">
        <f t="shared" si="34"/>
        <v>0</v>
      </c>
      <c r="AA20" s="877"/>
      <c r="AB20" s="883">
        <f>+EDATE(W20,1)</f>
        <v>45930</v>
      </c>
      <c r="AC20" s="877">
        <f t="shared" si="35"/>
        <v>0</v>
      </c>
      <c r="AD20" s="877"/>
      <c r="AE20" s="883">
        <f t="shared" ref="AE20" si="42">+EDATE(AB20,3)</f>
        <v>46021</v>
      </c>
      <c r="AF20" s="877">
        <f t="shared" si="36"/>
        <v>0</v>
      </c>
      <c r="AG20" s="877"/>
      <c r="AH20" s="883">
        <f t="shared" ref="AH20" si="43">+EDATE(AB20,4)</f>
        <v>46052</v>
      </c>
      <c r="AI20" s="877" t="str">
        <f>+IFERROR(AJ20/#REF!,"-")</f>
        <v>-</v>
      </c>
      <c r="AJ20" s="877"/>
      <c r="AK20" s="883">
        <f>+EDATE(AB20,6)+1</f>
        <v>46112</v>
      </c>
      <c r="AL20" s="922" t="str">
        <f>+IFERROR(AM20/#REF!,"-")</f>
        <v>-</v>
      </c>
      <c r="AM20" s="922"/>
      <c r="AN20" s="922"/>
      <c r="AO20" s="924">
        <f t="shared" si="8"/>
        <v>288288000</v>
      </c>
      <c r="AP20" s="924">
        <f t="shared" ref="AP20:AP23" si="44">+AS20</f>
        <v>28828800</v>
      </c>
      <c r="AQ20" s="1273" t="s">
        <v>793</v>
      </c>
      <c r="AR20" s="410"/>
      <c r="AS20" s="945">
        <f>+$AO20*'ref.지급기준 (2)'!G104</f>
        <v>28828800</v>
      </c>
      <c r="AT20" s="884">
        <f t="shared" si="10"/>
        <v>0</v>
      </c>
      <c r="AU20" s="884">
        <f>+$AO20*'ref.지급기준 (2)'!I104</f>
        <v>57657600</v>
      </c>
      <c r="AV20" s="884">
        <f t="shared" si="33"/>
        <v>0</v>
      </c>
      <c r="AW20" s="884">
        <f>+$AO20*'ref.지급기준 (2)'!K104</f>
        <v>115315200</v>
      </c>
      <c r="AX20" s="884"/>
      <c r="AY20" s="884">
        <f>+$AO20*'ref.지급기준 (2)'!M104</f>
        <v>72072000</v>
      </c>
      <c r="AZ20" s="884"/>
      <c r="BA20" s="884">
        <f>+$AO20*'ref.지급기준 (2)'!O104</f>
        <v>14414400</v>
      </c>
      <c r="BB20" s="890"/>
      <c r="BC20" s="2718" t="s">
        <v>1252</v>
      </c>
      <c r="BD20" s="393"/>
      <c r="BE20" s="393" t="b">
        <f t="shared" si="21"/>
        <v>1</v>
      </c>
      <c r="BF20" s="393"/>
      <c r="BG20" s="393"/>
      <c r="BH20" s="393"/>
      <c r="BI20" s="393"/>
      <c r="BJ20" s="393"/>
      <c r="BK20" s="393"/>
      <c r="BL20" s="393"/>
      <c r="BM20" s="393"/>
      <c r="BN20" s="393"/>
      <c r="BO20" s="408"/>
      <c r="BP20" s="408"/>
    </row>
    <row r="21" spans="1:68">
      <c r="A21" s="394"/>
      <c r="B21" s="2774"/>
      <c r="C21" s="2780"/>
      <c r="D21" s="2650"/>
      <c r="E21" s="2770"/>
      <c r="F21" s="2771"/>
      <c r="G21" s="2773"/>
      <c r="H21" s="2772"/>
      <c r="I21" s="2722"/>
      <c r="J21" s="2789"/>
      <c r="K21" s="2728"/>
      <c r="L21" s="2652"/>
      <c r="M21" s="2654"/>
      <c r="N21" s="2654"/>
      <c r="O21" s="875" t="s">
        <v>126</v>
      </c>
      <c r="P21" s="896">
        <f>+'DG-PV Organic'!AK30</f>
        <v>74880000</v>
      </c>
      <c r="Q21" s="896">
        <f>+P21*10%</f>
        <v>7488000</v>
      </c>
      <c r="R21" s="897">
        <f t="shared" si="41"/>
        <v>82368000</v>
      </c>
      <c r="S21" s="409" t="b">
        <f t="shared" si="1"/>
        <v>1</v>
      </c>
      <c r="T21" s="908">
        <f>+IFERROR(U21/R21,"-")</f>
        <v>0</v>
      </c>
      <c r="U21" s="909">
        <f>+IFERROR(X21+AA21+AD21+AG21+AJ21+AM21,"-")</f>
        <v>0</v>
      </c>
      <c r="V21" s="908">
        <f t="shared" si="2"/>
        <v>0</v>
      </c>
      <c r="W21" s="919">
        <v>45777</v>
      </c>
      <c r="X21" s="876"/>
      <c r="Y21" s="877"/>
      <c r="Z21" s="877">
        <f t="shared" si="34"/>
        <v>0</v>
      </c>
      <c r="AA21" s="886"/>
      <c r="AB21" s="883">
        <v>45838</v>
      </c>
      <c r="AC21" s="877">
        <f t="shared" si="35"/>
        <v>0</v>
      </c>
      <c r="AD21" s="877"/>
      <c r="AE21" s="883">
        <f>+EDATE(AB21,2)</f>
        <v>45899</v>
      </c>
      <c r="AF21" s="877">
        <f t="shared" si="36"/>
        <v>0</v>
      </c>
      <c r="AG21" s="877"/>
      <c r="AH21" s="883">
        <f>+EDATE(AB20,12)</f>
        <v>46295</v>
      </c>
      <c r="AI21" s="877" t="str">
        <f>+IFERROR(AJ21/#REF!,"-")</f>
        <v>-</v>
      </c>
      <c r="AJ21" s="877"/>
      <c r="AK21" s="877"/>
      <c r="AL21" s="877" t="str">
        <f>+IFERROR(AM21/#REF!,"-")</f>
        <v>-</v>
      </c>
      <c r="AM21" s="877"/>
      <c r="AN21" s="877"/>
      <c r="AO21" s="884">
        <f t="shared" si="8"/>
        <v>82368000</v>
      </c>
      <c r="AP21" s="884">
        <f t="shared" si="44"/>
        <v>24710400</v>
      </c>
      <c r="AQ21" s="1274"/>
      <c r="AR21" s="410"/>
      <c r="AS21" s="945">
        <f>+$AO21*'ref.지급기준 (2)'!G105</f>
        <v>24710400</v>
      </c>
      <c r="AT21" s="884">
        <f t="shared" si="10"/>
        <v>0</v>
      </c>
      <c r="AU21" s="884">
        <f>+$AO21*'ref.지급기준 (2)'!I105</f>
        <v>8236800</v>
      </c>
      <c r="AV21" s="884">
        <f t="shared" si="33"/>
        <v>0</v>
      </c>
      <c r="AW21" s="884">
        <f>+$AO21*'ref.지급기준 (2)'!K105</f>
        <v>41184000</v>
      </c>
      <c r="AX21" s="884"/>
      <c r="AY21" s="884">
        <f>+$AO21*'ref.지급기준 (2)'!M105</f>
        <v>8236800</v>
      </c>
      <c r="AZ21" s="884"/>
      <c r="BA21" s="884">
        <f>+$AO21*'ref.지급기준 (2)'!O105</f>
        <v>0</v>
      </c>
      <c r="BB21" s="890"/>
      <c r="BC21" s="2719"/>
      <c r="BD21" s="393"/>
      <c r="BE21" s="393" t="b">
        <f t="shared" si="21"/>
        <v>1</v>
      </c>
      <c r="BF21" s="393"/>
      <c r="BG21" s="393"/>
      <c r="BH21" s="393"/>
      <c r="BI21" s="393"/>
      <c r="BJ21" s="393"/>
      <c r="BK21" s="393"/>
      <c r="BL21" s="393"/>
      <c r="BM21" s="393"/>
      <c r="BN21" s="393"/>
      <c r="BO21" s="408"/>
      <c r="BP21" s="408"/>
    </row>
    <row r="22" spans="1:68">
      <c r="A22" s="394"/>
      <c r="B22" s="2774"/>
      <c r="C22" s="2780"/>
      <c r="D22" s="2650"/>
      <c r="E22" s="2770"/>
      <c r="F22" s="2771"/>
      <c r="G22" s="2773"/>
      <c r="H22" s="2772"/>
      <c r="I22" s="2722"/>
      <c r="J22" s="2789"/>
      <c r="K22" s="2728"/>
      <c r="L22" s="2652"/>
      <c r="M22" s="2654"/>
      <c r="N22" s="2654"/>
      <c r="O22" s="875" t="s">
        <v>127</v>
      </c>
      <c r="P22" s="896">
        <f>+'ref.지급기준 (2)'!F106*'ref.지급기준 (2)'!D106/'ref.지급기준 (2)'!$Q$2</f>
        <v>0</v>
      </c>
      <c r="Q22" s="896"/>
      <c r="R22" s="897">
        <f t="shared" si="41"/>
        <v>0</v>
      </c>
      <c r="S22" s="409" t="b">
        <f t="shared" si="1"/>
        <v>1</v>
      </c>
      <c r="T22" s="908" t="str">
        <f>+IFERROR(U22/R22,"-")</f>
        <v>-</v>
      </c>
      <c r="U22" s="909">
        <f>+IFERROR(X22+AA22+AD22+AG22+AJ22+AM22,"-")</f>
        <v>0</v>
      </c>
      <c r="V22" s="908" t="str">
        <f t="shared" si="2"/>
        <v>-</v>
      </c>
      <c r="W22" s="919"/>
      <c r="X22" s="876"/>
      <c r="Y22" s="877"/>
      <c r="Z22" s="877" t="str">
        <f t="shared" si="34"/>
        <v>-</v>
      </c>
      <c r="AA22" s="877"/>
      <c r="AB22" s="883"/>
      <c r="AC22" s="877" t="str">
        <f t="shared" si="35"/>
        <v>-</v>
      </c>
      <c r="AD22" s="877"/>
      <c r="AE22" s="883"/>
      <c r="AF22" s="877" t="str">
        <f t="shared" si="36"/>
        <v>-</v>
      </c>
      <c r="AG22" s="877"/>
      <c r="AH22" s="883"/>
      <c r="AI22" s="877" t="str">
        <f>+IFERROR(AJ22/#REF!,"-")</f>
        <v>-</v>
      </c>
      <c r="AJ22" s="877"/>
      <c r="AK22" s="877"/>
      <c r="AL22" s="877" t="str">
        <f>+IFERROR(AM22/#REF!,"-")</f>
        <v>-</v>
      </c>
      <c r="AM22" s="877"/>
      <c r="AN22" s="877"/>
      <c r="AO22" s="884">
        <f t="shared" si="8"/>
        <v>0</v>
      </c>
      <c r="AP22" s="884">
        <f t="shared" si="44"/>
        <v>0</v>
      </c>
      <c r="AQ22" s="1274"/>
      <c r="AR22" s="410"/>
      <c r="AS22" s="945">
        <f>+$AO22*'ref.지급기준 (2)'!G106</f>
        <v>0</v>
      </c>
      <c r="AT22" s="884">
        <f t="shared" si="10"/>
        <v>0</v>
      </c>
      <c r="AU22" s="884">
        <f>+$AO22*'ref.지급기준 (2)'!I106</f>
        <v>0</v>
      </c>
      <c r="AV22" s="884">
        <f t="shared" si="33"/>
        <v>0</v>
      </c>
      <c r="AW22" s="884">
        <f>+$AO22*'ref.지급기준 (2)'!K106</f>
        <v>0</v>
      </c>
      <c r="AX22" s="884"/>
      <c r="AY22" s="884">
        <f>+$AO22*'ref.지급기준 (2)'!M106</f>
        <v>0</v>
      </c>
      <c r="AZ22" s="884"/>
      <c r="BA22" s="884">
        <f>+$AO22*'ref.지급기준 (2)'!O106</f>
        <v>0</v>
      </c>
      <c r="BB22" s="890"/>
      <c r="BC22" s="2719"/>
      <c r="BD22" s="393"/>
      <c r="BE22" s="393" t="b">
        <f t="shared" si="21"/>
        <v>1</v>
      </c>
      <c r="BF22" s="393"/>
      <c r="BG22" s="393"/>
      <c r="BH22" s="393"/>
      <c r="BI22" s="393"/>
      <c r="BJ22" s="393"/>
      <c r="BK22" s="393"/>
      <c r="BL22" s="393"/>
      <c r="BM22" s="393"/>
      <c r="BN22" s="393"/>
      <c r="BO22" s="408"/>
      <c r="BP22" s="408"/>
    </row>
    <row r="23" spans="1:68">
      <c r="A23" s="394"/>
      <c r="B23" s="2774"/>
      <c r="C23" s="2780"/>
      <c r="D23" s="2650"/>
      <c r="E23" s="2770"/>
      <c r="F23" s="2771"/>
      <c r="G23" s="2773"/>
      <c r="H23" s="2772"/>
      <c r="I23" s="2722"/>
      <c r="J23" s="2789"/>
      <c r="K23" s="2728"/>
      <c r="L23" s="2652"/>
      <c r="M23" s="2654"/>
      <c r="N23" s="2654"/>
      <c r="O23" s="875" t="s">
        <v>128</v>
      </c>
      <c r="P23" s="896">
        <f>+'DG-PV Organic'!AJ30</f>
        <v>37440000</v>
      </c>
      <c r="Q23" s="896">
        <f t="shared" ref="Q23" si="45">+P23*10%</f>
        <v>3744000</v>
      </c>
      <c r="R23" s="897">
        <f t="shared" si="41"/>
        <v>41184000</v>
      </c>
      <c r="S23" s="409" t="b">
        <f t="shared" si="1"/>
        <v>1</v>
      </c>
      <c r="T23" s="908">
        <f>+IFERROR(U23/R23,"-")</f>
        <v>0</v>
      </c>
      <c r="U23" s="909">
        <f>+IFERROR(X23+AA23+AD23+AG23+AJ23+AM23,"-")</f>
        <v>0</v>
      </c>
      <c r="V23" s="908">
        <f t="shared" si="2"/>
        <v>0</v>
      </c>
      <c r="W23" s="919">
        <f>W21</f>
        <v>45777</v>
      </c>
      <c r="X23" s="876"/>
      <c r="Y23" s="877"/>
      <c r="Z23" s="877">
        <f t="shared" si="34"/>
        <v>0</v>
      </c>
      <c r="AA23" s="877"/>
      <c r="AB23" s="883">
        <f t="shared" ref="AB23" si="46">AB21</f>
        <v>45838</v>
      </c>
      <c r="AC23" s="877">
        <f t="shared" si="35"/>
        <v>0</v>
      </c>
      <c r="AD23" s="877"/>
      <c r="AE23" s="883">
        <f t="shared" ref="AE23" si="47">AE21</f>
        <v>45899</v>
      </c>
      <c r="AF23" s="877">
        <f t="shared" si="36"/>
        <v>0</v>
      </c>
      <c r="AG23" s="877"/>
      <c r="AH23" s="883">
        <f t="shared" ref="AH23" si="48">AH21</f>
        <v>46295</v>
      </c>
      <c r="AI23" s="877" t="str">
        <f>+IFERROR(AJ23/#REF!,"-")</f>
        <v>-</v>
      </c>
      <c r="AJ23" s="877"/>
      <c r="AK23" s="877"/>
      <c r="AL23" s="877" t="str">
        <f>+IFERROR(AM23/#REF!,"-")</f>
        <v>-</v>
      </c>
      <c r="AM23" s="877"/>
      <c r="AN23" s="877"/>
      <c r="AO23" s="884">
        <f t="shared" si="8"/>
        <v>41184000</v>
      </c>
      <c r="AP23" s="884">
        <f t="shared" si="44"/>
        <v>12355200</v>
      </c>
      <c r="AQ23" s="1274"/>
      <c r="AR23" s="410"/>
      <c r="AS23" s="945">
        <f>+$AO23*'ref.지급기준 (2)'!G107</f>
        <v>12355200</v>
      </c>
      <c r="AT23" s="884">
        <f t="shared" si="10"/>
        <v>0</v>
      </c>
      <c r="AU23" s="884">
        <f>+$AO23*'ref.지급기준 (2)'!I107</f>
        <v>4118400</v>
      </c>
      <c r="AV23" s="884">
        <f t="shared" si="33"/>
        <v>0</v>
      </c>
      <c r="AW23" s="884">
        <f>+$AO23*'ref.지급기준 (2)'!K107</f>
        <v>20592000</v>
      </c>
      <c r="AX23" s="884"/>
      <c r="AY23" s="884">
        <f>+$AO23*'ref.지급기준 (2)'!M107</f>
        <v>4118400</v>
      </c>
      <c r="AZ23" s="884"/>
      <c r="BA23" s="884">
        <f>+$AO23*'ref.지급기준 (2)'!O107</f>
        <v>0</v>
      </c>
      <c r="BB23" s="890"/>
      <c r="BC23" s="2719"/>
      <c r="BD23" s="393"/>
      <c r="BE23" s="393" t="b">
        <f t="shared" si="21"/>
        <v>1</v>
      </c>
      <c r="BF23" s="393"/>
      <c r="BG23" s="393"/>
      <c r="BH23" s="393"/>
      <c r="BI23" s="393"/>
      <c r="BJ23" s="393"/>
      <c r="BK23" s="393"/>
      <c r="BL23" s="393"/>
      <c r="BM23" s="393"/>
      <c r="BN23" s="393"/>
      <c r="BO23" s="408"/>
      <c r="BP23" s="408"/>
    </row>
    <row r="24" spans="1:68">
      <c r="A24" s="394"/>
      <c r="B24" s="2774"/>
      <c r="C24" s="2780"/>
      <c r="D24" s="2650"/>
      <c r="E24" s="2770"/>
      <c r="F24" s="2771"/>
      <c r="G24" s="2773"/>
      <c r="H24" s="2772"/>
      <c r="I24" s="2723"/>
      <c r="J24" s="2790"/>
      <c r="K24" s="2729"/>
      <c r="L24" s="2653"/>
      <c r="M24" s="2655"/>
      <c r="N24" s="2655"/>
      <c r="O24" s="999" t="s">
        <v>129</v>
      </c>
      <c r="P24" s="900">
        <f>+'DG-PV Organic'!AI30</f>
        <v>43680000</v>
      </c>
      <c r="Q24" s="900">
        <f>+P24*0.1</f>
        <v>4368000</v>
      </c>
      <c r="R24" s="901">
        <f>SUM(P24:Q24)</f>
        <v>48048000</v>
      </c>
      <c r="S24" s="1275" t="b">
        <f t="shared" si="1"/>
        <v>1</v>
      </c>
      <c r="T24" s="910"/>
      <c r="U24" s="911"/>
      <c r="V24" s="910">
        <f t="shared" si="2"/>
        <v>0</v>
      </c>
      <c r="W24" s="926"/>
      <c r="X24" s="926"/>
      <c r="Y24" s="926"/>
      <c r="Z24" s="926">
        <f t="shared" si="34"/>
        <v>0</v>
      </c>
      <c r="AA24" s="926"/>
      <c r="AB24" s="927"/>
      <c r="AC24" s="926">
        <f t="shared" si="35"/>
        <v>0</v>
      </c>
      <c r="AD24" s="926"/>
      <c r="AE24" s="927"/>
      <c r="AF24" s="926">
        <f t="shared" si="36"/>
        <v>0</v>
      </c>
      <c r="AG24" s="926"/>
      <c r="AH24" s="927"/>
      <c r="AI24" s="926" t="str">
        <f>+IFERROR(AJ24/#REF!,"-")</f>
        <v>-</v>
      </c>
      <c r="AJ24" s="926"/>
      <c r="AK24" s="926"/>
      <c r="AL24" s="926"/>
      <c r="AM24" s="926"/>
      <c r="AN24" s="926"/>
      <c r="AO24" s="928">
        <f t="shared" si="8"/>
        <v>48048000</v>
      </c>
      <c r="AP24" s="928">
        <f>+AS24+AU24</f>
        <v>48048000</v>
      </c>
      <c r="AQ24" s="1276"/>
      <c r="AR24" s="410"/>
      <c r="AS24" s="947">
        <f>+$AO24*'ref.지급기준 (2)'!G108</f>
        <v>48048000</v>
      </c>
      <c r="AT24" s="928">
        <f t="shared" si="10"/>
        <v>0</v>
      </c>
      <c r="AU24" s="928">
        <f>+$AO24*'ref.지급기준 (2)'!I108</f>
        <v>0</v>
      </c>
      <c r="AV24" s="928">
        <f t="shared" si="33"/>
        <v>0</v>
      </c>
      <c r="AW24" s="928">
        <f>+$AO24*'ref.지급기준 (2)'!K108</f>
        <v>0</v>
      </c>
      <c r="AX24" s="928"/>
      <c r="AY24" s="928">
        <f>+$AO24*'ref.지급기준 (2)'!M108</f>
        <v>0</v>
      </c>
      <c r="AZ24" s="928"/>
      <c r="BA24" s="928">
        <f>+$AO24*'ref.지급기준 (2)'!O108</f>
        <v>0</v>
      </c>
      <c r="BB24" s="997"/>
      <c r="BC24" s="2720"/>
      <c r="BD24" s="393"/>
      <c r="BE24" s="393" t="b">
        <f t="shared" si="21"/>
        <v>1</v>
      </c>
      <c r="BF24" s="393"/>
      <c r="BG24" s="393"/>
      <c r="BH24" s="393"/>
      <c r="BI24" s="393"/>
      <c r="BJ24" s="393"/>
      <c r="BK24" s="393"/>
      <c r="BL24" s="393"/>
      <c r="BM24" s="393"/>
      <c r="BN24" s="393"/>
      <c r="BO24" s="408"/>
      <c r="BP24" s="408"/>
    </row>
    <row r="25" spans="1:68">
      <c r="A25" s="394"/>
      <c r="B25" s="2774"/>
      <c r="C25" s="2780"/>
      <c r="D25" s="2650"/>
      <c r="E25" s="2770"/>
      <c r="F25" s="2771"/>
      <c r="G25" s="2773"/>
      <c r="H25" s="2772"/>
      <c r="I25" s="2721" t="s">
        <v>1258</v>
      </c>
      <c r="J25" s="2724" t="str">
        <f>+'ref.지급기준 (2)'!C119</f>
        <v>Kojimom Bio</v>
      </c>
      <c r="K25" s="2727">
        <f>+'DG-PV Organic'!O31</f>
        <v>264.32</v>
      </c>
      <c r="L25" s="2730">
        <f>+'DG-PV Organic'!H31</f>
        <v>8.6900000000000005E-2</v>
      </c>
      <c r="M25" s="2717">
        <f>+'DG-PV Organic'!J31</f>
        <v>9.6000000000000002E-2</v>
      </c>
      <c r="N25" s="2717" t="s">
        <v>1257</v>
      </c>
      <c r="O25" s="893" t="s">
        <v>125</v>
      </c>
      <c r="P25" s="904">
        <f>+'DG-PV Organic'!AL31</f>
        <v>277536000</v>
      </c>
      <c r="Q25" s="904">
        <f>+P25*10%</f>
        <v>27753600</v>
      </c>
      <c r="R25" s="905">
        <f t="shared" ref="R25:R28" si="49">SUM(P25:Q25)</f>
        <v>305289600</v>
      </c>
      <c r="S25" s="1272" t="b">
        <f t="shared" si="1"/>
        <v>1</v>
      </c>
      <c r="T25" s="906">
        <f>+IFERROR(U25/R25,"-")</f>
        <v>0</v>
      </c>
      <c r="U25" s="907">
        <f>+IFERROR(X25+AA25+AD25+AG25+AJ25+AM25,"-")</f>
        <v>0</v>
      </c>
      <c r="V25" s="906">
        <f t="shared" si="2"/>
        <v>0</v>
      </c>
      <c r="W25" s="883">
        <f>AE28</f>
        <v>45899</v>
      </c>
      <c r="X25" s="917"/>
      <c r="Y25" s="922"/>
      <c r="Z25" s="877">
        <f t="shared" si="34"/>
        <v>0</v>
      </c>
      <c r="AA25" s="877"/>
      <c r="AB25" s="883">
        <f>+EDATE(W25,1)</f>
        <v>45930</v>
      </c>
      <c r="AC25" s="877">
        <f t="shared" si="35"/>
        <v>0</v>
      </c>
      <c r="AD25" s="877"/>
      <c r="AE25" s="883">
        <f t="shared" ref="AE25" si="50">+EDATE(AB25,3)</f>
        <v>46021</v>
      </c>
      <c r="AF25" s="877">
        <f t="shared" si="36"/>
        <v>0</v>
      </c>
      <c r="AG25" s="877"/>
      <c r="AH25" s="883">
        <f t="shared" ref="AH25" si="51">+EDATE(AB25,4)</f>
        <v>46052</v>
      </c>
      <c r="AI25" s="877" t="str">
        <f>+IFERROR(AJ25/#REF!,"-")</f>
        <v>-</v>
      </c>
      <c r="AJ25" s="877"/>
      <c r="AK25" s="883">
        <f>+EDATE(AB25,6)+1</f>
        <v>46112</v>
      </c>
      <c r="AL25" s="922" t="str">
        <f>+IFERROR(AM25/#REF!,"-")</f>
        <v>-</v>
      </c>
      <c r="AM25" s="922"/>
      <c r="AN25" s="922"/>
      <c r="AO25" s="924">
        <f t="shared" si="8"/>
        <v>305289600</v>
      </c>
      <c r="AP25" s="924" t="e">
        <f t="shared" ref="AP25:AP28" si="52">+AS25</f>
        <v>#REF!</v>
      </c>
      <c r="AQ25" s="1273" t="s">
        <v>793</v>
      </c>
      <c r="AR25" s="410"/>
      <c r="AS25" s="945" t="e">
        <f>+$AO25*'ref.지급기준 (2)'!#REF!</f>
        <v>#REF!</v>
      </c>
      <c r="AT25" s="884">
        <f t="shared" si="10"/>
        <v>0</v>
      </c>
      <c r="AU25" s="884" t="e">
        <f>+$AO25*'ref.지급기준 (2)'!#REF!</f>
        <v>#REF!</v>
      </c>
      <c r="AV25" s="884">
        <f t="shared" si="33"/>
        <v>0</v>
      </c>
      <c r="AW25" s="884" t="e">
        <f>+$AO25*'ref.지급기준 (2)'!#REF!</f>
        <v>#REF!</v>
      </c>
      <c r="AX25" s="884"/>
      <c r="AY25" s="884" t="e">
        <f>+$AO25*'ref.지급기준 (2)'!#REF!</f>
        <v>#REF!</v>
      </c>
      <c r="AZ25" s="884"/>
      <c r="BA25" s="884" t="e">
        <f>+$AO25*'ref.지급기준 (2)'!#REF!</f>
        <v>#REF!</v>
      </c>
      <c r="BB25" s="890"/>
      <c r="BC25" s="2718" t="s">
        <v>1252</v>
      </c>
      <c r="BD25" s="393"/>
      <c r="BE25" s="393" t="e">
        <f t="shared" si="21"/>
        <v>#REF!</v>
      </c>
      <c r="BF25" s="393"/>
      <c r="BG25" s="393"/>
      <c r="BH25" s="393"/>
      <c r="BI25" s="393"/>
      <c r="BJ25" s="393"/>
      <c r="BK25" s="393"/>
      <c r="BL25" s="393"/>
      <c r="BM25" s="393"/>
      <c r="BN25" s="393"/>
      <c r="BO25" s="408"/>
      <c r="BP25" s="408"/>
    </row>
    <row r="26" spans="1:68">
      <c r="A26" s="394"/>
      <c r="B26" s="2774"/>
      <c r="C26" s="2780"/>
      <c r="D26" s="2650"/>
      <c r="E26" s="2770"/>
      <c r="F26" s="2771"/>
      <c r="G26" s="2773"/>
      <c r="H26" s="2772"/>
      <c r="I26" s="2722"/>
      <c r="J26" s="2725"/>
      <c r="K26" s="2728"/>
      <c r="L26" s="2652"/>
      <c r="M26" s="2654"/>
      <c r="N26" s="2654"/>
      <c r="O26" s="875" t="s">
        <v>126</v>
      </c>
      <c r="P26" s="896">
        <f>+'DG-PV Organic'!AK31</f>
        <v>79296000</v>
      </c>
      <c r="Q26" s="896">
        <f>+P26*10%</f>
        <v>7929600</v>
      </c>
      <c r="R26" s="897">
        <f t="shared" si="49"/>
        <v>87225600</v>
      </c>
      <c r="S26" s="409" t="b">
        <f t="shared" si="1"/>
        <v>1</v>
      </c>
      <c r="T26" s="908">
        <f>+IFERROR(U26/R26,"-")</f>
        <v>0</v>
      </c>
      <c r="U26" s="909">
        <f>+IFERROR(X26+AA26+AD26+AG26+AJ26+AM26,"-")</f>
        <v>0</v>
      </c>
      <c r="V26" s="908">
        <f t="shared" si="2"/>
        <v>0</v>
      </c>
      <c r="W26" s="919">
        <v>45777</v>
      </c>
      <c r="X26" s="876"/>
      <c r="Y26" s="877"/>
      <c r="Z26" s="877">
        <f t="shared" si="34"/>
        <v>0</v>
      </c>
      <c r="AA26" s="886"/>
      <c r="AB26" s="883">
        <v>45838</v>
      </c>
      <c r="AC26" s="877">
        <f t="shared" si="35"/>
        <v>0</v>
      </c>
      <c r="AD26" s="877"/>
      <c r="AE26" s="883">
        <f>+EDATE(AB26,2)</f>
        <v>45899</v>
      </c>
      <c r="AF26" s="877">
        <f t="shared" si="36"/>
        <v>0</v>
      </c>
      <c r="AG26" s="877"/>
      <c r="AH26" s="883">
        <f>+EDATE(AB25,12)</f>
        <v>46295</v>
      </c>
      <c r="AI26" s="877" t="str">
        <f>+IFERROR(AJ26/#REF!,"-")</f>
        <v>-</v>
      </c>
      <c r="AJ26" s="877"/>
      <c r="AK26" s="877"/>
      <c r="AL26" s="877" t="str">
        <f>+IFERROR(AM26/#REF!,"-")</f>
        <v>-</v>
      </c>
      <c r="AM26" s="877"/>
      <c r="AN26" s="877"/>
      <c r="AO26" s="884">
        <f t="shared" si="8"/>
        <v>87225600</v>
      </c>
      <c r="AP26" s="884" t="e">
        <f t="shared" si="52"/>
        <v>#REF!</v>
      </c>
      <c r="AQ26" s="1274"/>
      <c r="AR26" s="410"/>
      <c r="AS26" s="945" t="e">
        <f>+$AO26*'ref.지급기준 (2)'!#REF!</f>
        <v>#REF!</v>
      </c>
      <c r="AT26" s="884">
        <f t="shared" si="10"/>
        <v>0</v>
      </c>
      <c r="AU26" s="884" t="e">
        <f>+$AO26*'ref.지급기준 (2)'!#REF!</f>
        <v>#REF!</v>
      </c>
      <c r="AV26" s="884">
        <f t="shared" si="33"/>
        <v>0</v>
      </c>
      <c r="AW26" s="884" t="e">
        <f>+$AO26*'ref.지급기준 (2)'!#REF!</f>
        <v>#REF!</v>
      </c>
      <c r="AX26" s="884"/>
      <c r="AY26" s="884" t="e">
        <f>+$AO26*'ref.지급기준 (2)'!#REF!</f>
        <v>#REF!</v>
      </c>
      <c r="AZ26" s="884"/>
      <c r="BA26" s="884" t="e">
        <f>+$AO26*'ref.지급기준 (2)'!#REF!</f>
        <v>#REF!</v>
      </c>
      <c r="BB26" s="890"/>
      <c r="BC26" s="2719"/>
      <c r="BD26" s="393"/>
      <c r="BE26" s="393" t="e">
        <f t="shared" si="21"/>
        <v>#REF!</v>
      </c>
      <c r="BF26" s="393"/>
      <c r="BG26" s="393"/>
      <c r="BH26" s="393"/>
      <c r="BI26" s="393"/>
      <c r="BJ26" s="393"/>
      <c r="BK26" s="393"/>
      <c r="BL26" s="393"/>
      <c r="BM26" s="393"/>
      <c r="BN26" s="393"/>
      <c r="BO26" s="408"/>
      <c r="BP26" s="408"/>
    </row>
    <row r="27" spans="1:68">
      <c r="A27" s="394"/>
      <c r="B27" s="2774"/>
      <c r="C27" s="2780"/>
      <c r="D27" s="2650"/>
      <c r="E27" s="2770"/>
      <c r="F27" s="2771"/>
      <c r="G27" s="2773"/>
      <c r="H27" s="2772"/>
      <c r="I27" s="2722"/>
      <c r="J27" s="2725"/>
      <c r="K27" s="2728"/>
      <c r="L27" s="2652"/>
      <c r="M27" s="2654"/>
      <c r="N27" s="2654"/>
      <c r="O27" s="875" t="s">
        <v>127</v>
      </c>
      <c r="P27" s="896">
        <v>0</v>
      </c>
      <c r="Q27" s="896"/>
      <c r="R27" s="897">
        <f t="shared" si="49"/>
        <v>0</v>
      </c>
      <c r="S27" s="409" t="b">
        <f t="shared" si="1"/>
        <v>1</v>
      </c>
      <c r="T27" s="908" t="str">
        <f>+IFERROR(U27/R27,"-")</f>
        <v>-</v>
      </c>
      <c r="U27" s="909">
        <f>+IFERROR(X27+AA27+AD27+AG27+AJ27+AM27,"-")</f>
        <v>0</v>
      </c>
      <c r="V27" s="908" t="str">
        <f t="shared" si="2"/>
        <v>-</v>
      </c>
      <c r="W27" s="919"/>
      <c r="X27" s="876"/>
      <c r="Y27" s="877"/>
      <c r="Z27" s="877" t="str">
        <f t="shared" si="34"/>
        <v>-</v>
      </c>
      <c r="AA27" s="877"/>
      <c r="AB27" s="883"/>
      <c r="AC27" s="877" t="str">
        <f t="shared" si="35"/>
        <v>-</v>
      </c>
      <c r="AD27" s="877"/>
      <c r="AE27" s="883"/>
      <c r="AF27" s="877" t="str">
        <f t="shared" si="36"/>
        <v>-</v>
      </c>
      <c r="AG27" s="877"/>
      <c r="AH27" s="883"/>
      <c r="AI27" s="877" t="str">
        <f>+IFERROR(AJ27/#REF!,"-")</f>
        <v>-</v>
      </c>
      <c r="AJ27" s="877"/>
      <c r="AK27" s="877"/>
      <c r="AL27" s="877" t="str">
        <f>+IFERROR(AM27/#REF!,"-")</f>
        <v>-</v>
      </c>
      <c r="AM27" s="877"/>
      <c r="AN27" s="877"/>
      <c r="AO27" s="884">
        <f t="shared" si="8"/>
        <v>0</v>
      </c>
      <c r="AP27" s="884" t="e">
        <f t="shared" si="52"/>
        <v>#REF!</v>
      </c>
      <c r="AQ27" s="1274"/>
      <c r="AR27" s="410"/>
      <c r="AS27" s="945" t="e">
        <f>+$AO27*'ref.지급기준 (2)'!#REF!</f>
        <v>#REF!</v>
      </c>
      <c r="AT27" s="884">
        <f t="shared" si="10"/>
        <v>0</v>
      </c>
      <c r="AU27" s="884" t="e">
        <f>+$AO27*'ref.지급기준 (2)'!#REF!</f>
        <v>#REF!</v>
      </c>
      <c r="AV27" s="884">
        <f t="shared" si="33"/>
        <v>0</v>
      </c>
      <c r="AW27" s="884" t="e">
        <f>+$AO27*'ref.지급기준 (2)'!#REF!</f>
        <v>#REF!</v>
      </c>
      <c r="AX27" s="884"/>
      <c r="AY27" s="884" t="e">
        <f>+$AO27*'ref.지급기준 (2)'!#REF!</f>
        <v>#REF!</v>
      </c>
      <c r="AZ27" s="884"/>
      <c r="BA27" s="884" t="e">
        <f>+$AO27*'ref.지급기준 (2)'!#REF!</f>
        <v>#REF!</v>
      </c>
      <c r="BB27" s="890"/>
      <c r="BC27" s="2719"/>
      <c r="BD27" s="393"/>
      <c r="BE27" s="393" t="e">
        <f t="shared" si="21"/>
        <v>#REF!</v>
      </c>
      <c r="BF27" s="393"/>
      <c r="BG27" s="393"/>
      <c r="BH27" s="393"/>
      <c r="BI27" s="393"/>
      <c r="BJ27" s="393"/>
      <c r="BK27" s="393"/>
      <c r="BL27" s="393"/>
      <c r="BM27" s="393"/>
      <c r="BN27" s="393"/>
      <c r="BO27" s="408"/>
      <c r="BP27" s="408"/>
    </row>
    <row r="28" spans="1:68">
      <c r="A28" s="394"/>
      <c r="B28" s="2774"/>
      <c r="C28" s="2780"/>
      <c r="D28" s="2650"/>
      <c r="E28" s="2770"/>
      <c r="F28" s="2771"/>
      <c r="G28" s="2773"/>
      <c r="H28" s="2772"/>
      <c r="I28" s="2722"/>
      <c r="J28" s="2725"/>
      <c r="K28" s="2728"/>
      <c r="L28" s="2652"/>
      <c r="M28" s="2654"/>
      <c r="N28" s="2654"/>
      <c r="O28" s="875" t="s">
        <v>128</v>
      </c>
      <c r="P28" s="896">
        <f>+'DG-PV Organic'!AJ31</f>
        <v>39648000</v>
      </c>
      <c r="Q28" s="896">
        <f t="shared" ref="Q28" si="53">+P28*10%</f>
        <v>3964800</v>
      </c>
      <c r="R28" s="897">
        <f t="shared" si="49"/>
        <v>43612800</v>
      </c>
      <c r="S28" s="409" t="b">
        <f t="shared" si="1"/>
        <v>1</v>
      </c>
      <c r="T28" s="908">
        <f>+IFERROR(U28/R28,"-")</f>
        <v>0</v>
      </c>
      <c r="U28" s="909">
        <f>+IFERROR(X28+AA28+AD28+AG28+AJ28+AM28,"-")</f>
        <v>0</v>
      </c>
      <c r="V28" s="908">
        <f t="shared" si="2"/>
        <v>0</v>
      </c>
      <c r="W28" s="919">
        <f>W26</f>
        <v>45777</v>
      </c>
      <c r="X28" s="876"/>
      <c r="Y28" s="877"/>
      <c r="Z28" s="877">
        <f t="shared" si="34"/>
        <v>0</v>
      </c>
      <c r="AA28" s="877"/>
      <c r="AB28" s="883">
        <f t="shared" ref="AB28" si="54">AB26</f>
        <v>45838</v>
      </c>
      <c r="AC28" s="877">
        <f t="shared" si="35"/>
        <v>0</v>
      </c>
      <c r="AD28" s="877"/>
      <c r="AE28" s="883">
        <f t="shared" ref="AE28" si="55">AE26</f>
        <v>45899</v>
      </c>
      <c r="AF28" s="877">
        <f t="shared" si="36"/>
        <v>0</v>
      </c>
      <c r="AG28" s="877"/>
      <c r="AH28" s="883">
        <f t="shared" ref="AH28" si="56">AH26</f>
        <v>46295</v>
      </c>
      <c r="AI28" s="877" t="str">
        <f>+IFERROR(AJ28/#REF!,"-")</f>
        <v>-</v>
      </c>
      <c r="AJ28" s="877"/>
      <c r="AK28" s="877"/>
      <c r="AL28" s="877" t="str">
        <f>+IFERROR(AM28/#REF!,"-")</f>
        <v>-</v>
      </c>
      <c r="AM28" s="877"/>
      <c r="AN28" s="877"/>
      <c r="AO28" s="884">
        <f t="shared" si="8"/>
        <v>43612800</v>
      </c>
      <c r="AP28" s="884" t="e">
        <f t="shared" si="52"/>
        <v>#REF!</v>
      </c>
      <c r="AQ28" s="1274"/>
      <c r="AR28" s="410"/>
      <c r="AS28" s="945" t="e">
        <f>+$AO28*'ref.지급기준 (2)'!#REF!</f>
        <v>#REF!</v>
      </c>
      <c r="AT28" s="884">
        <f t="shared" si="10"/>
        <v>0</v>
      </c>
      <c r="AU28" s="884" t="e">
        <f>+$AO28*'ref.지급기준 (2)'!#REF!</f>
        <v>#REF!</v>
      </c>
      <c r="AV28" s="884">
        <f t="shared" si="33"/>
        <v>0</v>
      </c>
      <c r="AW28" s="884" t="e">
        <f>+$AO28*'ref.지급기준 (2)'!#REF!</f>
        <v>#REF!</v>
      </c>
      <c r="AX28" s="884"/>
      <c r="AY28" s="884" t="e">
        <f>+$AO28*'ref.지급기준 (2)'!#REF!</f>
        <v>#REF!</v>
      </c>
      <c r="AZ28" s="884"/>
      <c r="BA28" s="884" t="e">
        <f>+$AO28*'ref.지급기준 (2)'!#REF!</f>
        <v>#REF!</v>
      </c>
      <c r="BB28" s="890"/>
      <c r="BC28" s="2719"/>
      <c r="BD28" s="393"/>
      <c r="BE28" s="393" t="e">
        <f t="shared" si="21"/>
        <v>#REF!</v>
      </c>
      <c r="BF28" s="393"/>
      <c r="BG28" s="393"/>
      <c r="BH28" s="393"/>
      <c r="BI28" s="393"/>
      <c r="BJ28" s="393"/>
      <c r="BK28" s="393"/>
      <c r="BL28" s="393"/>
      <c r="BM28" s="393"/>
      <c r="BN28" s="393"/>
      <c r="BO28" s="408"/>
      <c r="BP28" s="408"/>
    </row>
    <row r="29" spans="1:68">
      <c r="A29" s="394"/>
      <c r="B29" s="2774"/>
      <c r="C29" s="2780"/>
      <c r="D29" s="2650"/>
      <c r="E29" s="2770"/>
      <c r="F29" s="2771"/>
      <c r="G29" s="2773"/>
      <c r="H29" s="2772"/>
      <c r="I29" s="2723"/>
      <c r="J29" s="2726"/>
      <c r="K29" s="2729"/>
      <c r="L29" s="2653"/>
      <c r="M29" s="2655"/>
      <c r="N29" s="2655"/>
      <c r="O29" s="999" t="s">
        <v>129</v>
      </c>
      <c r="P29" s="900">
        <f>+'DG-PV Organic'!AI31</f>
        <v>46256000</v>
      </c>
      <c r="Q29" s="900">
        <f>+P29*0.1</f>
        <v>4625600</v>
      </c>
      <c r="R29" s="901">
        <f>SUM(P29:Q29)</f>
        <v>50881600</v>
      </c>
      <c r="S29" s="1275" t="b">
        <f t="shared" si="1"/>
        <v>1</v>
      </c>
      <c r="T29" s="910"/>
      <c r="U29" s="911"/>
      <c r="V29" s="910">
        <f t="shared" si="2"/>
        <v>0</v>
      </c>
      <c r="W29" s="926"/>
      <c r="X29" s="926"/>
      <c r="Y29" s="926"/>
      <c r="Z29" s="926">
        <f t="shared" si="34"/>
        <v>0</v>
      </c>
      <c r="AA29" s="926"/>
      <c r="AB29" s="927"/>
      <c r="AC29" s="926">
        <f t="shared" si="35"/>
        <v>0</v>
      </c>
      <c r="AD29" s="926"/>
      <c r="AE29" s="927"/>
      <c r="AF29" s="926">
        <f t="shared" si="36"/>
        <v>0</v>
      </c>
      <c r="AG29" s="926"/>
      <c r="AH29" s="927"/>
      <c r="AI29" s="926" t="str">
        <f>+IFERROR(AJ29/#REF!,"-")</f>
        <v>-</v>
      </c>
      <c r="AJ29" s="926"/>
      <c r="AK29" s="926"/>
      <c r="AL29" s="926"/>
      <c r="AM29" s="926"/>
      <c r="AN29" s="926"/>
      <c r="AO29" s="928">
        <f t="shared" si="8"/>
        <v>50881600</v>
      </c>
      <c r="AP29" s="928" t="e">
        <f>+AS29+AU29</f>
        <v>#REF!</v>
      </c>
      <c r="AQ29" s="1276"/>
      <c r="AR29" s="410"/>
      <c r="AS29" s="947" t="e">
        <f>+$AO29*'ref.지급기준 (2)'!#REF!</f>
        <v>#REF!</v>
      </c>
      <c r="AT29" s="928">
        <f t="shared" si="10"/>
        <v>0</v>
      </c>
      <c r="AU29" s="928" t="e">
        <f>+$AO29*'ref.지급기준 (2)'!#REF!</f>
        <v>#REF!</v>
      </c>
      <c r="AV29" s="928">
        <f t="shared" si="33"/>
        <v>0</v>
      </c>
      <c r="AW29" s="928" t="e">
        <f>+$AO29*'ref.지급기준 (2)'!#REF!</f>
        <v>#REF!</v>
      </c>
      <c r="AX29" s="928"/>
      <c r="AY29" s="928" t="e">
        <f>+$AO29*'ref.지급기준 (2)'!#REF!</f>
        <v>#REF!</v>
      </c>
      <c r="AZ29" s="928"/>
      <c r="BA29" s="928" t="e">
        <f>+$AO29*'ref.지급기준 (2)'!#REF!</f>
        <v>#REF!</v>
      </c>
      <c r="BB29" s="997"/>
      <c r="BC29" s="2720"/>
      <c r="BD29" s="393"/>
      <c r="BE29" s="393" t="e">
        <f t="shared" si="21"/>
        <v>#REF!</v>
      </c>
      <c r="BF29" s="393"/>
      <c r="BG29" s="393"/>
      <c r="BH29" s="393"/>
      <c r="BI29" s="393"/>
      <c r="BJ29" s="393"/>
      <c r="BK29" s="393"/>
      <c r="BL29" s="393"/>
      <c r="BM29" s="393"/>
      <c r="BN29" s="393"/>
      <c r="BO29" s="408"/>
      <c r="BP29" s="408"/>
    </row>
    <row r="30" spans="1:68">
      <c r="A30" s="394"/>
      <c r="B30" s="2774"/>
      <c r="C30" s="2780"/>
      <c r="D30" s="2650"/>
      <c r="E30" s="2770"/>
      <c r="F30" s="2771"/>
      <c r="G30" s="2773"/>
      <c r="H30" s="2772"/>
      <c r="I30" s="2721" t="s">
        <v>1259</v>
      </c>
      <c r="J30" s="2724" t="str">
        <f>+'ref.지급기준 (2)'!C124</f>
        <v>Dongshin Motek</v>
      </c>
      <c r="K30" s="2727">
        <f>+'DG-PV Organic'!O32</f>
        <v>380.8</v>
      </c>
      <c r="L30" s="2730">
        <f>+'DG-PV Organic'!H32</f>
        <v>9.5299999999999996E-2</v>
      </c>
      <c r="M30" s="2717">
        <f>+'DG-PV Organic'!J32</f>
        <v>9.6000000000000002E-2</v>
      </c>
      <c r="N30" s="2717" t="s">
        <v>1257</v>
      </c>
      <c r="O30" s="893" t="s">
        <v>125</v>
      </c>
      <c r="P30" s="904">
        <f>+'DG-PV Organic'!AL32</f>
        <v>399840000</v>
      </c>
      <c r="Q30" s="904">
        <f>+P30*10%</f>
        <v>39984000</v>
      </c>
      <c r="R30" s="905">
        <f t="shared" ref="R30:R33" si="57">SUM(P30:Q30)</f>
        <v>439824000</v>
      </c>
      <c r="S30" s="1272" t="b">
        <f t="shared" si="1"/>
        <v>1</v>
      </c>
      <c r="T30" s="906">
        <f>+IFERROR(U30/R30,"-")</f>
        <v>0</v>
      </c>
      <c r="U30" s="907">
        <f>+IFERROR(X30+AA30+AD30+AG30+AJ30+AM30,"-")</f>
        <v>0</v>
      </c>
      <c r="V30" s="906">
        <f t="shared" si="2"/>
        <v>0</v>
      </c>
      <c r="W30" s="883">
        <f>AE33</f>
        <v>45899</v>
      </c>
      <c r="X30" s="917"/>
      <c r="Y30" s="922"/>
      <c r="Z30" s="877">
        <f t="shared" si="34"/>
        <v>0</v>
      </c>
      <c r="AA30" s="877"/>
      <c r="AB30" s="883">
        <f>+EDATE(W30,1)</f>
        <v>45930</v>
      </c>
      <c r="AC30" s="877">
        <f t="shared" si="35"/>
        <v>0</v>
      </c>
      <c r="AD30" s="877"/>
      <c r="AE30" s="883">
        <f t="shared" ref="AE30" si="58">+EDATE(AB30,3)</f>
        <v>46021</v>
      </c>
      <c r="AF30" s="877">
        <f t="shared" si="36"/>
        <v>0</v>
      </c>
      <c r="AG30" s="877"/>
      <c r="AH30" s="883">
        <f t="shared" ref="AH30" si="59">+EDATE(AB30,4)</f>
        <v>46052</v>
      </c>
      <c r="AI30" s="877" t="str">
        <f>+IFERROR(AJ30/#REF!,"-")</f>
        <v>-</v>
      </c>
      <c r="AJ30" s="877"/>
      <c r="AK30" s="883">
        <f>+EDATE(AB30,6)+1</f>
        <v>46112</v>
      </c>
      <c r="AL30" s="922" t="str">
        <f>+IFERROR(AM30/#REF!,"-")</f>
        <v>-</v>
      </c>
      <c r="AM30" s="922"/>
      <c r="AN30" s="922"/>
      <c r="AO30" s="924">
        <f t="shared" si="8"/>
        <v>439824000</v>
      </c>
      <c r="AP30" s="924" t="e">
        <f t="shared" ref="AP30:AP33" si="60">+AS30</f>
        <v>#REF!</v>
      </c>
      <c r="AQ30" s="1273" t="s">
        <v>793</v>
      </c>
      <c r="AR30" s="410"/>
      <c r="AS30" s="945" t="e">
        <f>+$AO30*'ref.지급기준 (2)'!#REF!</f>
        <v>#REF!</v>
      </c>
      <c r="AT30" s="884">
        <f t="shared" si="10"/>
        <v>0</v>
      </c>
      <c r="AU30" s="884" t="e">
        <f>+$AO30*'ref.지급기준 (2)'!#REF!</f>
        <v>#REF!</v>
      </c>
      <c r="AV30" s="884">
        <f t="shared" si="33"/>
        <v>0</v>
      </c>
      <c r="AW30" s="884" t="e">
        <f>+$AO30*'ref.지급기준 (2)'!#REF!</f>
        <v>#REF!</v>
      </c>
      <c r="AX30" s="884"/>
      <c r="AY30" s="884" t="e">
        <f>+$AO30*'ref.지급기준 (2)'!#REF!</f>
        <v>#REF!</v>
      </c>
      <c r="AZ30" s="884"/>
      <c r="BA30" s="884" t="e">
        <f>+$AO30*'ref.지급기준 (2)'!#REF!</f>
        <v>#REF!</v>
      </c>
      <c r="BB30" s="890"/>
      <c r="BC30" s="2718" t="s">
        <v>1252</v>
      </c>
      <c r="BD30" s="393"/>
      <c r="BE30" s="393" t="e">
        <f t="shared" si="21"/>
        <v>#REF!</v>
      </c>
      <c r="BF30" s="393"/>
      <c r="BG30" s="393"/>
      <c r="BH30" s="393"/>
      <c r="BI30" s="393"/>
      <c r="BJ30" s="393"/>
      <c r="BK30" s="393"/>
      <c r="BL30" s="393"/>
      <c r="BM30" s="393"/>
      <c r="BN30" s="393"/>
      <c r="BO30" s="408"/>
      <c r="BP30" s="408"/>
    </row>
    <row r="31" spans="1:68">
      <c r="A31" s="394"/>
      <c r="B31" s="2774"/>
      <c r="C31" s="2780"/>
      <c r="D31" s="2650"/>
      <c r="E31" s="2770"/>
      <c r="F31" s="2771"/>
      <c r="G31" s="2773"/>
      <c r="H31" s="2772"/>
      <c r="I31" s="2722"/>
      <c r="J31" s="2725"/>
      <c r="K31" s="2728"/>
      <c r="L31" s="2652"/>
      <c r="M31" s="2654"/>
      <c r="N31" s="2654"/>
      <c r="O31" s="875" t="s">
        <v>126</v>
      </c>
      <c r="P31" s="896">
        <f>+'DG-PV Organic'!AK32</f>
        <v>114240000</v>
      </c>
      <c r="Q31" s="896">
        <f>+P31*10%</f>
        <v>11424000</v>
      </c>
      <c r="R31" s="897">
        <f t="shared" si="57"/>
        <v>125664000</v>
      </c>
      <c r="S31" s="409" t="b">
        <f t="shared" si="1"/>
        <v>1</v>
      </c>
      <c r="T31" s="908">
        <f>+IFERROR(U31/R31,"-")</f>
        <v>0</v>
      </c>
      <c r="U31" s="909">
        <f>+IFERROR(X31+AA31+AD31+AG31+AJ31+AM31,"-")</f>
        <v>0</v>
      </c>
      <c r="V31" s="908">
        <f t="shared" si="2"/>
        <v>0</v>
      </c>
      <c r="W31" s="919">
        <v>45777</v>
      </c>
      <c r="X31" s="876"/>
      <c r="Y31" s="877"/>
      <c r="Z31" s="877">
        <f t="shared" si="34"/>
        <v>0</v>
      </c>
      <c r="AA31" s="886"/>
      <c r="AB31" s="883">
        <v>45838</v>
      </c>
      <c r="AC31" s="877">
        <f t="shared" si="35"/>
        <v>0</v>
      </c>
      <c r="AD31" s="877"/>
      <c r="AE31" s="883">
        <f>+EDATE(AB31,2)</f>
        <v>45899</v>
      </c>
      <c r="AF31" s="877">
        <f t="shared" si="36"/>
        <v>0</v>
      </c>
      <c r="AG31" s="877"/>
      <c r="AH31" s="883">
        <f>+EDATE(AB30,12)</f>
        <v>46295</v>
      </c>
      <c r="AI31" s="877" t="str">
        <f>+IFERROR(AJ31/#REF!,"-")</f>
        <v>-</v>
      </c>
      <c r="AJ31" s="877"/>
      <c r="AK31" s="877"/>
      <c r="AL31" s="877" t="str">
        <f>+IFERROR(AM31/#REF!,"-")</f>
        <v>-</v>
      </c>
      <c r="AM31" s="877"/>
      <c r="AN31" s="877"/>
      <c r="AO31" s="884">
        <f t="shared" si="8"/>
        <v>125664000</v>
      </c>
      <c r="AP31" s="884" t="e">
        <f t="shared" si="60"/>
        <v>#REF!</v>
      </c>
      <c r="AQ31" s="1274"/>
      <c r="AR31" s="410"/>
      <c r="AS31" s="945" t="e">
        <f>+$AO31*'ref.지급기준 (2)'!#REF!</f>
        <v>#REF!</v>
      </c>
      <c r="AT31" s="884">
        <f t="shared" si="10"/>
        <v>0</v>
      </c>
      <c r="AU31" s="884" t="e">
        <f>+$AO31*'ref.지급기준 (2)'!#REF!</f>
        <v>#REF!</v>
      </c>
      <c r="AV31" s="884">
        <f t="shared" si="33"/>
        <v>0</v>
      </c>
      <c r="AW31" s="884" t="e">
        <f>+$AO31*'ref.지급기준 (2)'!#REF!</f>
        <v>#REF!</v>
      </c>
      <c r="AX31" s="884"/>
      <c r="AY31" s="884" t="e">
        <f>+$AO31*'ref.지급기준 (2)'!#REF!</f>
        <v>#REF!</v>
      </c>
      <c r="AZ31" s="884"/>
      <c r="BA31" s="884" t="e">
        <f>+$AO31*'ref.지급기준 (2)'!#REF!</f>
        <v>#REF!</v>
      </c>
      <c r="BB31" s="890"/>
      <c r="BC31" s="2719"/>
      <c r="BD31" s="393"/>
      <c r="BE31" s="393" t="e">
        <f t="shared" si="21"/>
        <v>#REF!</v>
      </c>
      <c r="BF31" s="393"/>
      <c r="BG31" s="393"/>
      <c r="BH31" s="393"/>
      <c r="BI31" s="393"/>
      <c r="BJ31" s="393"/>
      <c r="BK31" s="393"/>
      <c r="BL31" s="393"/>
      <c r="BM31" s="393"/>
      <c r="BN31" s="393"/>
      <c r="BO31" s="408"/>
      <c r="BP31" s="408"/>
    </row>
    <row r="32" spans="1:68">
      <c r="A32" s="394"/>
      <c r="B32" s="2774"/>
      <c r="C32" s="2780"/>
      <c r="D32" s="2650"/>
      <c r="E32" s="2770"/>
      <c r="F32" s="2771"/>
      <c r="G32" s="2773"/>
      <c r="H32" s="2772"/>
      <c r="I32" s="2722"/>
      <c r="J32" s="2725"/>
      <c r="K32" s="2728"/>
      <c r="L32" s="2652"/>
      <c r="M32" s="2654"/>
      <c r="N32" s="2654"/>
      <c r="O32" s="875" t="s">
        <v>127</v>
      </c>
      <c r="P32" s="896">
        <v>0</v>
      </c>
      <c r="Q32" s="896"/>
      <c r="R32" s="897">
        <f t="shared" si="57"/>
        <v>0</v>
      </c>
      <c r="S32" s="409" t="b">
        <f t="shared" si="1"/>
        <v>1</v>
      </c>
      <c r="T32" s="908" t="str">
        <f>+IFERROR(U32/R32,"-")</f>
        <v>-</v>
      </c>
      <c r="U32" s="909">
        <f>+IFERROR(X32+AA32+AD32+AG32+AJ32+AM32,"-")</f>
        <v>0</v>
      </c>
      <c r="V32" s="908" t="str">
        <f t="shared" si="2"/>
        <v>-</v>
      </c>
      <c r="W32" s="919"/>
      <c r="X32" s="876"/>
      <c r="Y32" s="877"/>
      <c r="Z32" s="877" t="str">
        <f t="shared" si="34"/>
        <v>-</v>
      </c>
      <c r="AA32" s="877"/>
      <c r="AB32" s="883"/>
      <c r="AC32" s="877" t="str">
        <f t="shared" si="35"/>
        <v>-</v>
      </c>
      <c r="AD32" s="877"/>
      <c r="AE32" s="883"/>
      <c r="AF32" s="877" t="str">
        <f t="shared" si="36"/>
        <v>-</v>
      </c>
      <c r="AG32" s="877"/>
      <c r="AH32" s="883"/>
      <c r="AI32" s="877" t="str">
        <f>+IFERROR(AJ32/#REF!,"-")</f>
        <v>-</v>
      </c>
      <c r="AJ32" s="877"/>
      <c r="AK32" s="877"/>
      <c r="AL32" s="877" t="str">
        <f>+IFERROR(AM32/#REF!,"-")</f>
        <v>-</v>
      </c>
      <c r="AM32" s="877"/>
      <c r="AN32" s="877"/>
      <c r="AO32" s="884">
        <f t="shared" si="8"/>
        <v>0</v>
      </c>
      <c r="AP32" s="884" t="e">
        <f t="shared" si="60"/>
        <v>#REF!</v>
      </c>
      <c r="AQ32" s="1274"/>
      <c r="AR32" s="410"/>
      <c r="AS32" s="945" t="e">
        <f>+$AO32*'ref.지급기준 (2)'!#REF!</f>
        <v>#REF!</v>
      </c>
      <c r="AT32" s="884">
        <f t="shared" si="10"/>
        <v>0</v>
      </c>
      <c r="AU32" s="884" t="e">
        <f>+$AO32*'ref.지급기준 (2)'!#REF!</f>
        <v>#REF!</v>
      </c>
      <c r="AV32" s="884">
        <f t="shared" si="33"/>
        <v>0</v>
      </c>
      <c r="AW32" s="884" t="e">
        <f>+$AO32*'ref.지급기준 (2)'!#REF!</f>
        <v>#REF!</v>
      </c>
      <c r="AX32" s="884"/>
      <c r="AY32" s="884" t="e">
        <f>+$AO32*'ref.지급기준 (2)'!#REF!</f>
        <v>#REF!</v>
      </c>
      <c r="AZ32" s="884"/>
      <c r="BA32" s="884" t="e">
        <f>+$AO32*'ref.지급기준 (2)'!#REF!</f>
        <v>#REF!</v>
      </c>
      <c r="BB32" s="890"/>
      <c r="BC32" s="2719"/>
      <c r="BD32" s="393"/>
      <c r="BE32" s="393" t="e">
        <f t="shared" si="21"/>
        <v>#REF!</v>
      </c>
      <c r="BF32" s="393"/>
      <c r="BG32" s="393"/>
      <c r="BH32" s="393"/>
      <c r="BI32" s="393"/>
      <c r="BJ32" s="393"/>
      <c r="BK32" s="393"/>
      <c r="BL32" s="393"/>
      <c r="BM32" s="393"/>
      <c r="BN32" s="393"/>
      <c r="BO32" s="408"/>
      <c r="BP32" s="408"/>
    </row>
    <row r="33" spans="1:68">
      <c r="A33" s="394"/>
      <c r="B33" s="2774"/>
      <c r="C33" s="2780"/>
      <c r="D33" s="2650"/>
      <c r="E33" s="2770"/>
      <c r="F33" s="2771"/>
      <c r="G33" s="2773"/>
      <c r="H33" s="2772"/>
      <c r="I33" s="2722"/>
      <c r="J33" s="2725"/>
      <c r="K33" s="2728"/>
      <c r="L33" s="2652"/>
      <c r="M33" s="2654"/>
      <c r="N33" s="2654"/>
      <c r="O33" s="875" t="s">
        <v>128</v>
      </c>
      <c r="P33" s="896">
        <f>+'DG-PV Organic'!AJ32</f>
        <v>57120000</v>
      </c>
      <c r="Q33" s="896">
        <f t="shared" ref="Q33" si="61">+P33*10%</f>
        <v>5712000</v>
      </c>
      <c r="R33" s="897">
        <f t="shared" si="57"/>
        <v>62832000</v>
      </c>
      <c r="S33" s="409" t="b">
        <f t="shared" si="1"/>
        <v>1</v>
      </c>
      <c r="T33" s="908">
        <f>+IFERROR(U33/R33,"-")</f>
        <v>0</v>
      </c>
      <c r="U33" s="909">
        <f>+IFERROR(X33+AA33+AD33+AG33+AJ33+AM33,"-")</f>
        <v>0</v>
      </c>
      <c r="V33" s="908">
        <f t="shared" si="2"/>
        <v>0</v>
      </c>
      <c r="W33" s="919">
        <f>W31</f>
        <v>45777</v>
      </c>
      <c r="X33" s="876"/>
      <c r="Y33" s="877"/>
      <c r="Z33" s="877">
        <f t="shared" si="34"/>
        <v>0</v>
      </c>
      <c r="AA33" s="877"/>
      <c r="AB33" s="883">
        <f t="shared" ref="AB33" si="62">AB31</f>
        <v>45838</v>
      </c>
      <c r="AC33" s="877">
        <f t="shared" si="35"/>
        <v>0</v>
      </c>
      <c r="AD33" s="877"/>
      <c r="AE33" s="883">
        <f t="shared" ref="AE33" si="63">AE31</f>
        <v>45899</v>
      </c>
      <c r="AF33" s="877">
        <f t="shared" si="36"/>
        <v>0</v>
      </c>
      <c r="AG33" s="877"/>
      <c r="AH33" s="883">
        <f t="shared" ref="AH33" si="64">AH31</f>
        <v>46295</v>
      </c>
      <c r="AI33" s="877" t="str">
        <f>+IFERROR(AJ33/#REF!,"-")</f>
        <v>-</v>
      </c>
      <c r="AJ33" s="877"/>
      <c r="AK33" s="877"/>
      <c r="AL33" s="877" t="str">
        <f>+IFERROR(AM33/#REF!,"-")</f>
        <v>-</v>
      </c>
      <c r="AM33" s="877"/>
      <c r="AN33" s="877"/>
      <c r="AO33" s="884">
        <f t="shared" si="8"/>
        <v>62832000</v>
      </c>
      <c r="AP33" s="884" t="e">
        <f t="shared" si="60"/>
        <v>#REF!</v>
      </c>
      <c r="AQ33" s="1274"/>
      <c r="AR33" s="410"/>
      <c r="AS33" s="945" t="e">
        <f>+$AO33*'ref.지급기준 (2)'!#REF!</f>
        <v>#REF!</v>
      </c>
      <c r="AT33" s="884">
        <f t="shared" si="10"/>
        <v>0</v>
      </c>
      <c r="AU33" s="884" t="e">
        <f>+$AO33*'ref.지급기준 (2)'!#REF!</f>
        <v>#REF!</v>
      </c>
      <c r="AV33" s="884">
        <f t="shared" si="33"/>
        <v>0</v>
      </c>
      <c r="AW33" s="884" t="e">
        <f>+$AO33*'ref.지급기준 (2)'!#REF!</f>
        <v>#REF!</v>
      </c>
      <c r="AX33" s="884"/>
      <c r="AY33" s="884" t="e">
        <f>+$AO33*'ref.지급기준 (2)'!#REF!</f>
        <v>#REF!</v>
      </c>
      <c r="AZ33" s="884"/>
      <c r="BA33" s="884" t="e">
        <f>+$AO33*'ref.지급기준 (2)'!#REF!</f>
        <v>#REF!</v>
      </c>
      <c r="BB33" s="890"/>
      <c r="BC33" s="2719"/>
      <c r="BD33" s="393"/>
      <c r="BE33" s="393" t="e">
        <f t="shared" si="21"/>
        <v>#REF!</v>
      </c>
      <c r="BF33" s="393"/>
      <c r="BG33" s="393"/>
      <c r="BH33" s="393"/>
      <c r="BI33" s="393"/>
      <c r="BJ33" s="393"/>
      <c r="BK33" s="393"/>
      <c r="BL33" s="393"/>
      <c r="BM33" s="393"/>
      <c r="BN33" s="393"/>
      <c r="BO33" s="408"/>
      <c r="BP33" s="408"/>
    </row>
    <row r="34" spans="1:68">
      <c r="A34" s="394"/>
      <c r="B34" s="2774"/>
      <c r="C34" s="2780"/>
      <c r="D34" s="2650"/>
      <c r="E34" s="2770"/>
      <c r="F34" s="2771"/>
      <c r="G34" s="2773"/>
      <c r="H34" s="2772"/>
      <c r="I34" s="2723"/>
      <c r="J34" s="2726"/>
      <c r="K34" s="2729"/>
      <c r="L34" s="2653"/>
      <c r="M34" s="2655"/>
      <c r="N34" s="2655"/>
      <c r="O34" s="999" t="s">
        <v>129</v>
      </c>
      <c r="P34" s="900">
        <f>+'DG-PV Organic'!AI32</f>
        <v>66640000</v>
      </c>
      <c r="Q34" s="900">
        <f>+P34*0.1</f>
        <v>6664000</v>
      </c>
      <c r="R34" s="901">
        <f>SUM(P34:Q34)</f>
        <v>73304000</v>
      </c>
      <c r="S34" s="1275" t="b">
        <f t="shared" si="1"/>
        <v>1</v>
      </c>
      <c r="T34" s="910"/>
      <c r="U34" s="911"/>
      <c r="V34" s="910">
        <f t="shared" si="2"/>
        <v>0</v>
      </c>
      <c r="W34" s="926"/>
      <c r="X34" s="926"/>
      <c r="Y34" s="926"/>
      <c r="Z34" s="926">
        <f t="shared" si="34"/>
        <v>0</v>
      </c>
      <c r="AA34" s="926"/>
      <c r="AB34" s="927"/>
      <c r="AC34" s="926">
        <f t="shared" si="35"/>
        <v>0</v>
      </c>
      <c r="AD34" s="926"/>
      <c r="AE34" s="927"/>
      <c r="AF34" s="926">
        <f t="shared" si="36"/>
        <v>0</v>
      </c>
      <c r="AG34" s="926"/>
      <c r="AH34" s="927"/>
      <c r="AI34" s="926" t="str">
        <f>+IFERROR(AJ34/#REF!,"-")</f>
        <v>-</v>
      </c>
      <c r="AJ34" s="926"/>
      <c r="AK34" s="926"/>
      <c r="AL34" s="926"/>
      <c r="AM34" s="926"/>
      <c r="AN34" s="926"/>
      <c r="AO34" s="928">
        <f t="shared" si="8"/>
        <v>73304000</v>
      </c>
      <c r="AP34" s="928" t="e">
        <f>+AS34+AU34</f>
        <v>#REF!</v>
      </c>
      <c r="AQ34" s="1276"/>
      <c r="AR34" s="410"/>
      <c r="AS34" s="947" t="e">
        <f>+$AO34*'ref.지급기준 (2)'!#REF!</f>
        <v>#REF!</v>
      </c>
      <c r="AT34" s="928">
        <f t="shared" si="10"/>
        <v>0</v>
      </c>
      <c r="AU34" s="928" t="e">
        <f>+$AO34*'ref.지급기준 (2)'!#REF!</f>
        <v>#REF!</v>
      </c>
      <c r="AV34" s="928">
        <f t="shared" si="33"/>
        <v>0</v>
      </c>
      <c r="AW34" s="928" t="e">
        <f>+$AO34*'ref.지급기준 (2)'!#REF!</f>
        <v>#REF!</v>
      </c>
      <c r="AX34" s="928"/>
      <c r="AY34" s="928" t="e">
        <f>+$AO34*'ref.지급기준 (2)'!#REF!</f>
        <v>#REF!</v>
      </c>
      <c r="AZ34" s="928"/>
      <c r="BA34" s="928" t="e">
        <f>+$AO34*'ref.지급기준 (2)'!#REF!</f>
        <v>#REF!</v>
      </c>
      <c r="BB34" s="997"/>
      <c r="BC34" s="2720"/>
      <c r="BD34" s="393"/>
      <c r="BE34" s="393" t="e">
        <f t="shared" si="21"/>
        <v>#REF!</v>
      </c>
      <c r="BF34" s="393"/>
      <c r="BG34" s="393"/>
      <c r="BH34" s="393"/>
      <c r="BI34" s="393"/>
      <c r="BJ34" s="393"/>
      <c r="BK34" s="393"/>
      <c r="BL34" s="393"/>
      <c r="BM34" s="393"/>
      <c r="BN34" s="393"/>
      <c r="BO34" s="408"/>
      <c r="BP34" s="408"/>
    </row>
    <row r="35" spans="1:68">
      <c r="A35" s="394"/>
      <c r="B35" s="2774"/>
      <c r="C35" s="2780"/>
      <c r="D35" s="2650"/>
      <c r="E35" s="2770"/>
      <c r="F35" s="2771"/>
      <c r="G35" s="2773"/>
      <c r="H35" s="2772"/>
      <c r="I35" s="2782" t="s">
        <v>1260</v>
      </c>
      <c r="J35" s="2724" t="str">
        <f>+'ref.지급기준 (2)'!C129</f>
        <v>Vega</v>
      </c>
      <c r="K35" s="2727">
        <f>+'DG-PV Organic'!O33</f>
        <v>560</v>
      </c>
      <c r="L35" s="2730">
        <f>+'DG-PV Organic'!H33</f>
        <v>9.6500000000000002E-2</v>
      </c>
      <c r="M35" s="2717">
        <f>+'DG-PV Organic'!J33</f>
        <v>9.6000000000000002E-2</v>
      </c>
      <c r="N35" s="2717" t="s">
        <v>1257</v>
      </c>
      <c r="O35" s="893" t="s">
        <v>125</v>
      </c>
      <c r="P35" s="904">
        <f>+'DG-PV Organic'!AL33</f>
        <v>588000000</v>
      </c>
      <c r="Q35" s="904">
        <f>+P35*10%</f>
        <v>58800000</v>
      </c>
      <c r="R35" s="905">
        <f t="shared" ref="R35:R38" si="65">SUM(P35:Q35)</f>
        <v>646800000</v>
      </c>
      <c r="S35" s="1272" t="b">
        <f t="shared" si="1"/>
        <v>1</v>
      </c>
      <c r="T35" s="906">
        <f>+IFERROR(U35/R35,"-")</f>
        <v>0</v>
      </c>
      <c r="U35" s="907">
        <f>+IFERROR(X35+AA35+AD35+AG35+AJ35+AM35,"-")</f>
        <v>0</v>
      </c>
      <c r="V35" s="906">
        <f t="shared" si="2"/>
        <v>0</v>
      </c>
      <c r="W35" s="883">
        <f>AE38</f>
        <v>45899</v>
      </c>
      <c r="X35" s="917"/>
      <c r="Y35" s="922"/>
      <c r="Z35" s="877">
        <f t="shared" si="34"/>
        <v>0</v>
      </c>
      <c r="AA35" s="877"/>
      <c r="AB35" s="883">
        <f>+EDATE(W35,1)</f>
        <v>45930</v>
      </c>
      <c r="AC35" s="877">
        <f t="shared" si="35"/>
        <v>0</v>
      </c>
      <c r="AD35" s="877"/>
      <c r="AE35" s="883">
        <f t="shared" ref="AE35" si="66">+EDATE(AB35,3)</f>
        <v>46021</v>
      </c>
      <c r="AF35" s="877">
        <f t="shared" si="36"/>
        <v>0</v>
      </c>
      <c r="AG35" s="877"/>
      <c r="AH35" s="883">
        <f t="shared" ref="AH35" si="67">+EDATE(AB35,4)</f>
        <v>46052</v>
      </c>
      <c r="AI35" s="877" t="str">
        <f>+IFERROR(AJ35/#REF!,"-")</f>
        <v>-</v>
      </c>
      <c r="AJ35" s="877"/>
      <c r="AK35" s="883">
        <f>+EDATE(AB35,6)+1</f>
        <v>46112</v>
      </c>
      <c r="AL35" s="922" t="str">
        <f>+IFERROR(AM35/#REF!,"-")</f>
        <v>-</v>
      </c>
      <c r="AM35" s="922"/>
      <c r="AN35" s="922"/>
      <c r="AO35" s="924">
        <f t="shared" si="8"/>
        <v>646800000</v>
      </c>
      <c r="AP35" s="924" t="e">
        <f t="shared" ref="AP35:AP38" si="68">+AS35</f>
        <v>#REF!</v>
      </c>
      <c r="AQ35" s="1273" t="s">
        <v>793</v>
      </c>
      <c r="AR35" s="410"/>
      <c r="AS35" s="945" t="e">
        <f>+$AO35*'ref.지급기준 (2)'!#REF!</f>
        <v>#REF!</v>
      </c>
      <c r="AT35" s="884">
        <f t="shared" si="10"/>
        <v>0</v>
      </c>
      <c r="AU35" s="884" t="e">
        <f>+$AO35*'ref.지급기준 (2)'!#REF!</f>
        <v>#REF!</v>
      </c>
      <c r="AV35" s="884">
        <f t="shared" ref="AV35:AV59" si="69">+AA35</f>
        <v>0</v>
      </c>
      <c r="AW35" s="884" t="e">
        <f>+$AO35*'ref.지급기준 (2)'!#REF!</f>
        <v>#REF!</v>
      </c>
      <c r="AX35" s="884"/>
      <c r="AY35" s="884" t="e">
        <f>+$AO35*'ref.지급기준 (2)'!#REF!</f>
        <v>#REF!</v>
      </c>
      <c r="AZ35" s="884"/>
      <c r="BA35" s="884" t="e">
        <f>+$AO35*'ref.지급기준 (2)'!#REF!</f>
        <v>#REF!</v>
      </c>
      <c r="BB35" s="890"/>
      <c r="BC35" s="2718" t="s">
        <v>1252</v>
      </c>
      <c r="BD35" s="393"/>
      <c r="BE35" s="393" t="e">
        <f t="shared" si="21"/>
        <v>#REF!</v>
      </c>
      <c r="BF35" s="393"/>
      <c r="BG35" s="393"/>
      <c r="BH35" s="393"/>
      <c r="BI35" s="393"/>
      <c r="BJ35" s="393"/>
      <c r="BK35" s="393"/>
      <c r="BL35" s="393"/>
      <c r="BM35" s="393"/>
      <c r="BN35" s="393"/>
      <c r="BO35" s="408"/>
      <c r="BP35" s="408"/>
    </row>
    <row r="36" spans="1:68">
      <c r="A36" s="394"/>
      <c r="B36" s="2774"/>
      <c r="C36" s="2780"/>
      <c r="D36" s="2650"/>
      <c r="E36" s="2770"/>
      <c r="F36" s="2771"/>
      <c r="G36" s="2773"/>
      <c r="H36" s="2772"/>
      <c r="I36" s="2783"/>
      <c r="J36" s="2725"/>
      <c r="K36" s="2728"/>
      <c r="L36" s="2652"/>
      <c r="M36" s="2654"/>
      <c r="N36" s="2654"/>
      <c r="O36" s="875" t="s">
        <v>126</v>
      </c>
      <c r="P36" s="896">
        <f>+'DG-PV Organic'!AK33</f>
        <v>168000000</v>
      </c>
      <c r="Q36" s="896">
        <f>+P36*10%</f>
        <v>16800000</v>
      </c>
      <c r="R36" s="897">
        <f t="shared" si="65"/>
        <v>184800000</v>
      </c>
      <c r="S36" s="409" t="b">
        <f t="shared" si="1"/>
        <v>1</v>
      </c>
      <c r="T36" s="908">
        <f>+IFERROR(U36/R36,"-")</f>
        <v>0</v>
      </c>
      <c r="U36" s="909">
        <f>+IFERROR(X36+AA36+AD36+AG36+AJ36+AM36,"-")</f>
        <v>0</v>
      </c>
      <c r="V36" s="908">
        <f t="shared" si="2"/>
        <v>0</v>
      </c>
      <c r="W36" s="919">
        <v>45777</v>
      </c>
      <c r="X36" s="876"/>
      <c r="Y36" s="877"/>
      <c r="Z36" s="877">
        <f t="shared" ref="Z36:Z59" si="70">+IFERROR(AA36/$R36,"-")</f>
        <v>0</v>
      </c>
      <c r="AA36" s="886"/>
      <c r="AB36" s="883">
        <v>45838</v>
      </c>
      <c r="AC36" s="877">
        <f t="shared" ref="AC36:AC59" si="71">+IFERROR(AD36/$R36,"-")</f>
        <v>0</v>
      </c>
      <c r="AD36" s="877"/>
      <c r="AE36" s="883">
        <f>+EDATE(AB36,2)</f>
        <v>45899</v>
      </c>
      <c r="AF36" s="877">
        <f t="shared" ref="AF36:AF59" si="72">+IFERROR(AG36/$R36,"-")</f>
        <v>0</v>
      </c>
      <c r="AG36" s="877"/>
      <c r="AH36" s="883">
        <f>+EDATE(AB35,12)</f>
        <v>46295</v>
      </c>
      <c r="AI36" s="877" t="str">
        <f>+IFERROR(AJ36/#REF!,"-")</f>
        <v>-</v>
      </c>
      <c r="AJ36" s="877"/>
      <c r="AK36" s="877"/>
      <c r="AL36" s="877" t="str">
        <f>+IFERROR(AM36/#REF!,"-")</f>
        <v>-</v>
      </c>
      <c r="AM36" s="877"/>
      <c r="AN36" s="877"/>
      <c r="AO36" s="884">
        <f t="shared" si="8"/>
        <v>184800000</v>
      </c>
      <c r="AP36" s="884" t="e">
        <f t="shared" si="68"/>
        <v>#REF!</v>
      </c>
      <c r="AQ36" s="1274"/>
      <c r="AR36" s="410"/>
      <c r="AS36" s="945" t="e">
        <f>+$AO36*'ref.지급기준 (2)'!#REF!</f>
        <v>#REF!</v>
      </c>
      <c r="AT36" s="884">
        <f t="shared" si="10"/>
        <v>0</v>
      </c>
      <c r="AU36" s="884" t="e">
        <f>+$AO36*'ref.지급기준 (2)'!#REF!</f>
        <v>#REF!</v>
      </c>
      <c r="AV36" s="884">
        <f t="shared" si="69"/>
        <v>0</v>
      </c>
      <c r="AW36" s="884" t="e">
        <f>+$AO36*'ref.지급기준 (2)'!#REF!</f>
        <v>#REF!</v>
      </c>
      <c r="AX36" s="884"/>
      <c r="AY36" s="884" t="e">
        <f>+$AO36*'ref.지급기준 (2)'!#REF!</f>
        <v>#REF!</v>
      </c>
      <c r="AZ36" s="884"/>
      <c r="BA36" s="884" t="e">
        <f>+$AO36*'ref.지급기준 (2)'!#REF!</f>
        <v>#REF!</v>
      </c>
      <c r="BB36" s="890"/>
      <c r="BC36" s="2719"/>
      <c r="BD36" s="393"/>
      <c r="BE36" s="393" t="e">
        <f t="shared" si="21"/>
        <v>#REF!</v>
      </c>
      <c r="BF36" s="393"/>
      <c r="BG36" s="393"/>
      <c r="BH36" s="393"/>
      <c r="BI36" s="393"/>
      <c r="BJ36" s="393"/>
      <c r="BK36" s="393"/>
      <c r="BL36" s="393"/>
      <c r="BM36" s="393"/>
      <c r="BN36" s="393"/>
      <c r="BO36" s="408"/>
      <c r="BP36" s="408"/>
    </row>
    <row r="37" spans="1:68">
      <c r="A37" s="394"/>
      <c r="B37" s="2774"/>
      <c r="C37" s="2780"/>
      <c r="D37" s="2650"/>
      <c r="E37" s="2770"/>
      <c r="F37" s="2771"/>
      <c r="G37" s="2773"/>
      <c r="H37" s="2772"/>
      <c r="I37" s="2783"/>
      <c r="J37" s="2725"/>
      <c r="K37" s="2728"/>
      <c r="L37" s="2652"/>
      <c r="M37" s="2654"/>
      <c r="N37" s="2654"/>
      <c r="O37" s="875" t="s">
        <v>127</v>
      </c>
      <c r="P37" s="896">
        <v>0</v>
      </c>
      <c r="Q37" s="896"/>
      <c r="R37" s="897">
        <f t="shared" si="65"/>
        <v>0</v>
      </c>
      <c r="S37" s="409" t="b">
        <f t="shared" ref="S37:S68" si="73">+R37=AO37</f>
        <v>1</v>
      </c>
      <c r="T37" s="908" t="str">
        <f>+IFERROR(U37/R37,"-")</f>
        <v>-</v>
      </c>
      <c r="U37" s="909">
        <f>+IFERROR(X37+AA37+AD37+AG37+AJ37+AM37,"-")</f>
        <v>0</v>
      </c>
      <c r="V37" s="908" t="str">
        <f t="shared" ref="V37:V68" si="74">+IFERROR(X37/$R37,"-")</f>
        <v>-</v>
      </c>
      <c r="W37" s="919"/>
      <c r="X37" s="876"/>
      <c r="Y37" s="877"/>
      <c r="Z37" s="877" t="str">
        <f t="shared" si="70"/>
        <v>-</v>
      </c>
      <c r="AA37" s="877"/>
      <c r="AB37" s="883"/>
      <c r="AC37" s="877" t="str">
        <f t="shared" si="71"/>
        <v>-</v>
      </c>
      <c r="AD37" s="877"/>
      <c r="AE37" s="883"/>
      <c r="AF37" s="877" t="str">
        <f t="shared" si="72"/>
        <v>-</v>
      </c>
      <c r="AG37" s="877"/>
      <c r="AH37" s="883"/>
      <c r="AI37" s="877" t="str">
        <f>+IFERROR(AJ37/#REF!,"-")</f>
        <v>-</v>
      </c>
      <c r="AJ37" s="877"/>
      <c r="AK37" s="877"/>
      <c r="AL37" s="877" t="str">
        <f>+IFERROR(AM37/#REF!,"-")</f>
        <v>-</v>
      </c>
      <c r="AM37" s="877"/>
      <c r="AN37" s="877"/>
      <c r="AO37" s="884">
        <f t="shared" ref="AO37:AO68" si="75">+R37</f>
        <v>0</v>
      </c>
      <c r="AP37" s="884" t="e">
        <f t="shared" si="68"/>
        <v>#REF!</v>
      </c>
      <c r="AQ37" s="1274"/>
      <c r="AR37" s="410"/>
      <c r="AS37" s="945" t="e">
        <f>+$AO37*'ref.지급기준 (2)'!#REF!</f>
        <v>#REF!</v>
      </c>
      <c r="AT37" s="884">
        <f t="shared" ref="AT37:AT68" si="76">+X37</f>
        <v>0</v>
      </c>
      <c r="AU37" s="884" t="e">
        <f>+$AO37*'ref.지급기준 (2)'!#REF!</f>
        <v>#REF!</v>
      </c>
      <c r="AV37" s="884">
        <f t="shared" si="69"/>
        <v>0</v>
      </c>
      <c r="AW37" s="884" t="e">
        <f>+$AO37*'ref.지급기준 (2)'!#REF!</f>
        <v>#REF!</v>
      </c>
      <c r="AX37" s="884"/>
      <c r="AY37" s="884" t="e">
        <f>+$AO37*'ref.지급기준 (2)'!#REF!</f>
        <v>#REF!</v>
      </c>
      <c r="AZ37" s="884"/>
      <c r="BA37" s="884" t="e">
        <f>+$AO37*'ref.지급기준 (2)'!#REF!</f>
        <v>#REF!</v>
      </c>
      <c r="BB37" s="890"/>
      <c r="BC37" s="2719"/>
      <c r="BD37" s="393"/>
      <c r="BE37" s="393" t="e">
        <f t="shared" si="21"/>
        <v>#REF!</v>
      </c>
      <c r="BF37" s="393"/>
      <c r="BG37" s="393"/>
      <c r="BH37" s="393"/>
      <c r="BI37" s="393"/>
      <c r="BJ37" s="393"/>
      <c r="BK37" s="393"/>
      <c r="BL37" s="393"/>
      <c r="BM37" s="393"/>
      <c r="BN37" s="393"/>
      <c r="BO37" s="408"/>
      <c r="BP37" s="408"/>
    </row>
    <row r="38" spans="1:68">
      <c r="A38" s="394"/>
      <c r="B38" s="2774"/>
      <c r="C38" s="2780"/>
      <c r="D38" s="2650"/>
      <c r="E38" s="2770"/>
      <c r="F38" s="2771"/>
      <c r="G38" s="2773"/>
      <c r="H38" s="2772"/>
      <c r="I38" s="2783"/>
      <c r="J38" s="2725"/>
      <c r="K38" s="2728"/>
      <c r="L38" s="2652"/>
      <c r="M38" s="2654"/>
      <c r="N38" s="2654"/>
      <c r="O38" s="875" t="s">
        <v>128</v>
      </c>
      <c r="P38" s="896">
        <f>+'DG-PV Organic'!AJ33</f>
        <v>84000000</v>
      </c>
      <c r="Q38" s="896">
        <f t="shared" ref="Q38" si="77">+P38*10%</f>
        <v>8400000</v>
      </c>
      <c r="R38" s="897">
        <f t="shared" si="65"/>
        <v>92400000</v>
      </c>
      <c r="S38" s="409" t="b">
        <f t="shared" si="73"/>
        <v>1</v>
      </c>
      <c r="T38" s="908">
        <f>+IFERROR(U38/R38,"-")</f>
        <v>0</v>
      </c>
      <c r="U38" s="909">
        <f>+IFERROR(X38+AA38+AD38+AG38+AJ38+AM38,"-")</f>
        <v>0</v>
      </c>
      <c r="V38" s="908">
        <f t="shared" si="74"/>
        <v>0</v>
      </c>
      <c r="W38" s="919">
        <f>W36</f>
        <v>45777</v>
      </c>
      <c r="X38" s="876"/>
      <c r="Y38" s="877"/>
      <c r="Z38" s="877">
        <f t="shared" si="70"/>
        <v>0</v>
      </c>
      <c r="AA38" s="877"/>
      <c r="AB38" s="883">
        <f t="shared" ref="AB38" si="78">AB36</f>
        <v>45838</v>
      </c>
      <c r="AC38" s="877">
        <f t="shared" si="71"/>
        <v>0</v>
      </c>
      <c r="AD38" s="877"/>
      <c r="AE38" s="883">
        <f t="shared" ref="AE38" si="79">AE36</f>
        <v>45899</v>
      </c>
      <c r="AF38" s="877">
        <f t="shared" si="72"/>
        <v>0</v>
      </c>
      <c r="AG38" s="877"/>
      <c r="AH38" s="883">
        <f t="shared" ref="AH38" si="80">AH36</f>
        <v>46295</v>
      </c>
      <c r="AI38" s="877" t="str">
        <f>+IFERROR(AJ38/#REF!,"-")</f>
        <v>-</v>
      </c>
      <c r="AJ38" s="877"/>
      <c r="AK38" s="877"/>
      <c r="AL38" s="877" t="str">
        <f>+IFERROR(AM38/#REF!,"-")</f>
        <v>-</v>
      </c>
      <c r="AM38" s="877"/>
      <c r="AN38" s="877"/>
      <c r="AO38" s="884">
        <f t="shared" si="75"/>
        <v>92400000</v>
      </c>
      <c r="AP38" s="884" t="e">
        <f t="shared" si="68"/>
        <v>#REF!</v>
      </c>
      <c r="AQ38" s="1274"/>
      <c r="AR38" s="410"/>
      <c r="AS38" s="945" t="e">
        <f>+$AO38*'ref.지급기준 (2)'!#REF!</f>
        <v>#REF!</v>
      </c>
      <c r="AT38" s="884">
        <f t="shared" si="76"/>
        <v>0</v>
      </c>
      <c r="AU38" s="884" t="e">
        <f>+$AO38*'ref.지급기준 (2)'!#REF!</f>
        <v>#REF!</v>
      </c>
      <c r="AV38" s="884">
        <f t="shared" si="69"/>
        <v>0</v>
      </c>
      <c r="AW38" s="884" t="e">
        <f>+$AO38*'ref.지급기준 (2)'!#REF!</f>
        <v>#REF!</v>
      </c>
      <c r="AX38" s="884"/>
      <c r="AY38" s="884" t="e">
        <f>+$AO38*'ref.지급기준 (2)'!#REF!</f>
        <v>#REF!</v>
      </c>
      <c r="AZ38" s="884"/>
      <c r="BA38" s="884" t="e">
        <f>+$AO38*'ref.지급기준 (2)'!#REF!</f>
        <v>#REF!</v>
      </c>
      <c r="BB38" s="890"/>
      <c r="BC38" s="2719"/>
      <c r="BD38" s="393"/>
      <c r="BE38" s="393" t="e">
        <f t="shared" si="21"/>
        <v>#REF!</v>
      </c>
      <c r="BF38" s="393"/>
      <c r="BG38" s="393"/>
      <c r="BH38" s="393"/>
      <c r="BI38" s="393"/>
      <c r="BJ38" s="393"/>
      <c r="BK38" s="393"/>
      <c r="BL38" s="393"/>
      <c r="BM38" s="393"/>
      <c r="BN38" s="393"/>
      <c r="BO38" s="408"/>
      <c r="BP38" s="408"/>
    </row>
    <row r="39" spans="1:68">
      <c r="A39" s="394"/>
      <c r="B39" s="2774"/>
      <c r="C39" s="2780"/>
      <c r="D39" s="2650"/>
      <c r="E39" s="2770"/>
      <c r="F39" s="2771"/>
      <c r="G39" s="2773"/>
      <c r="H39" s="2772"/>
      <c r="I39" s="2784"/>
      <c r="J39" s="2726"/>
      <c r="K39" s="2729"/>
      <c r="L39" s="2653"/>
      <c r="M39" s="2655"/>
      <c r="N39" s="2655"/>
      <c r="O39" s="999" t="s">
        <v>129</v>
      </c>
      <c r="P39" s="900">
        <f>+'DG-PV Organic'!AI33</f>
        <v>98000000</v>
      </c>
      <c r="Q39" s="900">
        <f>+P39*0.1</f>
        <v>9800000</v>
      </c>
      <c r="R39" s="901">
        <f>SUM(P39:Q39)</f>
        <v>107800000</v>
      </c>
      <c r="S39" s="1275" t="b">
        <f t="shared" si="73"/>
        <v>1</v>
      </c>
      <c r="T39" s="910"/>
      <c r="U39" s="911"/>
      <c r="V39" s="910">
        <f t="shared" si="74"/>
        <v>0</v>
      </c>
      <c r="W39" s="926"/>
      <c r="X39" s="926"/>
      <c r="Y39" s="926"/>
      <c r="Z39" s="926">
        <f t="shared" si="70"/>
        <v>0</v>
      </c>
      <c r="AA39" s="926"/>
      <c r="AB39" s="927"/>
      <c r="AC39" s="926">
        <f t="shared" si="71"/>
        <v>0</v>
      </c>
      <c r="AD39" s="926"/>
      <c r="AE39" s="927"/>
      <c r="AF39" s="926">
        <f t="shared" si="72"/>
        <v>0</v>
      </c>
      <c r="AG39" s="926"/>
      <c r="AH39" s="927"/>
      <c r="AI39" s="926" t="str">
        <f>+IFERROR(AJ39/#REF!,"-")</f>
        <v>-</v>
      </c>
      <c r="AJ39" s="926"/>
      <c r="AK39" s="926"/>
      <c r="AL39" s="926"/>
      <c r="AM39" s="926"/>
      <c r="AN39" s="926"/>
      <c r="AO39" s="928">
        <f t="shared" si="75"/>
        <v>107800000</v>
      </c>
      <c r="AP39" s="928" t="e">
        <f>+AS39+AU39</f>
        <v>#REF!</v>
      </c>
      <c r="AQ39" s="1276"/>
      <c r="AR39" s="410"/>
      <c r="AS39" s="947" t="e">
        <f>+$AO39*'ref.지급기준 (2)'!#REF!</f>
        <v>#REF!</v>
      </c>
      <c r="AT39" s="928">
        <f t="shared" si="76"/>
        <v>0</v>
      </c>
      <c r="AU39" s="928" t="e">
        <f>+$AO39*'ref.지급기준 (2)'!#REF!</f>
        <v>#REF!</v>
      </c>
      <c r="AV39" s="928">
        <f t="shared" si="69"/>
        <v>0</v>
      </c>
      <c r="AW39" s="928" t="e">
        <f>+$AO39*'ref.지급기준 (2)'!#REF!</f>
        <v>#REF!</v>
      </c>
      <c r="AX39" s="928"/>
      <c r="AY39" s="928" t="e">
        <f>+$AO39*'ref.지급기준 (2)'!#REF!</f>
        <v>#REF!</v>
      </c>
      <c r="AZ39" s="928"/>
      <c r="BA39" s="928" t="e">
        <f>+$AO39*'ref.지급기준 (2)'!#REF!</f>
        <v>#REF!</v>
      </c>
      <c r="BB39" s="997"/>
      <c r="BC39" s="2720"/>
      <c r="BD39" s="393"/>
      <c r="BE39" s="393" t="e">
        <f t="shared" si="21"/>
        <v>#REF!</v>
      </c>
      <c r="BF39" s="393"/>
      <c r="BG39" s="393"/>
      <c r="BH39" s="393"/>
      <c r="BI39" s="393"/>
      <c r="BJ39" s="393"/>
      <c r="BK39" s="393"/>
      <c r="BL39" s="393"/>
      <c r="BM39" s="393"/>
      <c r="BN39" s="393"/>
      <c r="BO39" s="408"/>
      <c r="BP39" s="408"/>
    </row>
    <row r="40" spans="1:68">
      <c r="A40" s="394"/>
      <c r="B40" s="2774"/>
      <c r="C40" s="2780"/>
      <c r="D40" s="2650"/>
      <c r="E40" s="2770"/>
      <c r="F40" s="2771"/>
      <c r="G40" s="2773"/>
      <c r="H40" s="2772"/>
      <c r="I40" s="2721" t="s">
        <v>1261</v>
      </c>
      <c r="J40" s="2724" t="str">
        <f>+'ref.지급기준 (2)'!C134</f>
        <v>Korea Kospack</v>
      </c>
      <c r="K40" s="2727">
        <f>+'DG-PV Organic'!O34</f>
        <v>556.16</v>
      </c>
      <c r="L40" s="2730">
        <f>+'DG-PV Organic'!H34</f>
        <v>8.7300000000000003E-2</v>
      </c>
      <c r="M40" s="2717">
        <f>+'DG-PV Organic'!J34</f>
        <v>9.6000000000000002E-2</v>
      </c>
      <c r="N40" s="2717" t="s">
        <v>1257</v>
      </c>
      <c r="O40" s="893" t="s">
        <v>125</v>
      </c>
      <c r="P40" s="904">
        <f>+'DG-PV Organic'!AL34</f>
        <v>583968000</v>
      </c>
      <c r="Q40" s="904">
        <f>+P40*10%</f>
        <v>58396800</v>
      </c>
      <c r="R40" s="905">
        <f t="shared" ref="R40:R43" si="81">SUM(P40:Q40)</f>
        <v>642364800</v>
      </c>
      <c r="S40" s="1272" t="b">
        <f t="shared" si="73"/>
        <v>1</v>
      </c>
      <c r="T40" s="906">
        <f>+IFERROR(U40/R40,"-")</f>
        <v>0</v>
      </c>
      <c r="U40" s="907">
        <f>+IFERROR(X40+AA40+AD40+AG40+AJ40+AM40,"-")</f>
        <v>0</v>
      </c>
      <c r="V40" s="906">
        <f t="shared" si="74"/>
        <v>0</v>
      </c>
      <c r="W40" s="883">
        <f>AE43</f>
        <v>45838</v>
      </c>
      <c r="X40" s="917"/>
      <c r="Y40" s="922"/>
      <c r="Z40" s="877">
        <f t="shared" si="70"/>
        <v>0</v>
      </c>
      <c r="AA40" s="877"/>
      <c r="AB40" s="883">
        <f>+EDATE(W40,1)</f>
        <v>45868</v>
      </c>
      <c r="AC40" s="877">
        <f t="shared" si="71"/>
        <v>0</v>
      </c>
      <c r="AD40" s="877"/>
      <c r="AE40" s="883">
        <f t="shared" ref="AE40" si="82">+EDATE(AB40,3)</f>
        <v>45960</v>
      </c>
      <c r="AF40" s="877">
        <f t="shared" si="72"/>
        <v>0</v>
      </c>
      <c r="AG40" s="877"/>
      <c r="AH40" s="883">
        <f t="shared" ref="AH40" si="83">+EDATE(AB40,4)</f>
        <v>45991</v>
      </c>
      <c r="AI40" s="877" t="str">
        <f>+IFERROR(AJ40/#REF!,"-")</f>
        <v>-</v>
      </c>
      <c r="AJ40" s="877"/>
      <c r="AK40" s="883">
        <f>+EDATE(AB40,6)+1</f>
        <v>46053</v>
      </c>
      <c r="AL40" s="922" t="str">
        <f>+IFERROR(AM40/#REF!,"-")</f>
        <v>-</v>
      </c>
      <c r="AM40" s="922"/>
      <c r="AN40" s="922"/>
      <c r="AO40" s="924">
        <f t="shared" si="75"/>
        <v>642364800</v>
      </c>
      <c r="AP40" s="924" t="e">
        <f t="shared" ref="AP40:AP43" si="84">+AS40</f>
        <v>#REF!</v>
      </c>
      <c r="AQ40" s="1273" t="s">
        <v>793</v>
      </c>
      <c r="AR40" s="410"/>
      <c r="AS40" s="945" t="e">
        <f>+$AO40*'ref.지급기준 (2)'!#REF!</f>
        <v>#REF!</v>
      </c>
      <c r="AT40" s="884">
        <f t="shared" si="76"/>
        <v>0</v>
      </c>
      <c r="AU40" s="884" t="e">
        <f>+$AO40*'ref.지급기준 (2)'!#REF!</f>
        <v>#REF!</v>
      </c>
      <c r="AV40" s="884">
        <f t="shared" ref="AV40:AV44" si="85">+AA40</f>
        <v>0</v>
      </c>
      <c r="AW40" s="884" t="e">
        <f>+$AO40*'ref.지급기준 (2)'!#REF!</f>
        <v>#REF!</v>
      </c>
      <c r="AX40" s="884"/>
      <c r="AY40" s="884" t="e">
        <f>+$AO40*'ref.지급기준 (2)'!#REF!</f>
        <v>#REF!</v>
      </c>
      <c r="AZ40" s="884"/>
      <c r="BA40" s="884" t="e">
        <f>+$AO40*'ref.지급기준 (2)'!#REF!</f>
        <v>#REF!</v>
      </c>
      <c r="BB40" s="890"/>
      <c r="BC40" s="2718" t="s">
        <v>1252</v>
      </c>
      <c r="BD40" s="393"/>
      <c r="BE40" s="393" t="e">
        <f t="shared" si="21"/>
        <v>#REF!</v>
      </c>
      <c r="BF40" s="393"/>
      <c r="BG40" s="393"/>
      <c r="BH40" s="393"/>
      <c r="BI40" s="393"/>
      <c r="BJ40" s="393"/>
      <c r="BK40" s="393"/>
      <c r="BL40" s="393"/>
      <c r="BM40" s="393"/>
      <c r="BN40" s="393"/>
      <c r="BO40" s="408"/>
      <c r="BP40" s="408"/>
    </row>
    <row r="41" spans="1:68">
      <c r="A41" s="394"/>
      <c r="B41" s="2774"/>
      <c r="C41" s="2780"/>
      <c r="D41" s="2650"/>
      <c r="E41" s="2770"/>
      <c r="F41" s="2771"/>
      <c r="G41" s="2773"/>
      <c r="H41" s="2772"/>
      <c r="I41" s="2722"/>
      <c r="J41" s="2725"/>
      <c r="K41" s="2728"/>
      <c r="L41" s="2652"/>
      <c r="M41" s="2654"/>
      <c r="N41" s="2654"/>
      <c r="O41" s="875" t="s">
        <v>126</v>
      </c>
      <c r="P41" s="896">
        <f>+'DG-PV Organic'!AK34</f>
        <v>166848000</v>
      </c>
      <c r="Q41" s="896">
        <f>+P41*10%</f>
        <v>16684800</v>
      </c>
      <c r="R41" s="897">
        <f t="shared" si="81"/>
        <v>183532800</v>
      </c>
      <c r="S41" s="409" t="b">
        <f t="shared" si="73"/>
        <v>1</v>
      </c>
      <c r="T41" s="908">
        <f>+IFERROR(U41/R41,"-")</f>
        <v>0</v>
      </c>
      <c r="U41" s="909">
        <f>+IFERROR(X41+AA41+AD41+AG41+AJ41+AM41,"-")</f>
        <v>0</v>
      </c>
      <c r="V41" s="908">
        <f t="shared" si="74"/>
        <v>0</v>
      </c>
      <c r="W41" s="919">
        <v>45703</v>
      </c>
      <c r="X41" s="876"/>
      <c r="Y41" s="877"/>
      <c r="Z41" s="877">
        <f t="shared" ref="Z41:Z45" si="86">+IFERROR(AA41/$R41,"-")</f>
        <v>0</v>
      </c>
      <c r="AA41" s="886"/>
      <c r="AB41" s="883">
        <v>45808</v>
      </c>
      <c r="AC41" s="877">
        <f t="shared" ref="AC41:AC45" si="87">+IFERROR(AD41/$R41,"-")</f>
        <v>0</v>
      </c>
      <c r="AD41" s="877"/>
      <c r="AE41" s="883">
        <f t="shared" ref="AE41" si="88">+EDATE(AB41,1)</f>
        <v>45838</v>
      </c>
      <c r="AF41" s="877">
        <f t="shared" ref="AF41:AF45" si="89">+IFERROR(AG41/$R41,"-")</f>
        <v>0</v>
      </c>
      <c r="AG41" s="877"/>
      <c r="AH41" s="883">
        <f>+EDATE(AB40,12)</f>
        <v>46233</v>
      </c>
      <c r="AI41" s="877" t="str">
        <f>+IFERROR(AJ41/#REF!,"-")</f>
        <v>-</v>
      </c>
      <c r="AJ41" s="877"/>
      <c r="AK41" s="877"/>
      <c r="AL41" s="877" t="str">
        <f>+IFERROR(AM41/#REF!,"-")</f>
        <v>-</v>
      </c>
      <c r="AM41" s="877"/>
      <c r="AN41" s="877"/>
      <c r="AO41" s="884">
        <f t="shared" si="75"/>
        <v>183532800</v>
      </c>
      <c r="AP41" s="884" t="e">
        <f t="shared" si="84"/>
        <v>#REF!</v>
      </c>
      <c r="AQ41" s="1274"/>
      <c r="AR41" s="410"/>
      <c r="AS41" s="945" t="e">
        <f>+$AO41*'ref.지급기준 (2)'!#REF!</f>
        <v>#REF!</v>
      </c>
      <c r="AT41" s="884">
        <f t="shared" si="76"/>
        <v>0</v>
      </c>
      <c r="AU41" s="884" t="e">
        <f>+$AO41*'ref.지급기준 (2)'!#REF!</f>
        <v>#REF!</v>
      </c>
      <c r="AV41" s="884">
        <f t="shared" si="85"/>
        <v>0</v>
      </c>
      <c r="AW41" s="884" t="e">
        <f>+$AO41*'ref.지급기준 (2)'!#REF!</f>
        <v>#REF!</v>
      </c>
      <c r="AX41" s="884"/>
      <c r="AY41" s="884" t="e">
        <f>+$AO41*'ref.지급기준 (2)'!#REF!</f>
        <v>#REF!</v>
      </c>
      <c r="AZ41" s="884"/>
      <c r="BA41" s="884" t="e">
        <f>+$AO41*'ref.지급기준 (2)'!#REF!</f>
        <v>#REF!</v>
      </c>
      <c r="BB41" s="890"/>
      <c r="BC41" s="2719"/>
      <c r="BD41" s="393"/>
      <c r="BE41" s="393" t="e">
        <f t="shared" si="21"/>
        <v>#REF!</v>
      </c>
      <c r="BF41" s="393"/>
      <c r="BG41" s="393"/>
      <c r="BH41" s="393"/>
      <c r="BI41" s="393"/>
      <c r="BJ41" s="393"/>
      <c r="BK41" s="393"/>
      <c r="BL41" s="393"/>
      <c r="BM41" s="393"/>
      <c r="BN41" s="393"/>
      <c r="BO41" s="408"/>
      <c r="BP41" s="408"/>
    </row>
    <row r="42" spans="1:68">
      <c r="A42" s="394"/>
      <c r="B42" s="2774"/>
      <c r="C42" s="2780"/>
      <c r="D42" s="2650"/>
      <c r="E42" s="2770"/>
      <c r="F42" s="2771"/>
      <c r="G42" s="2773"/>
      <c r="H42" s="2772"/>
      <c r="I42" s="2722"/>
      <c r="J42" s="2725"/>
      <c r="K42" s="2728"/>
      <c r="L42" s="2652"/>
      <c r="M42" s="2654"/>
      <c r="N42" s="2654"/>
      <c r="O42" s="875" t="s">
        <v>127</v>
      </c>
      <c r="P42" s="896">
        <v>0</v>
      </c>
      <c r="Q42" s="896"/>
      <c r="R42" s="897">
        <f t="shared" si="81"/>
        <v>0</v>
      </c>
      <c r="S42" s="409" t="b">
        <f t="shared" si="73"/>
        <v>1</v>
      </c>
      <c r="T42" s="908" t="str">
        <f>+IFERROR(U42/R42,"-")</f>
        <v>-</v>
      </c>
      <c r="U42" s="909">
        <f>+IFERROR(X42+AA42+AD42+AG42+AJ42+AM42,"-")</f>
        <v>0</v>
      </c>
      <c r="V42" s="908" t="str">
        <f t="shared" si="74"/>
        <v>-</v>
      </c>
      <c r="W42" s="919"/>
      <c r="X42" s="876"/>
      <c r="Y42" s="877"/>
      <c r="Z42" s="877" t="str">
        <f t="shared" si="86"/>
        <v>-</v>
      </c>
      <c r="AA42" s="877"/>
      <c r="AB42" s="883"/>
      <c r="AC42" s="877" t="str">
        <f t="shared" si="87"/>
        <v>-</v>
      </c>
      <c r="AD42" s="877"/>
      <c r="AE42" s="883"/>
      <c r="AF42" s="877" t="str">
        <f t="shared" si="89"/>
        <v>-</v>
      </c>
      <c r="AG42" s="877"/>
      <c r="AH42" s="883"/>
      <c r="AI42" s="877" t="str">
        <f>+IFERROR(AJ42/#REF!,"-")</f>
        <v>-</v>
      </c>
      <c r="AJ42" s="877"/>
      <c r="AK42" s="877"/>
      <c r="AL42" s="877" t="str">
        <f>+IFERROR(AM42/#REF!,"-")</f>
        <v>-</v>
      </c>
      <c r="AM42" s="877"/>
      <c r="AN42" s="877"/>
      <c r="AO42" s="884">
        <f t="shared" si="75"/>
        <v>0</v>
      </c>
      <c r="AP42" s="884" t="e">
        <f t="shared" si="84"/>
        <v>#REF!</v>
      </c>
      <c r="AQ42" s="1274"/>
      <c r="AR42" s="410"/>
      <c r="AS42" s="945" t="e">
        <f>+$AO42*'ref.지급기준 (2)'!#REF!</f>
        <v>#REF!</v>
      </c>
      <c r="AT42" s="884">
        <f t="shared" si="76"/>
        <v>0</v>
      </c>
      <c r="AU42" s="884" t="e">
        <f>+$AO42*'ref.지급기준 (2)'!#REF!</f>
        <v>#REF!</v>
      </c>
      <c r="AV42" s="884">
        <f t="shared" si="85"/>
        <v>0</v>
      </c>
      <c r="AW42" s="884" t="e">
        <f>+$AO42*'ref.지급기준 (2)'!#REF!</f>
        <v>#REF!</v>
      </c>
      <c r="AX42" s="884"/>
      <c r="AY42" s="884" t="e">
        <f>+$AO42*'ref.지급기준 (2)'!#REF!</f>
        <v>#REF!</v>
      </c>
      <c r="AZ42" s="884"/>
      <c r="BA42" s="884" t="e">
        <f>+$AO42*'ref.지급기준 (2)'!#REF!</f>
        <v>#REF!</v>
      </c>
      <c r="BB42" s="890"/>
      <c r="BC42" s="2719"/>
      <c r="BD42" s="393"/>
      <c r="BE42" s="393" t="e">
        <f t="shared" ref="BE42:BE68" si="90">+(BA42+AY42+AW42+AU42+AS42)=R42</f>
        <v>#REF!</v>
      </c>
      <c r="BF42" s="393"/>
      <c r="BG42" s="393"/>
      <c r="BH42" s="393"/>
      <c r="BI42" s="393"/>
      <c r="BJ42" s="393"/>
      <c r="BK42" s="393"/>
      <c r="BL42" s="393"/>
      <c r="BM42" s="393"/>
      <c r="BN42" s="393"/>
      <c r="BO42" s="408"/>
      <c r="BP42" s="408"/>
    </row>
    <row r="43" spans="1:68">
      <c r="A43" s="394"/>
      <c r="B43" s="2774"/>
      <c r="C43" s="2780"/>
      <c r="D43" s="2650"/>
      <c r="E43" s="2770"/>
      <c r="F43" s="2771"/>
      <c r="G43" s="2773"/>
      <c r="H43" s="2772"/>
      <c r="I43" s="2722"/>
      <c r="J43" s="2725"/>
      <c r="K43" s="2728"/>
      <c r="L43" s="2652"/>
      <c r="M43" s="2654"/>
      <c r="N43" s="2654"/>
      <c r="O43" s="875" t="s">
        <v>128</v>
      </c>
      <c r="P43" s="896">
        <f>+'DG-PV Organic'!AJ34</f>
        <v>83424000</v>
      </c>
      <c r="Q43" s="896">
        <f t="shared" ref="Q43" si="91">+P43*10%</f>
        <v>8342400</v>
      </c>
      <c r="R43" s="897">
        <f t="shared" si="81"/>
        <v>91766400</v>
      </c>
      <c r="S43" s="409" t="b">
        <f t="shared" si="73"/>
        <v>1</v>
      </c>
      <c r="T43" s="908">
        <f>+IFERROR(U43/R43,"-")</f>
        <v>0</v>
      </c>
      <c r="U43" s="909">
        <f>+IFERROR(X43+AA43+AD43+AG43+AJ43+AM43,"-")</f>
        <v>0</v>
      </c>
      <c r="V43" s="908">
        <f t="shared" si="74"/>
        <v>0</v>
      </c>
      <c r="W43" s="919">
        <f>W41</f>
        <v>45703</v>
      </c>
      <c r="X43" s="876"/>
      <c r="Y43" s="877"/>
      <c r="Z43" s="877">
        <f t="shared" si="86"/>
        <v>0</v>
      </c>
      <c r="AA43" s="877"/>
      <c r="AB43" s="883">
        <f t="shared" ref="AB43" si="92">AB41</f>
        <v>45808</v>
      </c>
      <c r="AC43" s="877">
        <f t="shared" si="87"/>
        <v>0</v>
      </c>
      <c r="AD43" s="877"/>
      <c r="AE43" s="883">
        <f t="shared" ref="AE43" si="93">AE41</f>
        <v>45838</v>
      </c>
      <c r="AF43" s="877">
        <f t="shared" si="89"/>
        <v>0</v>
      </c>
      <c r="AG43" s="877"/>
      <c r="AH43" s="883">
        <f t="shared" ref="AH43" si="94">AH41</f>
        <v>46233</v>
      </c>
      <c r="AI43" s="877" t="str">
        <f>+IFERROR(AJ43/#REF!,"-")</f>
        <v>-</v>
      </c>
      <c r="AJ43" s="877"/>
      <c r="AK43" s="877"/>
      <c r="AL43" s="877" t="str">
        <f>+IFERROR(AM43/#REF!,"-")</f>
        <v>-</v>
      </c>
      <c r="AM43" s="877"/>
      <c r="AN43" s="877"/>
      <c r="AO43" s="884">
        <f t="shared" si="75"/>
        <v>91766400</v>
      </c>
      <c r="AP43" s="884" t="e">
        <f t="shared" si="84"/>
        <v>#REF!</v>
      </c>
      <c r="AQ43" s="1274"/>
      <c r="AR43" s="410"/>
      <c r="AS43" s="945" t="e">
        <f>+$AO43*'ref.지급기준 (2)'!#REF!</f>
        <v>#REF!</v>
      </c>
      <c r="AT43" s="884">
        <f t="shared" si="76"/>
        <v>0</v>
      </c>
      <c r="AU43" s="884" t="e">
        <f>+$AO43*'ref.지급기준 (2)'!#REF!</f>
        <v>#REF!</v>
      </c>
      <c r="AV43" s="884">
        <f t="shared" si="85"/>
        <v>0</v>
      </c>
      <c r="AW43" s="884" t="e">
        <f>+$AO43*'ref.지급기준 (2)'!#REF!</f>
        <v>#REF!</v>
      </c>
      <c r="AX43" s="884"/>
      <c r="AY43" s="884" t="e">
        <f>+$AO43*'ref.지급기준 (2)'!#REF!</f>
        <v>#REF!</v>
      </c>
      <c r="AZ43" s="884"/>
      <c r="BA43" s="884" t="e">
        <f>+$AO43*'ref.지급기준 (2)'!#REF!</f>
        <v>#REF!</v>
      </c>
      <c r="BB43" s="890"/>
      <c r="BC43" s="2719"/>
      <c r="BD43" s="393"/>
      <c r="BE43" s="393" t="e">
        <f t="shared" si="90"/>
        <v>#REF!</v>
      </c>
      <c r="BF43" s="393"/>
      <c r="BG43" s="393"/>
      <c r="BH43" s="393"/>
      <c r="BI43" s="393"/>
      <c r="BJ43" s="393"/>
      <c r="BK43" s="393"/>
      <c r="BL43" s="393"/>
      <c r="BM43" s="393"/>
      <c r="BN43" s="393"/>
      <c r="BO43" s="408"/>
      <c r="BP43" s="408"/>
    </row>
    <row r="44" spans="1:68">
      <c r="A44" s="394"/>
      <c r="B44" s="2774"/>
      <c r="C44" s="2780"/>
      <c r="D44" s="2650"/>
      <c r="E44" s="2770"/>
      <c r="F44" s="2771"/>
      <c r="G44" s="2773"/>
      <c r="H44" s="2772"/>
      <c r="I44" s="2723"/>
      <c r="J44" s="2726"/>
      <c r="K44" s="2729"/>
      <c r="L44" s="2653"/>
      <c r="M44" s="2655"/>
      <c r="N44" s="2655"/>
      <c r="O44" s="999" t="s">
        <v>129</v>
      </c>
      <c r="P44" s="900">
        <f>+'DG-PV Organic'!AI34</f>
        <v>97328000</v>
      </c>
      <c r="Q44" s="900">
        <f>+P44*0.1</f>
        <v>9732800</v>
      </c>
      <c r="R44" s="901">
        <f>SUM(P44:Q44)</f>
        <v>107060800</v>
      </c>
      <c r="S44" s="1275" t="b">
        <f t="shared" si="73"/>
        <v>1</v>
      </c>
      <c r="T44" s="910"/>
      <c r="U44" s="911"/>
      <c r="V44" s="910">
        <f t="shared" si="74"/>
        <v>0</v>
      </c>
      <c r="W44" s="926"/>
      <c r="X44" s="926"/>
      <c r="Y44" s="926"/>
      <c r="Z44" s="926">
        <f t="shared" si="86"/>
        <v>0</v>
      </c>
      <c r="AA44" s="926"/>
      <c r="AB44" s="927"/>
      <c r="AC44" s="926">
        <f t="shared" si="87"/>
        <v>0</v>
      </c>
      <c r="AD44" s="926"/>
      <c r="AE44" s="927"/>
      <c r="AF44" s="926">
        <f t="shared" si="89"/>
        <v>0</v>
      </c>
      <c r="AG44" s="926"/>
      <c r="AH44" s="927"/>
      <c r="AI44" s="926" t="str">
        <f>+IFERROR(AJ44/#REF!,"-")</f>
        <v>-</v>
      </c>
      <c r="AJ44" s="926"/>
      <c r="AK44" s="926"/>
      <c r="AL44" s="926"/>
      <c r="AM44" s="926"/>
      <c r="AN44" s="926"/>
      <c r="AO44" s="928">
        <f t="shared" si="75"/>
        <v>107060800</v>
      </c>
      <c r="AP44" s="928" t="e">
        <f>+AS44+AU44</f>
        <v>#REF!</v>
      </c>
      <c r="AQ44" s="1276"/>
      <c r="AR44" s="410"/>
      <c r="AS44" s="947" t="e">
        <f>+$AO44*'ref.지급기준 (2)'!#REF!</f>
        <v>#REF!</v>
      </c>
      <c r="AT44" s="928">
        <f t="shared" si="76"/>
        <v>0</v>
      </c>
      <c r="AU44" s="928" t="e">
        <f>+$AO44*'ref.지급기준 (2)'!#REF!</f>
        <v>#REF!</v>
      </c>
      <c r="AV44" s="928">
        <f t="shared" si="85"/>
        <v>0</v>
      </c>
      <c r="AW44" s="928" t="e">
        <f>+$AO44*'ref.지급기준 (2)'!#REF!</f>
        <v>#REF!</v>
      </c>
      <c r="AX44" s="928"/>
      <c r="AY44" s="928" t="e">
        <f>+$AO44*'ref.지급기준 (2)'!#REF!</f>
        <v>#REF!</v>
      </c>
      <c r="AZ44" s="928"/>
      <c r="BA44" s="928" t="e">
        <f>+$AO44*'ref.지급기준 (2)'!#REF!</f>
        <v>#REF!</v>
      </c>
      <c r="BB44" s="997"/>
      <c r="BC44" s="2720"/>
      <c r="BD44" s="393"/>
      <c r="BE44" s="393" t="e">
        <f t="shared" si="90"/>
        <v>#REF!</v>
      </c>
      <c r="BF44" s="393"/>
      <c r="BG44" s="393"/>
      <c r="BH44" s="393"/>
      <c r="BI44" s="393"/>
      <c r="BJ44" s="393"/>
      <c r="BK44" s="393"/>
      <c r="BL44" s="393"/>
      <c r="BM44" s="393"/>
      <c r="BN44" s="393"/>
      <c r="BO44" s="408"/>
      <c r="BP44" s="408"/>
    </row>
    <row r="45" spans="1:68">
      <c r="A45" s="394"/>
      <c r="B45" s="2774"/>
      <c r="C45" s="2780"/>
      <c r="D45" s="2650"/>
      <c r="E45" s="2770"/>
      <c r="F45" s="2771"/>
      <c r="G45" s="2773"/>
      <c r="H45" s="2772"/>
      <c r="I45" s="2721" t="s">
        <v>1262</v>
      </c>
      <c r="J45" s="2724" t="str">
        <f>+'ref.지급기준 (2)'!C139</f>
        <v>Pungcheon Im clan</v>
      </c>
      <c r="K45" s="2727">
        <f>+'DG-PV Organic'!O35</f>
        <v>188.16</v>
      </c>
      <c r="L45" s="2730">
        <f>+'DG-PV Organic'!H35</f>
        <v>9.1899999999999996E-2</v>
      </c>
      <c r="M45" s="2717">
        <f>+'DG-PV Organic'!J35</f>
        <v>9.6000000000000002E-2</v>
      </c>
      <c r="N45" s="2717" t="s">
        <v>1257</v>
      </c>
      <c r="O45" s="893" t="s">
        <v>125</v>
      </c>
      <c r="P45" s="904">
        <f>+'DG-PV Organic'!AL35</f>
        <v>197568000</v>
      </c>
      <c r="Q45" s="904">
        <f>+P45*10%</f>
        <v>19756800</v>
      </c>
      <c r="R45" s="905">
        <f t="shared" ref="R45:R48" si="95">SUM(P45:Q45)</f>
        <v>217324800</v>
      </c>
      <c r="S45" s="1272" t="b">
        <f t="shared" si="73"/>
        <v>1</v>
      </c>
      <c r="T45" s="906">
        <f>+IFERROR(U45/R45,"-")</f>
        <v>0</v>
      </c>
      <c r="U45" s="907">
        <f>+IFERROR(X45+AA45+AD45+AG45+AJ45+AM45,"-")</f>
        <v>0</v>
      </c>
      <c r="V45" s="906">
        <f t="shared" si="74"/>
        <v>0</v>
      </c>
      <c r="W45" s="883">
        <f>AE48</f>
        <v>45838</v>
      </c>
      <c r="X45" s="917"/>
      <c r="Y45" s="922"/>
      <c r="Z45" s="877">
        <f t="shared" si="86"/>
        <v>0</v>
      </c>
      <c r="AA45" s="877"/>
      <c r="AB45" s="883">
        <f>+EDATE(W45,1)</f>
        <v>45868</v>
      </c>
      <c r="AC45" s="877">
        <f t="shared" si="87"/>
        <v>0</v>
      </c>
      <c r="AD45" s="877"/>
      <c r="AE45" s="883">
        <f t="shared" ref="AE45" si="96">+EDATE(AB45,3)</f>
        <v>45960</v>
      </c>
      <c r="AF45" s="877">
        <f t="shared" si="89"/>
        <v>0</v>
      </c>
      <c r="AG45" s="877"/>
      <c r="AH45" s="883">
        <f t="shared" ref="AH45" si="97">+EDATE(AB45,4)</f>
        <v>45991</v>
      </c>
      <c r="AI45" s="877" t="str">
        <f>+IFERROR(AJ45/#REF!,"-")</f>
        <v>-</v>
      </c>
      <c r="AJ45" s="877"/>
      <c r="AK45" s="883">
        <f>+EDATE(AB45,6)+1</f>
        <v>46053</v>
      </c>
      <c r="AL45" s="922" t="str">
        <f>+IFERROR(AM45/#REF!,"-")</f>
        <v>-</v>
      </c>
      <c r="AM45" s="922"/>
      <c r="AN45" s="922"/>
      <c r="AO45" s="924">
        <f t="shared" si="75"/>
        <v>217324800</v>
      </c>
      <c r="AP45" s="924" t="e">
        <f t="shared" ref="AP45:AP48" si="98">+AS45</f>
        <v>#REF!</v>
      </c>
      <c r="AQ45" s="1273" t="s">
        <v>793</v>
      </c>
      <c r="AR45" s="410"/>
      <c r="AS45" s="945" t="e">
        <f>+$AO45*'ref.지급기준 (2)'!#REF!</f>
        <v>#REF!</v>
      </c>
      <c r="AT45" s="884">
        <f t="shared" si="76"/>
        <v>0</v>
      </c>
      <c r="AU45" s="884" t="e">
        <f>+$AO45*'ref.지급기준 (2)'!#REF!</f>
        <v>#REF!</v>
      </c>
      <c r="AV45" s="884">
        <f t="shared" si="69"/>
        <v>0</v>
      </c>
      <c r="AW45" s="884" t="e">
        <f>+$AO45*'ref.지급기준 (2)'!#REF!</f>
        <v>#REF!</v>
      </c>
      <c r="AX45" s="884"/>
      <c r="AY45" s="884" t="e">
        <f>+$AO45*'ref.지급기준 (2)'!#REF!</f>
        <v>#REF!</v>
      </c>
      <c r="AZ45" s="884"/>
      <c r="BA45" s="884" t="e">
        <f>+$AO45*'ref.지급기준 (2)'!#REF!</f>
        <v>#REF!</v>
      </c>
      <c r="BB45" s="890"/>
      <c r="BC45" s="2718" t="s">
        <v>1252</v>
      </c>
      <c r="BD45" s="393"/>
      <c r="BE45" s="393" t="e">
        <f t="shared" si="90"/>
        <v>#REF!</v>
      </c>
      <c r="BF45" s="393"/>
      <c r="BG45" s="393"/>
      <c r="BH45" s="393"/>
      <c r="BI45" s="393"/>
      <c r="BJ45" s="393"/>
      <c r="BK45" s="393"/>
      <c r="BL45" s="393"/>
      <c r="BM45" s="393"/>
      <c r="BN45" s="393"/>
      <c r="BO45" s="408"/>
      <c r="BP45" s="408"/>
    </row>
    <row r="46" spans="1:68">
      <c r="A46" s="394"/>
      <c r="B46" s="2774"/>
      <c r="C46" s="2780"/>
      <c r="D46" s="2650"/>
      <c r="E46" s="2770"/>
      <c r="F46" s="2771"/>
      <c r="G46" s="2773"/>
      <c r="H46" s="2772"/>
      <c r="I46" s="2722"/>
      <c r="J46" s="2725"/>
      <c r="K46" s="2728"/>
      <c r="L46" s="2652"/>
      <c r="M46" s="2654"/>
      <c r="N46" s="2654"/>
      <c r="O46" s="875" t="s">
        <v>126</v>
      </c>
      <c r="P46" s="896">
        <f>+'DG-PV Organic'!AK35</f>
        <v>56448000</v>
      </c>
      <c r="Q46" s="896">
        <f>+P46*10%</f>
        <v>5644800</v>
      </c>
      <c r="R46" s="897">
        <f t="shared" si="95"/>
        <v>62092800</v>
      </c>
      <c r="S46" s="409" t="b">
        <f t="shared" si="73"/>
        <v>1</v>
      </c>
      <c r="T46" s="908">
        <f>+IFERROR(U46/R46,"-")</f>
        <v>0</v>
      </c>
      <c r="U46" s="909">
        <f>+IFERROR(X46+AA46+AD46+AG46+AJ46+AM46,"-")</f>
        <v>0</v>
      </c>
      <c r="V46" s="908">
        <f t="shared" si="74"/>
        <v>0</v>
      </c>
      <c r="W46" s="919">
        <v>45703</v>
      </c>
      <c r="X46" s="876"/>
      <c r="Y46" s="877"/>
      <c r="Z46" s="877">
        <f t="shared" si="70"/>
        <v>0</v>
      </c>
      <c r="AA46" s="886"/>
      <c r="AB46" s="883">
        <v>45808</v>
      </c>
      <c r="AC46" s="877">
        <f t="shared" si="71"/>
        <v>0</v>
      </c>
      <c r="AD46" s="877"/>
      <c r="AE46" s="883">
        <f t="shared" ref="AE46" si="99">+EDATE(AB46,1)</f>
        <v>45838</v>
      </c>
      <c r="AF46" s="877">
        <f t="shared" si="72"/>
        <v>0</v>
      </c>
      <c r="AG46" s="877"/>
      <c r="AH46" s="883">
        <f>+EDATE(AB45,12)</f>
        <v>46233</v>
      </c>
      <c r="AI46" s="877" t="str">
        <f>+IFERROR(AJ46/#REF!,"-")</f>
        <v>-</v>
      </c>
      <c r="AJ46" s="877"/>
      <c r="AK46" s="877"/>
      <c r="AL46" s="877" t="str">
        <f>+IFERROR(AM46/#REF!,"-")</f>
        <v>-</v>
      </c>
      <c r="AM46" s="877"/>
      <c r="AN46" s="877"/>
      <c r="AO46" s="884">
        <f t="shared" si="75"/>
        <v>62092800</v>
      </c>
      <c r="AP46" s="884" t="e">
        <f t="shared" si="98"/>
        <v>#REF!</v>
      </c>
      <c r="AQ46" s="1274"/>
      <c r="AR46" s="410"/>
      <c r="AS46" s="945" t="e">
        <f>+$AO46*'ref.지급기준 (2)'!#REF!</f>
        <v>#REF!</v>
      </c>
      <c r="AT46" s="884">
        <f t="shared" si="76"/>
        <v>0</v>
      </c>
      <c r="AU46" s="884" t="e">
        <f>+$AO46*'ref.지급기준 (2)'!#REF!</f>
        <v>#REF!</v>
      </c>
      <c r="AV46" s="884">
        <f t="shared" si="69"/>
        <v>0</v>
      </c>
      <c r="AW46" s="884" t="e">
        <f>+$AO46*'ref.지급기준 (2)'!#REF!</f>
        <v>#REF!</v>
      </c>
      <c r="AX46" s="884"/>
      <c r="AY46" s="884" t="e">
        <f>+$AO46*'ref.지급기준 (2)'!#REF!</f>
        <v>#REF!</v>
      </c>
      <c r="AZ46" s="884"/>
      <c r="BA46" s="884" t="e">
        <f>+$AO46*'ref.지급기준 (2)'!#REF!</f>
        <v>#REF!</v>
      </c>
      <c r="BB46" s="890"/>
      <c r="BC46" s="2719"/>
      <c r="BD46" s="393"/>
      <c r="BE46" s="393" t="e">
        <f t="shared" si="90"/>
        <v>#REF!</v>
      </c>
      <c r="BF46" s="393"/>
      <c r="BG46" s="393"/>
      <c r="BH46" s="393"/>
      <c r="BI46" s="393"/>
      <c r="BJ46" s="393"/>
      <c r="BK46" s="393"/>
      <c r="BL46" s="393"/>
      <c r="BM46" s="393"/>
      <c r="BN46" s="393"/>
      <c r="BO46" s="408"/>
      <c r="BP46" s="408"/>
    </row>
    <row r="47" spans="1:68">
      <c r="A47" s="394"/>
      <c r="B47" s="2774"/>
      <c r="C47" s="2780"/>
      <c r="D47" s="2650"/>
      <c r="E47" s="2770"/>
      <c r="F47" s="2771"/>
      <c r="G47" s="2773"/>
      <c r="H47" s="2772"/>
      <c r="I47" s="2722"/>
      <c r="J47" s="2725"/>
      <c r="K47" s="2728"/>
      <c r="L47" s="2652"/>
      <c r="M47" s="2654"/>
      <c r="N47" s="2654"/>
      <c r="O47" s="875" t="s">
        <v>127</v>
      </c>
      <c r="P47" s="896">
        <v>0</v>
      </c>
      <c r="Q47" s="896"/>
      <c r="R47" s="897">
        <f t="shared" si="95"/>
        <v>0</v>
      </c>
      <c r="S47" s="409" t="b">
        <f t="shared" si="73"/>
        <v>1</v>
      </c>
      <c r="T47" s="908" t="str">
        <f>+IFERROR(U47/R47,"-")</f>
        <v>-</v>
      </c>
      <c r="U47" s="909">
        <f>+IFERROR(X47+AA47+AD47+AG47+AJ47+AM47,"-")</f>
        <v>0</v>
      </c>
      <c r="V47" s="908" t="str">
        <f t="shared" si="74"/>
        <v>-</v>
      </c>
      <c r="W47" s="919"/>
      <c r="X47" s="876"/>
      <c r="Y47" s="877"/>
      <c r="Z47" s="877" t="str">
        <f t="shared" si="70"/>
        <v>-</v>
      </c>
      <c r="AA47" s="877"/>
      <c r="AB47" s="883"/>
      <c r="AC47" s="877" t="str">
        <f t="shared" si="71"/>
        <v>-</v>
      </c>
      <c r="AD47" s="877"/>
      <c r="AE47" s="883"/>
      <c r="AF47" s="877" t="str">
        <f t="shared" si="72"/>
        <v>-</v>
      </c>
      <c r="AG47" s="877"/>
      <c r="AH47" s="883"/>
      <c r="AI47" s="877" t="str">
        <f>+IFERROR(AJ47/#REF!,"-")</f>
        <v>-</v>
      </c>
      <c r="AJ47" s="877"/>
      <c r="AK47" s="877"/>
      <c r="AL47" s="877" t="str">
        <f>+IFERROR(AM47/#REF!,"-")</f>
        <v>-</v>
      </c>
      <c r="AM47" s="877"/>
      <c r="AN47" s="877"/>
      <c r="AO47" s="884">
        <f t="shared" si="75"/>
        <v>0</v>
      </c>
      <c r="AP47" s="884" t="e">
        <f t="shared" si="98"/>
        <v>#REF!</v>
      </c>
      <c r="AQ47" s="1274"/>
      <c r="AR47" s="410"/>
      <c r="AS47" s="945" t="e">
        <f>+$AO47*'ref.지급기준 (2)'!#REF!</f>
        <v>#REF!</v>
      </c>
      <c r="AT47" s="884">
        <f t="shared" si="76"/>
        <v>0</v>
      </c>
      <c r="AU47" s="884" t="e">
        <f>+$AO47*'ref.지급기준 (2)'!#REF!</f>
        <v>#REF!</v>
      </c>
      <c r="AV47" s="884">
        <f t="shared" si="69"/>
        <v>0</v>
      </c>
      <c r="AW47" s="884" t="e">
        <f>+$AO47*'ref.지급기준 (2)'!#REF!</f>
        <v>#REF!</v>
      </c>
      <c r="AX47" s="884"/>
      <c r="AY47" s="884" t="e">
        <f>+$AO47*'ref.지급기준 (2)'!#REF!</f>
        <v>#REF!</v>
      </c>
      <c r="AZ47" s="884"/>
      <c r="BA47" s="884" t="e">
        <f>+$AO47*'ref.지급기준 (2)'!#REF!</f>
        <v>#REF!</v>
      </c>
      <c r="BB47" s="890"/>
      <c r="BC47" s="2719"/>
      <c r="BD47" s="393"/>
      <c r="BE47" s="393" t="e">
        <f t="shared" si="90"/>
        <v>#REF!</v>
      </c>
      <c r="BF47" s="393"/>
      <c r="BG47" s="393"/>
      <c r="BH47" s="393"/>
      <c r="BI47" s="393"/>
      <c r="BJ47" s="393"/>
      <c r="BK47" s="393"/>
      <c r="BL47" s="393"/>
      <c r="BM47" s="393"/>
      <c r="BN47" s="393"/>
      <c r="BO47" s="408"/>
      <c r="BP47" s="408"/>
    </row>
    <row r="48" spans="1:68">
      <c r="A48" s="394"/>
      <c r="B48" s="2774"/>
      <c r="C48" s="2780"/>
      <c r="D48" s="2650"/>
      <c r="E48" s="2770"/>
      <c r="F48" s="2771"/>
      <c r="G48" s="2773"/>
      <c r="H48" s="2772"/>
      <c r="I48" s="2722"/>
      <c r="J48" s="2725"/>
      <c r="K48" s="2728"/>
      <c r="L48" s="2652"/>
      <c r="M48" s="2654"/>
      <c r="N48" s="2654"/>
      <c r="O48" s="875" t="s">
        <v>128</v>
      </c>
      <c r="P48" s="896">
        <f>+'DG-PV Organic'!AJ35</f>
        <v>28224000</v>
      </c>
      <c r="Q48" s="896">
        <f t="shared" ref="Q48" si="100">+P48*10%</f>
        <v>2822400</v>
      </c>
      <c r="R48" s="897">
        <f t="shared" si="95"/>
        <v>31046400</v>
      </c>
      <c r="S48" s="409" t="b">
        <f t="shared" si="73"/>
        <v>1</v>
      </c>
      <c r="T48" s="908">
        <f>+IFERROR(U48/R48,"-")</f>
        <v>0</v>
      </c>
      <c r="U48" s="909">
        <f>+IFERROR(X48+AA48+AD48+AG48+AJ48+AM48,"-")</f>
        <v>0</v>
      </c>
      <c r="V48" s="908">
        <f t="shared" si="74"/>
        <v>0</v>
      </c>
      <c r="W48" s="919">
        <f>W46</f>
        <v>45703</v>
      </c>
      <c r="X48" s="876"/>
      <c r="Y48" s="877"/>
      <c r="Z48" s="877">
        <f t="shared" si="70"/>
        <v>0</v>
      </c>
      <c r="AA48" s="877"/>
      <c r="AB48" s="883">
        <f t="shared" ref="AB48" si="101">AB46</f>
        <v>45808</v>
      </c>
      <c r="AC48" s="877">
        <f t="shared" si="71"/>
        <v>0</v>
      </c>
      <c r="AD48" s="877"/>
      <c r="AE48" s="883">
        <f t="shared" ref="AE48" si="102">AE46</f>
        <v>45838</v>
      </c>
      <c r="AF48" s="877">
        <f t="shared" si="72"/>
        <v>0</v>
      </c>
      <c r="AG48" s="877"/>
      <c r="AH48" s="883">
        <f t="shared" ref="AH48" si="103">AH46</f>
        <v>46233</v>
      </c>
      <c r="AI48" s="877" t="str">
        <f>+IFERROR(AJ48/#REF!,"-")</f>
        <v>-</v>
      </c>
      <c r="AJ48" s="877"/>
      <c r="AK48" s="877"/>
      <c r="AL48" s="877" t="str">
        <f>+IFERROR(AM48/#REF!,"-")</f>
        <v>-</v>
      </c>
      <c r="AM48" s="877"/>
      <c r="AN48" s="877"/>
      <c r="AO48" s="884">
        <f t="shared" si="75"/>
        <v>31046400</v>
      </c>
      <c r="AP48" s="884" t="e">
        <f t="shared" si="98"/>
        <v>#REF!</v>
      </c>
      <c r="AQ48" s="1274"/>
      <c r="AR48" s="410"/>
      <c r="AS48" s="945" t="e">
        <f>+$AO48*'ref.지급기준 (2)'!#REF!</f>
        <v>#REF!</v>
      </c>
      <c r="AT48" s="884">
        <f t="shared" si="76"/>
        <v>0</v>
      </c>
      <c r="AU48" s="884" t="e">
        <f>+$AO48*'ref.지급기준 (2)'!#REF!</f>
        <v>#REF!</v>
      </c>
      <c r="AV48" s="884">
        <f t="shared" si="69"/>
        <v>0</v>
      </c>
      <c r="AW48" s="884" t="e">
        <f>+$AO48*'ref.지급기준 (2)'!#REF!</f>
        <v>#REF!</v>
      </c>
      <c r="AX48" s="884"/>
      <c r="AY48" s="884" t="e">
        <f>+$AO48*'ref.지급기준 (2)'!#REF!</f>
        <v>#REF!</v>
      </c>
      <c r="AZ48" s="884"/>
      <c r="BA48" s="884" t="e">
        <f>+$AO48*'ref.지급기준 (2)'!#REF!</f>
        <v>#REF!</v>
      </c>
      <c r="BB48" s="890"/>
      <c r="BC48" s="2719"/>
      <c r="BD48" s="393"/>
      <c r="BE48" s="393" t="e">
        <f t="shared" si="90"/>
        <v>#REF!</v>
      </c>
      <c r="BF48" s="393"/>
      <c r="BG48" s="393"/>
      <c r="BH48" s="393"/>
      <c r="BI48" s="393"/>
      <c r="BJ48" s="393"/>
      <c r="BK48" s="393"/>
      <c r="BL48" s="393"/>
      <c r="BM48" s="393"/>
      <c r="BN48" s="393"/>
      <c r="BO48" s="408"/>
      <c r="BP48" s="408"/>
    </row>
    <row r="49" spans="1:68">
      <c r="A49" s="394"/>
      <c r="B49" s="2774"/>
      <c r="C49" s="2780"/>
      <c r="D49" s="2650"/>
      <c r="E49" s="2770"/>
      <c r="F49" s="2771"/>
      <c r="G49" s="2773"/>
      <c r="H49" s="2772"/>
      <c r="I49" s="2723"/>
      <c r="J49" s="2726"/>
      <c r="K49" s="2729"/>
      <c r="L49" s="2653"/>
      <c r="M49" s="2655"/>
      <c r="N49" s="2655"/>
      <c r="O49" s="999" t="s">
        <v>129</v>
      </c>
      <c r="P49" s="900">
        <f>+'DG-PV Organic'!AI35</f>
        <v>32928000</v>
      </c>
      <c r="Q49" s="900">
        <f>+P49*0.1</f>
        <v>3292800</v>
      </c>
      <c r="R49" s="901">
        <f>SUM(P49:Q49)</f>
        <v>36220800</v>
      </c>
      <c r="S49" s="1275" t="b">
        <f t="shared" si="73"/>
        <v>1</v>
      </c>
      <c r="T49" s="910"/>
      <c r="U49" s="911"/>
      <c r="V49" s="910">
        <f t="shared" si="74"/>
        <v>0</v>
      </c>
      <c r="W49" s="926"/>
      <c r="X49" s="926"/>
      <c r="Y49" s="926"/>
      <c r="Z49" s="926">
        <f t="shared" si="70"/>
        <v>0</v>
      </c>
      <c r="AA49" s="926"/>
      <c r="AB49" s="927"/>
      <c r="AC49" s="926">
        <f t="shared" si="71"/>
        <v>0</v>
      </c>
      <c r="AD49" s="926"/>
      <c r="AE49" s="927"/>
      <c r="AF49" s="926">
        <f t="shared" si="72"/>
        <v>0</v>
      </c>
      <c r="AG49" s="926"/>
      <c r="AH49" s="927"/>
      <c r="AI49" s="926" t="str">
        <f>+IFERROR(AJ49/#REF!,"-")</f>
        <v>-</v>
      </c>
      <c r="AJ49" s="926"/>
      <c r="AK49" s="926"/>
      <c r="AL49" s="926"/>
      <c r="AM49" s="926"/>
      <c r="AN49" s="926"/>
      <c r="AO49" s="928">
        <f t="shared" si="75"/>
        <v>36220800</v>
      </c>
      <c r="AP49" s="928" t="e">
        <f>+AS49+AU49</f>
        <v>#REF!</v>
      </c>
      <c r="AQ49" s="1276"/>
      <c r="AR49" s="410"/>
      <c r="AS49" s="947" t="e">
        <f>+$AO49*'ref.지급기준 (2)'!#REF!</f>
        <v>#REF!</v>
      </c>
      <c r="AT49" s="928">
        <f t="shared" si="76"/>
        <v>0</v>
      </c>
      <c r="AU49" s="928" t="e">
        <f>+$AO49*'ref.지급기준 (2)'!#REF!</f>
        <v>#REF!</v>
      </c>
      <c r="AV49" s="928">
        <f t="shared" si="69"/>
        <v>0</v>
      </c>
      <c r="AW49" s="928" t="e">
        <f>+$AO49*'ref.지급기준 (2)'!#REF!</f>
        <v>#REF!</v>
      </c>
      <c r="AX49" s="928"/>
      <c r="AY49" s="928" t="e">
        <f>+$AO49*'ref.지급기준 (2)'!#REF!</f>
        <v>#REF!</v>
      </c>
      <c r="AZ49" s="928"/>
      <c r="BA49" s="928" t="e">
        <f>+$AO49*'ref.지급기준 (2)'!#REF!</f>
        <v>#REF!</v>
      </c>
      <c r="BB49" s="997"/>
      <c r="BC49" s="2720"/>
      <c r="BD49" s="393"/>
      <c r="BE49" s="393" t="e">
        <f t="shared" si="90"/>
        <v>#REF!</v>
      </c>
      <c r="BF49" s="393"/>
      <c r="BG49" s="393"/>
      <c r="BH49" s="393"/>
      <c r="BI49" s="393"/>
      <c r="BJ49" s="393"/>
      <c r="BK49" s="393"/>
      <c r="BL49" s="393"/>
      <c r="BM49" s="393"/>
      <c r="BN49" s="393"/>
      <c r="BO49" s="408"/>
      <c r="BP49" s="408"/>
    </row>
    <row r="50" spans="1:68">
      <c r="A50" s="394"/>
      <c r="B50" s="2774"/>
      <c r="C50" s="2780"/>
      <c r="D50" s="2650"/>
      <c r="E50" s="2770"/>
      <c r="F50" s="2771"/>
      <c r="G50" s="2773"/>
      <c r="H50" s="2772"/>
      <c r="I50" s="2721" t="s">
        <v>1263</v>
      </c>
      <c r="J50" s="2724" t="str">
        <f>+'ref.지급기준 (2)'!C144</f>
        <v>Guemjeong Techno</v>
      </c>
      <c r="K50" s="2727">
        <f>+'ref.지급기준 (2)'!D144</f>
        <v>122</v>
      </c>
      <c r="L50" s="2730">
        <f>+'DG-PV Organic'!H38</f>
        <v>8.9499999999999996E-2</v>
      </c>
      <c r="M50" s="2717">
        <f>+'DG-PV Organic'!J38</f>
        <v>9.6000000000000002E-2</v>
      </c>
      <c r="N50" s="2717" t="s">
        <v>1213</v>
      </c>
      <c r="O50" s="893" t="s">
        <v>125</v>
      </c>
      <c r="P50" s="904">
        <f>+'DG-PV Organic'!AL38</f>
        <v>128100000</v>
      </c>
      <c r="Q50" s="904">
        <f>+P50*10%</f>
        <v>12810000</v>
      </c>
      <c r="R50" s="905">
        <f t="shared" ref="R50:R53" si="104">SUM(P50:Q50)</f>
        <v>140910000</v>
      </c>
      <c r="S50" s="1272" t="b">
        <f t="shared" si="73"/>
        <v>1</v>
      </c>
      <c r="T50" s="906">
        <f>+IFERROR(U50/R50,"-")</f>
        <v>0</v>
      </c>
      <c r="U50" s="907">
        <f>+IFERROR(X50+AA50+AD50+AG50+AJ50+AM50,"-")</f>
        <v>0</v>
      </c>
      <c r="V50" s="877">
        <f t="shared" si="74"/>
        <v>0</v>
      </c>
      <c r="W50" s="883">
        <f>AE53</f>
        <v>45838</v>
      </c>
      <c r="X50" s="876"/>
      <c r="Y50" s="877"/>
      <c r="Z50" s="877">
        <f t="shared" si="70"/>
        <v>0</v>
      </c>
      <c r="AA50" s="877"/>
      <c r="AB50" s="883">
        <f>+EDATE(W50,1)</f>
        <v>45868</v>
      </c>
      <c r="AC50" s="877">
        <f t="shared" si="71"/>
        <v>0</v>
      </c>
      <c r="AD50" s="877"/>
      <c r="AE50" s="883">
        <f t="shared" ref="AE50" si="105">+EDATE(AB50,3)</f>
        <v>45960</v>
      </c>
      <c r="AF50" s="877">
        <f t="shared" si="72"/>
        <v>0</v>
      </c>
      <c r="AG50" s="877"/>
      <c r="AH50" s="883">
        <f t="shared" ref="AH50" si="106">+EDATE(AB50,4)</f>
        <v>45991</v>
      </c>
      <c r="AI50" s="877" t="str">
        <f>+IFERROR(AJ50/#REF!,"-")</f>
        <v>-</v>
      </c>
      <c r="AJ50" s="877"/>
      <c r="AK50" s="883">
        <f>+EDATE(AB50,6)+1</f>
        <v>46053</v>
      </c>
      <c r="AL50" s="922" t="str">
        <f>+IFERROR(AM50/#REF!,"-")</f>
        <v>-</v>
      </c>
      <c r="AM50" s="922"/>
      <c r="AN50" s="922"/>
      <c r="AO50" s="924">
        <f t="shared" si="75"/>
        <v>140910000</v>
      </c>
      <c r="AP50" s="924">
        <f t="shared" ref="AP50:AP53" si="107">+AS50</f>
        <v>14091000</v>
      </c>
      <c r="AQ50" s="1273" t="s">
        <v>793</v>
      </c>
      <c r="AR50" s="410"/>
      <c r="AS50" s="945">
        <f>+$AO50*'ref.지급기준 (2)'!G134</f>
        <v>14091000</v>
      </c>
      <c r="AT50" s="884">
        <f t="shared" si="76"/>
        <v>0</v>
      </c>
      <c r="AU50" s="884">
        <f>+$AO50*'ref.지급기준 (2)'!I134</f>
        <v>28182000</v>
      </c>
      <c r="AV50" s="884">
        <f t="shared" si="69"/>
        <v>0</v>
      </c>
      <c r="AW50" s="884">
        <f>+$AO50*'ref.지급기준 (2)'!K134</f>
        <v>56364000</v>
      </c>
      <c r="AX50" s="884"/>
      <c r="AY50" s="884">
        <f>+$AO50*'ref.지급기준 (2)'!M134</f>
        <v>35227500</v>
      </c>
      <c r="AZ50" s="884"/>
      <c r="BA50" s="884">
        <f>+$AO50*'ref.지급기준 (2)'!O134</f>
        <v>7045500</v>
      </c>
      <c r="BB50" s="890"/>
      <c r="BC50" s="2718" t="s">
        <v>1252</v>
      </c>
      <c r="BD50" s="393"/>
      <c r="BE50" s="393" t="b">
        <f t="shared" si="90"/>
        <v>1</v>
      </c>
      <c r="BF50" s="393"/>
      <c r="BG50" s="393"/>
      <c r="BH50" s="393"/>
      <c r="BI50" s="393"/>
      <c r="BJ50" s="393"/>
      <c r="BK50" s="393"/>
      <c r="BL50" s="393"/>
      <c r="BM50" s="393"/>
      <c r="BN50" s="393"/>
      <c r="BO50" s="408"/>
      <c r="BP50" s="408"/>
    </row>
    <row r="51" spans="1:68">
      <c r="A51" s="394"/>
      <c r="B51" s="2774"/>
      <c r="C51" s="2780"/>
      <c r="D51" s="2650"/>
      <c r="E51" s="2770"/>
      <c r="F51" s="2771"/>
      <c r="G51" s="2773"/>
      <c r="H51" s="2772"/>
      <c r="I51" s="2722"/>
      <c r="J51" s="2725"/>
      <c r="K51" s="2728"/>
      <c r="L51" s="2652"/>
      <c r="M51" s="2654"/>
      <c r="N51" s="2654"/>
      <c r="O51" s="875" t="s">
        <v>126</v>
      </c>
      <c r="P51" s="896">
        <f>+'DG-PV Organic'!AK38</f>
        <v>36600000</v>
      </c>
      <c r="Q51" s="896">
        <f>+P51*10%</f>
        <v>3660000</v>
      </c>
      <c r="R51" s="897">
        <f t="shared" si="104"/>
        <v>40260000</v>
      </c>
      <c r="S51" s="409" t="b">
        <f t="shared" si="73"/>
        <v>1</v>
      </c>
      <c r="T51" s="908">
        <f>+IFERROR(U51/R51,"-")</f>
        <v>0.30000000000000004</v>
      </c>
      <c r="U51" s="909">
        <f>+IFERROR(X51+AA51+AD51+AG51+AJ51+AM51,"-")</f>
        <v>12078000.000000002</v>
      </c>
      <c r="V51" s="879">
        <f t="shared" si="74"/>
        <v>0.30000000000000004</v>
      </c>
      <c r="W51" s="889">
        <v>45764</v>
      </c>
      <c r="X51" s="880">
        <f>300000000*K50/1000*30%*1.1</f>
        <v>12078000.000000002</v>
      </c>
      <c r="Y51" s="879"/>
      <c r="Z51" s="877">
        <f t="shared" si="70"/>
        <v>0</v>
      </c>
      <c r="AA51" s="886"/>
      <c r="AB51" s="883">
        <v>45808</v>
      </c>
      <c r="AC51" s="877">
        <f t="shared" si="71"/>
        <v>0</v>
      </c>
      <c r="AD51" s="877"/>
      <c r="AE51" s="883">
        <f t="shared" ref="AE51" si="108">+EDATE(AB51,1)</f>
        <v>45838</v>
      </c>
      <c r="AF51" s="877">
        <f t="shared" si="72"/>
        <v>0</v>
      </c>
      <c r="AG51" s="877"/>
      <c r="AH51" s="883">
        <f t="shared" ref="AH51" si="109">+EDATE(AB50,6)</f>
        <v>46052</v>
      </c>
      <c r="AI51" s="877" t="str">
        <f>+IFERROR(AJ51/#REF!,"-")</f>
        <v>-</v>
      </c>
      <c r="AJ51" s="877"/>
      <c r="AK51" s="877"/>
      <c r="AL51" s="877" t="str">
        <f>+IFERROR(AM51/#REF!,"-")</f>
        <v>-</v>
      </c>
      <c r="AM51" s="877"/>
      <c r="AN51" s="877"/>
      <c r="AO51" s="884">
        <f t="shared" si="75"/>
        <v>40260000</v>
      </c>
      <c r="AP51" s="884">
        <f t="shared" si="107"/>
        <v>12078000</v>
      </c>
      <c r="AQ51" s="1274"/>
      <c r="AR51" s="410"/>
      <c r="AS51" s="945">
        <f>+$AO51*'ref.지급기준 (2)'!G135</f>
        <v>12078000</v>
      </c>
      <c r="AT51" s="884">
        <f t="shared" si="76"/>
        <v>12078000.000000002</v>
      </c>
      <c r="AU51" s="884">
        <f>+$AO51*'ref.지급기준 (2)'!I135</f>
        <v>4026000</v>
      </c>
      <c r="AV51" s="884">
        <f t="shared" si="69"/>
        <v>0</v>
      </c>
      <c r="AW51" s="884">
        <f>+$AO51*'ref.지급기준 (2)'!K135</f>
        <v>20130000</v>
      </c>
      <c r="AX51" s="884"/>
      <c r="AY51" s="884">
        <f>+$AO51*'ref.지급기준 (2)'!M135</f>
        <v>4026000</v>
      </c>
      <c r="AZ51" s="884"/>
      <c r="BA51" s="884">
        <f>+$AO51*'ref.지급기준 (2)'!O135</f>
        <v>0</v>
      </c>
      <c r="BB51" s="890"/>
      <c r="BC51" s="2719"/>
      <c r="BD51" s="393"/>
      <c r="BE51" s="393" t="b">
        <f t="shared" si="90"/>
        <v>1</v>
      </c>
      <c r="BF51" s="393"/>
      <c r="BG51" s="393"/>
      <c r="BH51" s="393"/>
      <c r="BI51" s="393"/>
      <c r="BJ51" s="393"/>
      <c r="BK51" s="393"/>
      <c r="BL51" s="393"/>
      <c r="BM51" s="393"/>
      <c r="BN51" s="393"/>
      <c r="BO51" s="408"/>
      <c r="BP51" s="408"/>
    </row>
    <row r="52" spans="1:68">
      <c r="A52" s="394"/>
      <c r="B52" s="2774"/>
      <c r="C52" s="2780"/>
      <c r="D52" s="2650"/>
      <c r="E52" s="2770"/>
      <c r="F52" s="2771"/>
      <c r="G52" s="2773"/>
      <c r="H52" s="2772"/>
      <c r="I52" s="2722"/>
      <c r="J52" s="2725"/>
      <c r="K52" s="2728"/>
      <c r="L52" s="2652"/>
      <c r="M52" s="2654"/>
      <c r="N52" s="2654"/>
      <c r="O52" s="875" t="s">
        <v>127</v>
      </c>
      <c r="P52" s="896"/>
      <c r="Q52" s="896"/>
      <c r="R52" s="897">
        <f t="shared" si="104"/>
        <v>0</v>
      </c>
      <c r="S52" s="409" t="b">
        <f t="shared" si="73"/>
        <v>1</v>
      </c>
      <c r="T52" s="908" t="str">
        <f>+IFERROR(U52/R52,"-")</f>
        <v>-</v>
      </c>
      <c r="U52" s="909">
        <f>+IFERROR(X52+AA52+AD52+AG52+AJ52+AM52,"-")</f>
        <v>0</v>
      </c>
      <c r="V52" s="877" t="str">
        <f t="shared" si="74"/>
        <v>-</v>
      </c>
      <c r="W52" s="887"/>
      <c r="X52" s="876"/>
      <c r="Y52" s="877"/>
      <c r="Z52" s="877" t="str">
        <f t="shared" si="70"/>
        <v>-</v>
      </c>
      <c r="AA52" s="877"/>
      <c r="AB52" s="883"/>
      <c r="AC52" s="877" t="str">
        <f t="shared" si="71"/>
        <v>-</v>
      </c>
      <c r="AD52" s="877"/>
      <c r="AE52" s="883"/>
      <c r="AF52" s="877" t="str">
        <f t="shared" si="72"/>
        <v>-</v>
      </c>
      <c r="AG52" s="877"/>
      <c r="AH52" s="883"/>
      <c r="AI52" s="877" t="str">
        <f>+IFERROR(AJ52/#REF!,"-")</f>
        <v>-</v>
      </c>
      <c r="AJ52" s="877"/>
      <c r="AK52" s="877"/>
      <c r="AL52" s="877" t="str">
        <f>+IFERROR(AM52/#REF!,"-")</f>
        <v>-</v>
      </c>
      <c r="AM52" s="877"/>
      <c r="AN52" s="877"/>
      <c r="AO52" s="884">
        <f t="shared" si="75"/>
        <v>0</v>
      </c>
      <c r="AP52" s="884">
        <f t="shared" si="107"/>
        <v>0</v>
      </c>
      <c r="AQ52" s="1274"/>
      <c r="AR52" s="410"/>
      <c r="AS52" s="945">
        <f>+$AO52*'ref.지급기준 (2)'!G136</f>
        <v>0</v>
      </c>
      <c r="AT52" s="884">
        <f t="shared" si="76"/>
        <v>0</v>
      </c>
      <c r="AU52" s="884">
        <f>+$AO52*'ref.지급기준 (2)'!I136</f>
        <v>0</v>
      </c>
      <c r="AV52" s="884">
        <f t="shared" si="69"/>
        <v>0</v>
      </c>
      <c r="AW52" s="884">
        <f>+$AO52*'ref.지급기준 (2)'!K136</f>
        <v>0</v>
      </c>
      <c r="AX52" s="884"/>
      <c r="AY52" s="884">
        <f>+$AO52*'ref.지급기준 (2)'!M136</f>
        <v>0</v>
      </c>
      <c r="AZ52" s="884"/>
      <c r="BA52" s="884">
        <f>+$AO52*'ref.지급기준 (2)'!O136</f>
        <v>0</v>
      </c>
      <c r="BB52" s="890"/>
      <c r="BC52" s="2719"/>
      <c r="BD52" s="393"/>
      <c r="BE52" s="393" t="b">
        <f t="shared" si="90"/>
        <v>1</v>
      </c>
      <c r="BF52" s="393"/>
      <c r="BG52" s="393"/>
      <c r="BH52" s="393"/>
      <c r="BI52" s="393"/>
      <c r="BJ52" s="393"/>
      <c r="BK52" s="393"/>
      <c r="BL52" s="393"/>
      <c r="BM52" s="393"/>
      <c r="BN52" s="393"/>
      <c r="BO52" s="408"/>
      <c r="BP52" s="408"/>
    </row>
    <row r="53" spans="1:68">
      <c r="A53" s="394"/>
      <c r="B53" s="2774"/>
      <c r="C53" s="2780"/>
      <c r="D53" s="2650"/>
      <c r="E53" s="2770"/>
      <c r="F53" s="2771"/>
      <c r="G53" s="2773"/>
      <c r="H53" s="2772"/>
      <c r="I53" s="2722"/>
      <c r="J53" s="2725"/>
      <c r="K53" s="2728"/>
      <c r="L53" s="2652"/>
      <c r="M53" s="2654"/>
      <c r="N53" s="2654"/>
      <c r="O53" s="875" t="s">
        <v>128</v>
      </c>
      <c r="P53" s="896">
        <f>+'DG-PV Organic'!AJ38</f>
        <v>18300000</v>
      </c>
      <c r="Q53" s="896">
        <f t="shared" ref="Q53" si="110">+P53*10%</f>
        <v>1830000</v>
      </c>
      <c r="R53" s="897">
        <f t="shared" si="104"/>
        <v>20130000</v>
      </c>
      <c r="S53" s="409" t="b">
        <f t="shared" si="73"/>
        <v>1</v>
      </c>
      <c r="T53" s="908">
        <f>+IFERROR(U53/R53,"-")</f>
        <v>0.30000000000000004</v>
      </c>
      <c r="U53" s="909">
        <f>+IFERROR(X53+AA53+AD53+AG53+AJ53+AM53,"-")</f>
        <v>6039000.0000000009</v>
      </c>
      <c r="V53" s="879">
        <f t="shared" si="74"/>
        <v>0.30000000000000004</v>
      </c>
      <c r="W53" s="881">
        <v>45764</v>
      </c>
      <c r="X53" s="880">
        <f>150000000*K50/1000*30%*1.1</f>
        <v>6039000.0000000009</v>
      </c>
      <c r="Y53" s="879"/>
      <c r="Z53" s="877">
        <f t="shared" si="70"/>
        <v>0</v>
      </c>
      <c r="AA53" s="877"/>
      <c r="AB53" s="883">
        <f t="shared" ref="AB53" si="111">AB51</f>
        <v>45808</v>
      </c>
      <c r="AC53" s="877">
        <f t="shared" si="71"/>
        <v>0</v>
      </c>
      <c r="AD53" s="877"/>
      <c r="AE53" s="883">
        <f t="shared" ref="AE53" si="112">AE51</f>
        <v>45838</v>
      </c>
      <c r="AF53" s="877">
        <f t="shared" si="72"/>
        <v>0</v>
      </c>
      <c r="AG53" s="877"/>
      <c r="AH53" s="883">
        <f t="shared" ref="AH53" si="113">AH51</f>
        <v>46052</v>
      </c>
      <c r="AI53" s="877" t="str">
        <f>+IFERROR(AJ53/#REF!,"-")</f>
        <v>-</v>
      </c>
      <c r="AJ53" s="877"/>
      <c r="AK53" s="877"/>
      <c r="AL53" s="877" t="str">
        <f>+IFERROR(AM53/#REF!,"-")</f>
        <v>-</v>
      </c>
      <c r="AM53" s="877"/>
      <c r="AN53" s="877"/>
      <c r="AO53" s="884">
        <f t="shared" si="75"/>
        <v>20130000</v>
      </c>
      <c r="AP53" s="884">
        <f t="shared" si="107"/>
        <v>6039000</v>
      </c>
      <c r="AQ53" s="1274"/>
      <c r="AR53" s="410"/>
      <c r="AS53" s="945">
        <f>+$AO53*'ref.지급기준 (2)'!G137</f>
        <v>6039000</v>
      </c>
      <c r="AT53" s="884">
        <f t="shared" si="76"/>
        <v>6039000.0000000009</v>
      </c>
      <c r="AU53" s="884">
        <f>+$AO53*'ref.지급기준 (2)'!I137</f>
        <v>2013000</v>
      </c>
      <c r="AV53" s="884">
        <f t="shared" si="69"/>
        <v>0</v>
      </c>
      <c r="AW53" s="884">
        <f>+$AO53*'ref.지급기준 (2)'!K137</f>
        <v>10065000</v>
      </c>
      <c r="AX53" s="884"/>
      <c r="AY53" s="884">
        <f>+$AO53*'ref.지급기준 (2)'!M137</f>
        <v>2013000</v>
      </c>
      <c r="AZ53" s="884"/>
      <c r="BA53" s="884">
        <f>+$AO53*'ref.지급기준 (2)'!O137</f>
        <v>0</v>
      </c>
      <c r="BB53" s="890"/>
      <c r="BC53" s="2719"/>
      <c r="BD53" s="393"/>
      <c r="BE53" s="393" t="b">
        <f t="shared" si="90"/>
        <v>1</v>
      </c>
      <c r="BF53" s="393"/>
      <c r="BG53" s="393"/>
      <c r="BH53" s="393"/>
      <c r="BI53" s="393"/>
      <c r="BJ53" s="393"/>
      <c r="BK53" s="393"/>
      <c r="BL53" s="393"/>
      <c r="BM53" s="393"/>
      <c r="BN53" s="393"/>
      <c r="BO53" s="408"/>
      <c r="BP53" s="408"/>
    </row>
    <row r="54" spans="1:68">
      <c r="A54" s="394"/>
      <c r="B54" s="2774"/>
      <c r="C54" s="2780"/>
      <c r="D54" s="2650"/>
      <c r="E54" s="2770"/>
      <c r="F54" s="2771"/>
      <c r="G54" s="2773"/>
      <c r="H54" s="2772"/>
      <c r="I54" s="2723"/>
      <c r="J54" s="2726"/>
      <c r="K54" s="2729"/>
      <c r="L54" s="2653"/>
      <c r="M54" s="2655"/>
      <c r="N54" s="2655"/>
      <c r="O54" s="999" t="s">
        <v>129</v>
      </c>
      <c r="P54" s="900">
        <f>+'DG-PV Organic'!AI38</f>
        <v>21350000</v>
      </c>
      <c r="Q54" s="900">
        <f>+P54*0.1</f>
        <v>2135000</v>
      </c>
      <c r="R54" s="901">
        <f>SUM(P54:Q54)</f>
        <v>23485000</v>
      </c>
      <c r="S54" s="1275" t="b">
        <f t="shared" si="73"/>
        <v>1</v>
      </c>
      <c r="T54" s="910"/>
      <c r="U54" s="911"/>
      <c r="V54" s="910">
        <f t="shared" si="74"/>
        <v>0</v>
      </c>
      <c r="W54" s="926"/>
      <c r="X54" s="926"/>
      <c r="Y54" s="926"/>
      <c r="Z54" s="926">
        <f t="shared" si="70"/>
        <v>0</v>
      </c>
      <c r="AA54" s="926"/>
      <c r="AB54" s="927"/>
      <c r="AC54" s="926">
        <f t="shared" si="71"/>
        <v>0</v>
      </c>
      <c r="AD54" s="926"/>
      <c r="AE54" s="927"/>
      <c r="AF54" s="926">
        <f t="shared" si="72"/>
        <v>0</v>
      </c>
      <c r="AG54" s="926"/>
      <c r="AH54" s="927"/>
      <c r="AI54" s="926" t="str">
        <f>+IFERROR(AJ54/#REF!,"-")</f>
        <v>-</v>
      </c>
      <c r="AJ54" s="926"/>
      <c r="AK54" s="926"/>
      <c r="AL54" s="926"/>
      <c r="AM54" s="926"/>
      <c r="AN54" s="926"/>
      <c r="AO54" s="928">
        <f t="shared" si="75"/>
        <v>23485000</v>
      </c>
      <c r="AP54" s="928">
        <f>+AS54+AU54</f>
        <v>23485000</v>
      </c>
      <c r="AQ54" s="1276"/>
      <c r="AR54" s="410"/>
      <c r="AS54" s="947">
        <f>+$AO54*'ref.지급기준 (2)'!G138</f>
        <v>23485000</v>
      </c>
      <c r="AT54" s="928">
        <f t="shared" si="76"/>
        <v>0</v>
      </c>
      <c r="AU54" s="928">
        <f>+$AO54*'ref.지급기준 (2)'!I138</f>
        <v>0</v>
      </c>
      <c r="AV54" s="928">
        <f t="shared" si="69"/>
        <v>0</v>
      </c>
      <c r="AW54" s="928">
        <f>+$AO54*'ref.지급기준 (2)'!K138</f>
        <v>0</v>
      </c>
      <c r="AX54" s="928"/>
      <c r="AY54" s="928">
        <f>+$AO54*'ref.지급기준 (2)'!M138</f>
        <v>0</v>
      </c>
      <c r="AZ54" s="928"/>
      <c r="BA54" s="928">
        <f>+$AO54*'ref.지급기준 (2)'!O138</f>
        <v>0</v>
      </c>
      <c r="BB54" s="997"/>
      <c r="BC54" s="2720"/>
      <c r="BD54" s="393"/>
      <c r="BE54" s="393" t="b">
        <f t="shared" si="90"/>
        <v>1</v>
      </c>
      <c r="BF54" s="393"/>
      <c r="BG54" s="393"/>
      <c r="BH54" s="393"/>
      <c r="BI54" s="393"/>
      <c r="BJ54" s="393"/>
      <c r="BK54" s="393"/>
      <c r="BL54" s="393"/>
      <c r="BM54" s="393"/>
      <c r="BN54" s="393"/>
      <c r="BO54" s="408"/>
      <c r="BP54" s="408"/>
    </row>
    <row r="55" spans="1:68">
      <c r="A55" s="394"/>
      <c r="B55" s="2774"/>
      <c r="C55" s="2780"/>
      <c r="D55" s="2650"/>
      <c r="E55" s="2770"/>
      <c r="F55" s="2771"/>
      <c r="G55" s="2773"/>
      <c r="H55" s="2772"/>
      <c r="I55" s="2721" t="s">
        <v>1264</v>
      </c>
      <c r="J55" s="2724" t="str">
        <f>+'ref.지급기준 (2)'!C149</f>
        <v>Epyeonan nursing home</v>
      </c>
      <c r="K55" s="2727">
        <f>+'ref.지급기준 (2)'!D149</f>
        <v>172</v>
      </c>
      <c r="L55" s="2730">
        <f>+'DG-PV Organic'!H39</f>
        <v>9.4500000000000001E-2</v>
      </c>
      <c r="M55" s="2717">
        <f>+'DG-PV Organic'!J39</f>
        <v>9.6000000000000002E-2</v>
      </c>
      <c r="N55" s="2717" t="s">
        <v>1213</v>
      </c>
      <c r="O55" s="893" t="s">
        <v>125</v>
      </c>
      <c r="P55" s="904">
        <f>+'DG-PV Organic'!AL39</f>
        <v>180600000</v>
      </c>
      <c r="Q55" s="904">
        <f>+P55*10%</f>
        <v>18060000</v>
      </c>
      <c r="R55" s="905">
        <f t="shared" ref="R55:R58" si="114">SUM(P55:Q55)</f>
        <v>198660000</v>
      </c>
      <c r="S55" s="1272" t="b">
        <f t="shared" si="73"/>
        <v>1</v>
      </c>
      <c r="T55" s="906">
        <f>+IFERROR(U55/R55,"-")</f>
        <v>0</v>
      </c>
      <c r="U55" s="907">
        <f>+IFERROR(X55+AA55+AD55+AG55+AJ55+AM55,"-")</f>
        <v>0</v>
      </c>
      <c r="V55" s="877">
        <f t="shared" si="74"/>
        <v>0</v>
      </c>
      <c r="W55" s="883">
        <f>AE58</f>
        <v>45838</v>
      </c>
      <c r="X55" s="876"/>
      <c r="Y55" s="877"/>
      <c r="Z55" s="877">
        <f t="shared" si="70"/>
        <v>0</v>
      </c>
      <c r="AA55" s="877"/>
      <c r="AB55" s="883">
        <f>+EDATE(W55,1)</f>
        <v>45868</v>
      </c>
      <c r="AC55" s="877">
        <f t="shared" si="71"/>
        <v>0</v>
      </c>
      <c r="AD55" s="877"/>
      <c r="AE55" s="883">
        <f t="shared" ref="AE55" si="115">+EDATE(AB55,3)</f>
        <v>45960</v>
      </c>
      <c r="AF55" s="877">
        <f t="shared" si="72"/>
        <v>0</v>
      </c>
      <c r="AG55" s="877"/>
      <c r="AH55" s="883">
        <f t="shared" ref="AH55" si="116">+EDATE(AB55,4)</f>
        <v>45991</v>
      </c>
      <c r="AI55" s="877" t="str">
        <f>+IFERROR(AJ55/#REF!,"-")</f>
        <v>-</v>
      </c>
      <c r="AJ55" s="877"/>
      <c r="AK55" s="883">
        <f>+EDATE(AB55,6)+1</f>
        <v>46053</v>
      </c>
      <c r="AL55" s="922" t="str">
        <f>+IFERROR(AM55/#REF!,"-")</f>
        <v>-</v>
      </c>
      <c r="AM55" s="922"/>
      <c r="AN55" s="922"/>
      <c r="AO55" s="924">
        <f t="shared" si="75"/>
        <v>198660000</v>
      </c>
      <c r="AP55" s="924">
        <f t="shared" ref="AP55:AP58" si="117">+AS55</f>
        <v>19866000</v>
      </c>
      <c r="AQ55" s="1273" t="s">
        <v>793</v>
      </c>
      <c r="AR55" s="410"/>
      <c r="AS55" s="945">
        <f>+$AO55*'ref.지급기준 (2)'!G139</f>
        <v>19866000</v>
      </c>
      <c r="AT55" s="884">
        <f t="shared" si="76"/>
        <v>0</v>
      </c>
      <c r="AU55" s="884">
        <f>+$AO55*'ref.지급기준 (2)'!I139</f>
        <v>39732000</v>
      </c>
      <c r="AV55" s="884">
        <f t="shared" si="69"/>
        <v>0</v>
      </c>
      <c r="AW55" s="884">
        <f>+$AO55*'ref.지급기준 (2)'!K139</f>
        <v>79464000</v>
      </c>
      <c r="AX55" s="884"/>
      <c r="AY55" s="884">
        <f>+$AO55*'ref.지급기준 (2)'!M139</f>
        <v>49665000</v>
      </c>
      <c r="AZ55" s="884"/>
      <c r="BA55" s="884">
        <f>+$AO55*'ref.지급기준 (2)'!O139</f>
        <v>9933000</v>
      </c>
      <c r="BB55" s="890"/>
      <c r="BC55" s="2718" t="s">
        <v>1252</v>
      </c>
      <c r="BD55" s="393"/>
      <c r="BE55" s="393" t="b">
        <f t="shared" si="90"/>
        <v>1</v>
      </c>
      <c r="BF55" s="393"/>
      <c r="BG55" s="393"/>
      <c r="BH55" s="393"/>
      <c r="BI55" s="393"/>
      <c r="BJ55" s="393"/>
      <c r="BK55" s="393"/>
      <c r="BL55" s="393"/>
      <c r="BM55" s="393"/>
      <c r="BN55" s="393"/>
      <c r="BO55" s="408"/>
      <c r="BP55" s="408"/>
    </row>
    <row r="56" spans="1:68">
      <c r="A56" s="394"/>
      <c r="B56" s="2774"/>
      <c r="C56" s="2780"/>
      <c r="D56" s="2650"/>
      <c r="E56" s="2770"/>
      <c r="F56" s="2771"/>
      <c r="G56" s="2773"/>
      <c r="H56" s="2772"/>
      <c r="I56" s="2722"/>
      <c r="J56" s="2725"/>
      <c r="K56" s="2728"/>
      <c r="L56" s="2652"/>
      <c r="M56" s="2654"/>
      <c r="N56" s="2654"/>
      <c r="O56" s="875" t="s">
        <v>126</v>
      </c>
      <c r="P56" s="896">
        <f>+'DG-PV Organic'!AK39</f>
        <v>51600000</v>
      </c>
      <c r="Q56" s="896">
        <f>+P56*10%</f>
        <v>5160000</v>
      </c>
      <c r="R56" s="897">
        <f t="shared" si="114"/>
        <v>56760000</v>
      </c>
      <c r="S56" s="409" t="b">
        <f t="shared" si="73"/>
        <v>1</v>
      </c>
      <c r="T56" s="908">
        <f>+IFERROR(U56/R56,"-")</f>
        <v>0.3</v>
      </c>
      <c r="U56" s="909">
        <f>+IFERROR(X56+AA56+AD56+AG56+AJ56+AM56,"-")</f>
        <v>17028000</v>
      </c>
      <c r="V56" s="879">
        <f t="shared" si="74"/>
        <v>0.3</v>
      </c>
      <c r="W56" s="889">
        <v>45764</v>
      </c>
      <c r="X56" s="880">
        <f>300000000*K55/1000*30%*1.1</f>
        <v>17028000</v>
      </c>
      <c r="Y56" s="879"/>
      <c r="Z56" s="877">
        <f t="shared" si="70"/>
        <v>0</v>
      </c>
      <c r="AA56" s="886"/>
      <c r="AB56" s="883">
        <v>45808</v>
      </c>
      <c r="AC56" s="877">
        <f t="shared" si="71"/>
        <v>0</v>
      </c>
      <c r="AD56" s="877"/>
      <c r="AE56" s="883">
        <f t="shared" ref="AE56" si="118">+EDATE(AB56,1)</f>
        <v>45838</v>
      </c>
      <c r="AF56" s="877">
        <f t="shared" si="72"/>
        <v>0</v>
      </c>
      <c r="AG56" s="877"/>
      <c r="AH56" s="883">
        <f>+EDATE(AB55,12)</f>
        <v>46233</v>
      </c>
      <c r="AI56" s="877" t="str">
        <f>+IFERROR(AJ56/#REF!,"-")</f>
        <v>-</v>
      </c>
      <c r="AJ56" s="877"/>
      <c r="AK56" s="877"/>
      <c r="AL56" s="877" t="str">
        <f>+IFERROR(AM56/#REF!,"-")</f>
        <v>-</v>
      </c>
      <c r="AM56" s="877"/>
      <c r="AN56" s="877"/>
      <c r="AO56" s="884">
        <f t="shared" si="75"/>
        <v>56760000</v>
      </c>
      <c r="AP56" s="884">
        <f t="shared" si="117"/>
        <v>17028000</v>
      </c>
      <c r="AQ56" s="1274"/>
      <c r="AR56" s="410"/>
      <c r="AS56" s="945">
        <f>+$AO56*'ref.지급기준 (2)'!G140</f>
        <v>17028000</v>
      </c>
      <c r="AT56" s="884">
        <f t="shared" si="76"/>
        <v>17028000</v>
      </c>
      <c r="AU56" s="884">
        <f>+$AO56*'ref.지급기준 (2)'!I140</f>
        <v>5676000</v>
      </c>
      <c r="AV56" s="884">
        <f t="shared" si="69"/>
        <v>0</v>
      </c>
      <c r="AW56" s="884">
        <f>+$AO56*'ref.지급기준 (2)'!K140</f>
        <v>28380000</v>
      </c>
      <c r="AX56" s="884"/>
      <c r="AY56" s="884">
        <f>+$AO56*'ref.지급기준 (2)'!M140</f>
        <v>5676000</v>
      </c>
      <c r="AZ56" s="884"/>
      <c r="BA56" s="884">
        <f>+$AO56*'ref.지급기준 (2)'!O140</f>
        <v>0</v>
      </c>
      <c r="BB56" s="890"/>
      <c r="BC56" s="2719"/>
      <c r="BD56" s="393"/>
      <c r="BE56" s="393" t="b">
        <f t="shared" si="90"/>
        <v>1</v>
      </c>
      <c r="BF56" s="393"/>
      <c r="BG56" s="393"/>
      <c r="BH56" s="393"/>
      <c r="BI56" s="393"/>
      <c r="BJ56" s="393"/>
      <c r="BK56" s="393"/>
      <c r="BL56" s="393"/>
      <c r="BM56" s="393"/>
      <c r="BN56" s="393"/>
      <c r="BO56" s="408"/>
      <c r="BP56" s="408"/>
    </row>
    <row r="57" spans="1:68">
      <c r="A57" s="394"/>
      <c r="B57" s="2774"/>
      <c r="C57" s="2780"/>
      <c r="D57" s="2650"/>
      <c r="E57" s="2770"/>
      <c r="F57" s="2771"/>
      <c r="G57" s="2773"/>
      <c r="H57" s="2772"/>
      <c r="I57" s="2722"/>
      <c r="J57" s="2725"/>
      <c r="K57" s="2728"/>
      <c r="L57" s="2652"/>
      <c r="M57" s="2654"/>
      <c r="N57" s="2654"/>
      <c r="O57" s="875" t="s">
        <v>127</v>
      </c>
      <c r="P57" s="896"/>
      <c r="Q57" s="896"/>
      <c r="R57" s="897">
        <f t="shared" si="114"/>
        <v>0</v>
      </c>
      <c r="S57" s="409" t="b">
        <f t="shared" si="73"/>
        <v>1</v>
      </c>
      <c r="T57" s="908" t="str">
        <f>+IFERROR(U57/R57,"-")</f>
        <v>-</v>
      </c>
      <c r="U57" s="909">
        <f>+IFERROR(X57+AA57+AD57+AG57+AJ57+AM57,"-")</f>
        <v>0</v>
      </c>
      <c r="V57" s="877" t="str">
        <f t="shared" si="74"/>
        <v>-</v>
      </c>
      <c r="W57" s="887"/>
      <c r="X57" s="876"/>
      <c r="Y57" s="877"/>
      <c r="Z57" s="877" t="str">
        <f t="shared" si="70"/>
        <v>-</v>
      </c>
      <c r="AA57" s="877"/>
      <c r="AB57" s="883"/>
      <c r="AC57" s="877" t="str">
        <f t="shared" si="71"/>
        <v>-</v>
      </c>
      <c r="AD57" s="877"/>
      <c r="AE57" s="883"/>
      <c r="AF57" s="877" t="str">
        <f t="shared" si="72"/>
        <v>-</v>
      </c>
      <c r="AG57" s="877"/>
      <c r="AH57" s="883"/>
      <c r="AI57" s="877" t="str">
        <f>+IFERROR(AJ57/#REF!,"-")</f>
        <v>-</v>
      </c>
      <c r="AJ57" s="877"/>
      <c r="AK57" s="877"/>
      <c r="AL57" s="877" t="str">
        <f>+IFERROR(AM57/#REF!,"-")</f>
        <v>-</v>
      </c>
      <c r="AM57" s="877"/>
      <c r="AN57" s="877"/>
      <c r="AO57" s="884">
        <f t="shared" si="75"/>
        <v>0</v>
      </c>
      <c r="AP57" s="884">
        <f t="shared" si="117"/>
        <v>0</v>
      </c>
      <c r="AQ57" s="1274"/>
      <c r="AR57" s="410"/>
      <c r="AS57" s="945">
        <f>+$AO57*'ref.지급기준 (2)'!G141</f>
        <v>0</v>
      </c>
      <c r="AT57" s="884">
        <f t="shared" si="76"/>
        <v>0</v>
      </c>
      <c r="AU57" s="884">
        <f>+$AO57*'ref.지급기준 (2)'!I141</f>
        <v>0</v>
      </c>
      <c r="AV57" s="884">
        <f t="shared" si="69"/>
        <v>0</v>
      </c>
      <c r="AW57" s="884">
        <f>+$AO57*'ref.지급기준 (2)'!K141</f>
        <v>0</v>
      </c>
      <c r="AX57" s="884"/>
      <c r="AY57" s="884">
        <f>+$AO57*'ref.지급기준 (2)'!M141</f>
        <v>0</v>
      </c>
      <c r="AZ57" s="884"/>
      <c r="BA57" s="884">
        <f>+$AO57*'ref.지급기준 (2)'!O141</f>
        <v>0</v>
      </c>
      <c r="BB57" s="890"/>
      <c r="BC57" s="2719"/>
      <c r="BD57" s="393"/>
      <c r="BE57" s="393" t="b">
        <f t="shared" si="90"/>
        <v>1</v>
      </c>
      <c r="BF57" s="393"/>
      <c r="BG57" s="393"/>
      <c r="BH57" s="393"/>
      <c r="BI57" s="393"/>
      <c r="BJ57" s="393"/>
      <c r="BK57" s="393"/>
      <c r="BL57" s="393"/>
      <c r="BM57" s="393"/>
      <c r="BN57" s="393"/>
      <c r="BO57" s="408"/>
      <c r="BP57" s="408"/>
    </row>
    <row r="58" spans="1:68">
      <c r="A58" s="394"/>
      <c r="B58" s="2774"/>
      <c r="C58" s="2780"/>
      <c r="D58" s="2650"/>
      <c r="E58" s="2770"/>
      <c r="F58" s="2771"/>
      <c r="G58" s="2773"/>
      <c r="H58" s="2772"/>
      <c r="I58" s="2722"/>
      <c r="J58" s="2725"/>
      <c r="K58" s="2728"/>
      <c r="L58" s="2652"/>
      <c r="M58" s="2654"/>
      <c r="N58" s="2654"/>
      <c r="O58" s="875" t="s">
        <v>128</v>
      </c>
      <c r="P58" s="896">
        <f>+'DG-PV Organic'!AJ39</f>
        <v>25800000</v>
      </c>
      <c r="Q58" s="896">
        <f t="shared" ref="Q58" si="119">+P58*10%</f>
        <v>2580000</v>
      </c>
      <c r="R58" s="897">
        <f t="shared" si="114"/>
        <v>28380000</v>
      </c>
      <c r="S58" s="409" t="b">
        <f t="shared" si="73"/>
        <v>1</v>
      </c>
      <c r="T58" s="908">
        <f>+IFERROR(U58/R58,"-")</f>
        <v>0.3</v>
      </c>
      <c r="U58" s="909">
        <f>+IFERROR(X58+AA58+AD58+AG58+AJ58+AM58,"-")</f>
        <v>8514000</v>
      </c>
      <c r="V58" s="879">
        <f t="shared" si="74"/>
        <v>0.3</v>
      </c>
      <c r="W58" s="881">
        <v>45764</v>
      </c>
      <c r="X58" s="880">
        <f>150000000*K55/1000*30%*1.1</f>
        <v>8514000</v>
      </c>
      <c r="Y58" s="879"/>
      <c r="Z58" s="877">
        <f t="shared" si="70"/>
        <v>0</v>
      </c>
      <c r="AA58" s="877"/>
      <c r="AB58" s="883">
        <f t="shared" ref="AB58" si="120">AB56</f>
        <v>45808</v>
      </c>
      <c r="AC58" s="877">
        <f t="shared" si="71"/>
        <v>0</v>
      </c>
      <c r="AD58" s="877"/>
      <c r="AE58" s="883">
        <f t="shared" ref="AE58" si="121">AE56</f>
        <v>45838</v>
      </c>
      <c r="AF58" s="877">
        <f t="shared" si="72"/>
        <v>0</v>
      </c>
      <c r="AG58" s="877"/>
      <c r="AH58" s="883">
        <f t="shared" ref="AH58" si="122">AH56</f>
        <v>46233</v>
      </c>
      <c r="AI58" s="877" t="str">
        <f>+IFERROR(AJ58/#REF!,"-")</f>
        <v>-</v>
      </c>
      <c r="AJ58" s="877"/>
      <c r="AK58" s="877"/>
      <c r="AL58" s="877" t="str">
        <f>+IFERROR(AM58/#REF!,"-")</f>
        <v>-</v>
      </c>
      <c r="AM58" s="877"/>
      <c r="AN58" s="877"/>
      <c r="AO58" s="884">
        <f t="shared" si="75"/>
        <v>28380000</v>
      </c>
      <c r="AP58" s="884">
        <f t="shared" si="117"/>
        <v>8514000</v>
      </c>
      <c r="AQ58" s="1274"/>
      <c r="AR58" s="410"/>
      <c r="AS58" s="945">
        <f>+$AO58*'ref.지급기준 (2)'!G142</f>
        <v>8514000</v>
      </c>
      <c r="AT58" s="884">
        <f t="shared" si="76"/>
        <v>8514000</v>
      </c>
      <c r="AU58" s="884">
        <f>+$AO58*'ref.지급기준 (2)'!I142</f>
        <v>2838000</v>
      </c>
      <c r="AV58" s="884">
        <f t="shared" si="69"/>
        <v>0</v>
      </c>
      <c r="AW58" s="884">
        <f>+$AO58*'ref.지급기준 (2)'!K142</f>
        <v>14190000</v>
      </c>
      <c r="AX58" s="884"/>
      <c r="AY58" s="884">
        <f>+$AO58*'ref.지급기준 (2)'!M142</f>
        <v>2838000</v>
      </c>
      <c r="AZ58" s="884"/>
      <c r="BA58" s="884">
        <f>+$AO58*'ref.지급기준 (2)'!O142</f>
        <v>0</v>
      </c>
      <c r="BB58" s="890"/>
      <c r="BC58" s="2719"/>
      <c r="BD58" s="393"/>
      <c r="BE58" s="393" t="b">
        <f t="shared" si="90"/>
        <v>1</v>
      </c>
      <c r="BF58" s="393"/>
      <c r="BG58" s="393"/>
      <c r="BH58" s="393"/>
      <c r="BI58" s="393"/>
      <c r="BJ58" s="393"/>
      <c r="BK58" s="393"/>
      <c r="BL58" s="393"/>
      <c r="BM58" s="393"/>
      <c r="BN58" s="393"/>
      <c r="BO58" s="408"/>
      <c r="BP58" s="408"/>
    </row>
    <row r="59" spans="1:68">
      <c r="A59" s="394"/>
      <c r="B59" s="2774"/>
      <c r="C59" s="2780"/>
      <c r="D59" s="2650"/>
      <c r="E59" s="2770"/>
      <c r="F59" s="2771"/>
      <c r="G59" s="2773"/>
      <c r="H59" s="2772"/>
      <c r="I59" s="2723"/>
      <c r="J59" s="2726"/>
      <c r="K59" s="2729"/>
      <c r="L59" s="2653"/>
      <c r="M59" s="2655"/>
      <c r="N59" s="2655"/>
      <c r="O59" s="999" t="s">
        <v>129</v>
      </c>
      <c r="P59" s="900">
        <f>+'DG-PV Organic'!AI39</f>
        <v>30100000</v>
      </c>
      <c r="Q59" s="900">
        <f>+P59*0.1</f>
        <v>3010000</v>
      </c>
      <c r="R59" s="901">
        <f>SUM(P59:Q59)</f>
        <v>33110000</v>
      </c>
      <c r="S59" s="1275" t="b">
        <f t="shared" si="73"/>
        <v>1</v>
      </c>
      <c r="T59" s="910"/>
      <c r="U59" s="911"/>
      <c r="V59" s="910">
        <f t="shared" si="74"/>
        <v>0</v>
      </c>
      <c r="W59" s="926"/>
      <c r="X59" s="926"/>
      <c r="Y59" s="926"/>
      <c r="Z59" s="926">
        <f t="shared" si="70"/>
        <v>0</v>
      </c>
      <c r="AA59" s="926"/>
      <c r="AB59" s="927"/>
      <c r="AC59" s="926">
        <f t="shared" si="71"/>
        <v>0</v>
      </c>
      <c r="AD59" s="926"/>
      <c r="AE59" s="927"/>
      <c r="AF59" s="926">
        <f t="shared" si="72"/>
        <v>0</v>
      </c>
      <c r="AG59" s="926"/>
      <c r="AH59" s="927"/>
      <c r="AI59" s="926" t="str">
        <f>+IFERROR(AJ59/#REF!,"-")</f>
        <v>-</v>
      </c>
      <c r="AJ59" s="926"/>
      <c r="AK59" s="926"/>
      <c r="AL59" s="926"/>
      <c r="AM59" s="926"/>
      <c r="AN59" s="926"/>
      <c r="AO59" s="928">
        <f t="shared" si="75"/>
        <v>33110000</v>
      </c>
      <c r="AP59" s="928">
        <f>+AS59+AU59</f>
        <v>33110000</v>
      </c>
      <c r="AQ59" s="1276"/>
      <c r="AR59" s="410"/>
      <c r="AS59" s="947">
        <f>+$AO59*'ref.지급기준 (2)'!G143</f>
        <v>33110000</v>
      </c>
      <c r="AT59" s="928">
        <f t="shared" si="76"/>
        <v>0</v>
      </c>
      <c r="AU59" s="928">
        <f>+$AO59*'ref.지급기준 (2)'!I143</f>
        <v>0</v>
      </c>
      <c r="AV59" s="928">
        <f t="shared" si="69"/>
        <v>0</v>
      </c>
      <c r="AW59" s="928">
        <f>+$AO59*'ref.지급기준 (2)'!K143</f>
        <v>0</v>
      </c>
      <c r="AX59" s="928"/>
      <c r="AY59" s="928">
        <f>+$AO59*'ref.지급기준 (2)'!M143</f>
        <v>0</v>
      </c>
      <c r="AZ59" s="928"/>
      <c r="BA59" s="928">
        <f>+$AO59*'ref.지급기준 (2)'!O143</f>
        <v>0</v>
      </c>
      <c r="BB59" s="997"/>
      <c r="BC59" s="2720"/>
      <c r="BD59" s="393"/>
      <c r="BE59" s="393" t="b">
        <f t="shared" si="90"/>
        <v>1</v>
      </c>
      <c r="BF59" s="393"/>
      <c r="BG59" s="393"/>
      <c r="BH59" s="393"/>
      <c r="BI59" s="393"/>
      <c r="BJ59" s="393"/>
      <c r="BK59" s="393"/>
      <c r="BL59" s="393"/>
      <c r="BM59" s="393"/>
      <c r="BN59" s="393"/>
      <c r="BO59" s="408"/>
      <c r="BP59" s="408"/>
    </row>
    <row r="60" spans="1:68" ht="16.5" customHeight="1" outlineLevel="1">
      <c r="A60" s="394"/>
      <c r="B60" s="2774"/>
      <c r="C60" s="2780"/>
      <c r="D60" s="2650"/>
      <c r="E60" s="2770"/>
      <c r="F60" s="2771"/>
      <c r="G60" s="2773"/>
      <c r="H60" s="2773"/>
      <c r="I60" s="2731"/>
      <c r="J60" s="2725"/>
      <c r="K60" s="2728"/>
      <c r="L60" s="2652"/>
      <c r="M60" s="2654"/>
      <c r="N60" s="2654" t="s">
        <v>1213</v>
      </c>
      <c r="O60" s="891" t="s">
        <v>125</v>
      </c>
      <c r="P60" s="902">
        <f>+P5+P10+P15+P20+P25+P30+P35+P40+P45+P50+P55</f>
        <v>4357542000</v>
      </c>
      <c r="Q60" s="902">
        <f>+P60*10%</f>
        <v>435754200</v>
      </c>
      <c r="R60" s="903">
        <f t="shared" si="0"/>
        <v>4793296200</v>
      </c>
      <c r="S60" s="409" t="b">
        <f t="shared" si="73"/>
        <v>1</v>
      </c>
      <c r="T60" s="1594">
        <f>+IFERROR(U60/R60,"-")</f>
        <v>0</v>
      </c>
      <c r="U60" s="1596">
        <f>+U5+U10+U15+U20+U25+U30+U35+U40+U45+U50+U55</f>
        <v>0</v>
      </c>
      <c r="V60" s="983">
        <f t="shared" si="74"/>
        <v>0</v>
      </c>
      <c r="W60" s="992">
        <v>45716</v>
      </c>
      <c r="X60" s="1596">
        <f>+X5+X10+X15+X20+X25+X30+X35+X40+X45+X50+X55</f>
        <v>0</v>
      </c>
      <c r="Y60" s="912"/>
      <c r="Z60" s="912">
        <f t="shared" si="12"/>
        <v>0</v>
      </c>
      <c r="AA60" s="1596">
        <f>+AA5+AA10+AA15+AA20+AA25+AA30+AA35+AA40+AA45+AA50+AA55</f>
        <v>0</v>
      </c>
      <c r="AB60" s="916">
        <f>+EDATE(W60,1)</f>
        <v>45744</v>
      </c>
      <c r="AC60" s="912">
        <f t="shared" si="13"/>
        <v>0</v>
      </c>
      <c r="AD60" s="1596">
        <f>+AD5+AD10+AD15+AD20+AD25+AD30+AD35+AD40+AD45+AD50+AD55</f>
        <v>0</v>
      </c>
      <c r="AE60" s="916">
        <f t="shared" ref="AE60" si="123">+EDATE(AB60,3)</f>
        <v>45836</v>
      </c>
      <c r="AF60" s="912">
        <f t="shared" si="14"/>
        <v>0</v>
      </c>
      <c r="AG60" s="1596">
        <f>+AG5+AG10+AG15+AG20+AG25+AG30+AG35+AG40+AG45+AG50+AG55</f>
        <v>0</v>
      </c>
      <c r="AH60" s="916">
        <f t="shared" ref="AH60" si="124">+EDATE(AB60,4)</f>
        <v>45866</v>
      </c>
      <c r="AI60" s="912" t="str">
        <f>+IFERROR(AJ60/#REF!,"-")</f>
        <v>-</v>
      </c>
      <c r="AJ60" s="1596">
        <f>+AJ5+AJ10+AJ15+AJ20+AJ25+AJ30+AJ35+AJ40+AJ45+AJ50+AJ55</f>
        <v>0</v>
      </c>
      <c r="AK60" s="916">
        <f t="shared" ref="AK60" si="125">+EDATE(AB60,6)</f>
        <v>45928</v>
      </c>
      <c r="AL60" s="912" t="str">
        <f>+IFERROR(AM60/#REF!,"-")</f>
        <v>-</v>
      </c>
      <c r="AM60" s="912"/>
      <c r="AN60" s="912"/>
      <c r="AO60" s="920">
        <f t="shared" si="75"/>
        <v>4793296200</v>
      </c>
      <c r="AP60" s="920">
        <f t="shared" si="9"/>
        <v>479329620</v>
      </c>
      <c r="AQ60" s="993" t="s">
        <v>793</v>
      </c>
      <c r="AR60" s="410"/>
      <c r="AS60" s="945">
        <f>+$AO60*'ref.지급기준 (2)'!G99</f>
        <v>479329620</v>
      </c>
      <c r="AT60" s="884">
        <f t="shared" si="76"/>
        <v>0</v>
      </c>
      <c r="AU60" s="884">
        <f>+$AO60*'ref.지급기준 (2)'!I99</f>
        <v>958659240</v>
      </c>
      <c r="AV60" s="884">
        <f t="shared" si="11"/>
        <v>0</v>
      </c>
      <c r="AW60" s="884">
        <f>+$AO60*'ref.지급기준 (2)'!K99</f>
        <v>1917318480</v>
      </c>
      <c r="AX60" s="884"/>
      <c r="AY60" s="884">
        <f>+$AO60*'ref.지급기준 (2)'!M99</f>
        <v>1198324050</v>
      </c>
      <c r="AZ60" s="884"/>
      <c r="BA60" s="884">
        <f>+$AO60*'ref.지급기준 (2)'!O99</f>
        <v>239664810</v>
      </c>
      <c r="BB60" s="890"/>
      <c r="BC60" s="2718" t="s">
        <v>1252</v>
      </c>
      <c r="BD60" s="393"/>
      <c r="BE60" s="393" t="b">
        <f t="shared" si="90"/>
        <v>1</v>
      </c>
      <c r="BF60" s="393"/>
      <c r="BG60" s="393"/>
      <c r="BH60" s="393"/>
      <c r="BI60" s="393"/>
      <c r="BJ60" s="393"/>
      <c r="BK60" s="393"/>
      <c r="BL60" s="393"/>
      <c r="BM60" s="393"/>
      <c r="BN60" s="393"/>
      <c r="BO60" s="408"/>
      <c r="BP60" s="408"/>
    </row>
    <row r="61" spans="1:68" outlineLevel="1">
      <c r="A61" s="394"/>
      <c r="B61" s="2774"/>
      <c r="C61" s="2780"/>
      <c r="D61" s="2650"/>
      <c r="E61" s="2770"/>
      <c r="F61" s="2771"/>
      <c r="G61" s="2773"/>
      <c r="H61" s="2773"/>
      <c r="I61" s="2731"/>
      <c r="J61" s="2725"/>
      <c r="K61" s="2728"/>
      <c r="L61" s="2652"/>
      <c r="M61" s="2654"/>
      <c r="N61" s="2654"/>
      <c r="O61" s="875" t="s">
        <v>126</v>
      </c>
      <c r="P61" s="896">
        <f t="shared" ref="P61:P64" si="126">+P6+P11+P16+P21+P26+P31+P36+P41+P46+P51+P56</f>
        <v>1245012000</v>
      </c>
      <c r="Q61" s="896">
        <f>+P61*10%</f>
        <v>124501200</v>
      </c>
      <c r="R61" s="897">
        <f t="shared" si="0"/>
        <v>1369513200</v>
      </c>
      <c r="S61" s="409" t="b">
        <f t="shared" si="73"/>
        <v>1</v>
      </c>
      <c r="T61" s="1015">
        <f>+IFERROR(U61/R61,"-")</f>
        <v>0.14103478520688958</v>
      </c>
      <c r="U61" s="1597">
        <f t="shared" ref="U61:U64" si="127">+U6+U11+U16+U21+U26+U31+U36+U41+U46+U51+U56</f>
        <v>193149000</v>
      </c>
      <c r="V61" s="908">
        <f t="shared" si="74"/>
        <v>0.14103478520688958</v>
      </c>
      <c r="W61" s="919">
        <v>45703</v>
      </c>
      <c r="X61" s="1597">
        <f t="shared" ref="X61:X64" si="128">+X6+X11+X16+X21+X26+X31+X36+X41+X46+X51+X56</f>
        <v>193149000</v>
      </c>
      <c r="Y61" s="877"/>
      <c r="Z61" s="877">
        <f t="shared" si="12"/>
        <v>0</v>
      </c>
      <c r="AA61" s="1597">
        <f t="shared" ref="AA61:AA64" si="129">+AA6+AA11+AA16+AA21+AA26+AA31+AA36+AA41+AA46+AA51+AA56</f>
        <v>0</v>
      </c>
      <c r="AB61" s="883">
        <v>45808</v>
      </c>
      <c r="AC61" s="877">
        <f t="shared" si="13"/>
        <v>0</v>
      </c>
      <c r="AD61" s="1597">
        <f t="shared" ref="AD61:AD64" si="130">+AD6+AD11+AD16+AD21+AD26+AD31+AD36+AD41+AD46+AD51+AD56</f>
        <v>0</v>
      </c>
      <c r="AE61" s="883">
        <f t="shared" ref="AE61" si="131">+EDATE(AB61,1)</f>
        <v>45838</v>
      </c>
      <c r="AF61" s="877">
        <f t="shared" si="14"/>
        <v>0</v>
      </c>
      <c r="AG61" s="1597">
        <f t="shared" ref="AG61:AG64" si="132">+AG6+AG11+AG16+AG21+AG26+AG31+AG36+AG41+AG46+AG51+AG56</f>
        <v>0</v>
      </c>
      <c r="AH61" s="883">
        <f t="shared" ref="AH61" si="133">+EDATE(AB60,6)</f>
        <v>45928</v>
      </c>
      <c r="AI61" s="877" t="str">
        <f>+IFERROR(AJ61/#REF!,"-")</f>
        <v>-</v>
      </c>
      <c r="AJ61" s="1597">
        <f t="shared" ref="AJ61:AJ64" si="134">+AJ6+AJ11+AJ16+AJ21+AJ26+AJ31+AJ36+AJ41+AJ46+AJ51+AJ56</f>
        <v>0</v>
      </c>
      <c r="AK61" s="877"/>
      <c r="AL61" s="877" t="str">
        <f>+IFERROR(AM61/#REF!,"-")</f>
        <v>-</v>
      </c>
      <c r="AM61" s="877"/>
      <c r="AN61" s="877"/>
      <c r="AO61" s="884">
        <f t="shared" si="75"/>
        <v>1369513200</v>
      </c>
      <c r="AP61" s="884">
        <f t="shared" si="9"/>
        <v>410853960</v>
      </c>
      <c r="AQ61" s="888"/>
      <c r="AR61" s="410"/>
      <c r="AS61" s="945">
        <f>+$AO61*'ref.지급기준 (2)'!G100</f>
        <v>410853960</v>
      </c>
      <c r="AT61" s="884">
        <f t="shared" si="76"/>
        <v>193149000</v>
      </c>
      <c r="AU61" s="884">
        <f>+$AO61*'ref.지급기준 (2)'!I100</f>
        <v>136951320</v>
      </c>
      <c r="AV61" s="884">
        <f t="shared" si="11"/>
        <v>0</v>
      </c>
      <c r="AW61" s="884">
        <f>+$AO61*'ref.지급기준 (2)'!K100</f>
        <v>684756600</v>
      </c>
      <c r="AX61" s="884"/>
      <c r="AY61" s="884">
        <f>+$AO61*'ref.지급기준 (2)'!M100</f>
        <v>136951320</v>
      </c>
      <c r="AZ61" s="884"/>
      <c r="BA61" s="884">
        <f>+$AO61*'ref.지급기준 (2)'!O100</f>
        <v>0</v>
      </c>
      <c r="BB61" s="890"/>
      <c r="BC61" s="2719"/>
      <c r="BD61" s="393"/>
      <c r="BE61" s="393" t="b">
        <f t="shared" si="90"/>
        <v>1</v>
      </c>
      <c r="BF61" s="393"/>
      <c r="BG61" s="393"/>
      <c r="BH61" s="393"/>
      <c r="BI61" s="393"/>
      <c r="BJ61" s="393"/>
      <c r="BK61" s="393"/>
      <c r="BL61" s="393"/>
      <c r="BM61" s="393"/>
      <c r="BN61" s="393"/>
      <c r="BO61" s="408"/>
      <c r="BP61" s="408"/>
    </row>
    <row r="62" spans="1:68" outlineLevel="1">
      <c r="A62" s="394"/>
      <c r="B62" s="2774"/>
      <c r="C62" s="2780"/>
      <c r="D62" s="2650"/>
      <c r="E62" s="2770"/>
      <c r="F62" s="2771"/>
      <c r="G62" s="2773"/>
      <c r="H62" s="2773"/>
      <c r="I62" s="2731"/>
      <c r="J62" s="2725"/>
      <c r="K62" s="2728"/>
      <c r="L62" s="2652"/>
      <c r="M62" s="2654"/>
      <c r="N62" s="2654"/>
      <c r="O62" s="875" t="s">
        <v>127</v>
      </c>
      <c r="P62" s="896" t="e">
        <f t="shared" si="126"/>
        <v>#REF!</v>
      </c>
      <c r="Q62" s="896"/>
      <c r="R62" s="897" t="e">
        <f t="shared" si="0"/>
        <v>#REF!</v>
      </c>
      <c r="S62" s="409" t="e">
        <f t="shared" si="73"/>
        <v>#REF!</v>
      </c>
      <c r="T62" s="1015" t="str">
        <f>+IFERROR(U62/R62,"-")</f>
        <v>-</v>
      </c>
      <c r="U62" s="1597">
        <f t="shared" si="127"/>
        <v>0</v>
      </c>
      <c r="V62" s="908" t="str">
        <f t="shared" si="74"/>
        <v>-</v>
      </c>
      <c r="W62" s="919">
        <f>W61</f>
        <v>45703</v>
      </c>
      <c r="X62" s="1597">
        <f t="shared" si="128"/>
        <v>0</v>
      </c>
      <c r="Y62" s="877"/>
      <c r="Z62" s="877" t="str">
        <f t="shared" si="12"/>
        <v>-</v>
      </c>
      <c r="AA62" s="1597">
        <f t="shared" si="129"/>
        <v>0</v>
      </c>
      <c r="AB62" s="883"/>
      <c r="AC62" s="877" t="str">
        <f t="shared" si="13"/>
        <v>-</v>
      </c>
      <c r="AD62" s="1597">
        <f t="shared" si="130"/>
        <v>0</v>
      </c>
      <c r="AE62" s="883"/>
      <c r="AF62" s="877" t="str">
        <f t="shared" si="14"/>
        <v>-</v>
      </c>
      <c r="AG62" s="1597">
        <f t="shared" si="132"/>
        <v>0</v>
      </c>
      <c r="AH62" s="883"/>
      <c r="AI62" s="877" t="str">
        <f>+IFERROR(AJ62/#REF!,"-")</f>
        <v>-</v>
      </c>
      <c r="AJ62" s="1597">
        <f t="shared" si="134"/>
        <v>0</v>
      </c>
      <c r="AK62" s="877"/>
      <c r="AL62" s="877" t="str">
        <f>+IFERROR(AM62/#REF!,"-")</f>
        <v>-</v>
      </c>
      <c r="AM62" s="877"/>
      <c r="AN62" s="877"/>
      <c r="AO62" s="884" t="e">
        <f t="shared" si="75"/>
        <v>#REF!</v>
      </c>
      <c r="AP62" s="884" t="e">
        <f t="shared" si="9"/>
        <v>#REF!</v>
      </c>
      <c r="AQ62" s="888"/>
      <c r="AR62" s="410"/>
      <c r="AS62" s="945" t="e">
        <f>+$AO62*'ref.지급기준 (2)'!G101</f>
        <v>#REF!</v>
      </c>
      <c r="AT62" s="884">
        <f t="shared" si="76"/>
        <v>0</v>
      </c>
      <c r="AU62" s="884" t="e">
        <f>+$AO62*'ref.지급기준 (2)'!I101</f>
        <v>#REF!</v>
      </c>
      <c r="AV62" s="884">
        <f t="shared" si="11"/>
        <v>0</v>
      </c>
      <c r="AW62" s="884" t="e">
        <f>+$AO62*'ref.지급기준 (2)'!K101</f>
        <v>#REF!</v>
      </c>
      <c r="AX62" s="884"/>
      <c r="AY62" s="884" t="e">
        <f>+$AO62*'ref.지급기준 (2)'!M101</f>
        <v>#REF!</v>
      </c>
      <c r="AZ62" s="884"/>
      <c r="BA62" s="884" t="e">
        <f>+$AO62*'ref.지급기준 (2)'!O101</f>
        <v>#REF!</v>
      </c>
      <c r="BB62" s="890"/>
      <c r="BC62" s="2719"/>
      <c r="BD62" s="393"/>
      <c r="BE62" s="393" t="e">
        <f t="shared" si="90"/>
        <v>#REF!</v>
      </c>
      <c r="BF62" s="393"/>
      <c r="BG62" s="393"/>
      <c r="BH62" s="393"/>
      <c r="BI62" s="393"/>
      <c r="BJ62" s="393"/>
      <c r="BK62" s="393"/>
      <c r="BL62" s="393"/>
      <c r="BM62" s="393"/>
      <c r="BN62" s="393"/>
      <c r="BO62" s="408"/>
      <c r="BP62" s="408"/>
    </row>
    <row r="63" spans="1:68" ht="16.5" customHeight="1" outlineLevel="1">
      <c r="A63" s="394"/>
      <c r="B63" s="2774"/>
      <c r="C63" s="2780"/>
      <c r="D63" s="2650"/>
      <c r="E63" s="2770"/>
      <c r="F63" s="2771"/>
      <c r="G63" s="2773"/>
      <c r="H63" s="2773"/>
      <c r="I63" s="2731"/>
      <c r="J63" s="2725"/>
      <c r="K63" s="2728"/>
      <c r="L63" s="2652"/>
      <c r="M63" s="2654"/>
      <c r="N63" s="2654"/>
      <c r="O63" s="875" t="s">
        <v>128</v>
      </c>
      <c r="P63" s="896">
        <f t="shared" si="126"/>
        <v>477806000</v>
      </c>
      <c r="Q63" s="896">
        <f t="shared" ref="Q63" si="135">+P63*10%</f>
        <v>47780600</v>
      </c>
      <c r="R63" s="897">
        <f t="shared" si="0"/>
        <v>525586600</v>
      </c>
      <c r="S63" s="409" t="b">
        <f t="shared" si="73"/>
        <v>1</v>
      </c>
      <c r="T63" s="1015">
        <f>+IFERROR(U63/R63,"-")</f>
        <v>9.2893350020719703E-2</v>
      </c>
      <c r="U63" s="1597">
        <f t="shared" si="127"/>
        <v>48823500</v>
      </c>
      <c r="V63" s="908">
        <f t="shared" si="74"/>
        <v>9.2893350020719703E-2</v>
      </c>
      <c r="W63" s="919">
        <f>W61</f>
        <v>45703</v>
      </c>
      <c r="X63" s="1597">
        <f t="shared" si="128"/>
        <v>48823500</v>
      </c>
      <c r="Y63" s="877"/>
      <c r="Z63" s="877">
        <f t="shared" si="12"/>
        <v>0</v>
      </c>
      <c r="AA63" s="1597">
        <f t="shared" si="129"/>
        <v>0</v>
      </c>
      <c r="AB63" s="883">
        <f t="shared" ref="AB63" si="136">AB61</f>
        <v>45808</v>
      </c>
      <c r="AC63" s="877">
        <f t="shared" si="13"/>
        <v>0</v>
      </c>
      <c r="AD63" s="1597">
        <f t="shared" si="130"/>
        <v>0</v>
      </c>
      <c r="AE63" s="883">
        <f t="shared" ref="AE63" si="137">AE61</f>
        <v>45838</v>
      </c>
      <c r="AF63" s="877">
        <f t="shared" si="14"/>
        <v>0</v>
      </c>
      <c r="AG63" s="1597">
        <f t="shared" si="132"/>
        <v>0</v>
      </c>
      <c r="AH63" s="883">
        <f t="shared" ref="AH63" si="138">AH61</f>
        <v>45928</v>
      </c>
      <c r="AI63" s="877" t="str">
        <f>+IFERROR(AJ63/#REF!,"-")</f>
        <v>-</v>
      </c>
      <c r="AJ63" s="1597">
        <f t="shared" si="134"/>
        <v>0</v>
      </c>
      <c r="AK63" s="877"/>
      <c r="AL63" s="877" t="str">
        <f>+IFERROR(AM63/#REF!,"-")</f>
        <v>-</v>
      </c>
      <c r="AM63" s="877"/>
      <c r="AN63" s="877"/>
      <c r="AO63" s="884">
        <f t="shared" si="75"/>
        <v>525586600</v>
      </c>
      <c r="AP63" s="884">
        <f t="shared" si="9"/>
        <v>157675980</v>
      </c>
      <c r="AQ63" s="888"/>
      <c r="AR63" s="410"/>
      <c r="AS63" s="945">
        <f>+$AO63*'ref.지급기준 (2)'!G102</f>
        <v>157675980</v>
      </c>
      <c r="AT63" s="884">
        <f t="shared" si="76"/>
        <v>48823500</v>
      </c>
      <c r="AU63" s="884">
        <f>+$AO63*'ref.지급기준 (2)'!I102</f>
        <v>52558660</v>
      </c>
      <c r="AV63" s="884">
        <f t="shared" si="11"/>
        <v>0</v>
      </c>
      <c r="AW63" s="884">
        <f>+$AO63*'ref.지급기준 (2)'!K102</f>
        <v>262793300</v>
      </c>
      <c r="AX63" s="884"/>
      <c r="AY63" s="884">
        <f>+$AO63*'ref.지급기준 (2)'!M102</f>
        <v>52558660</v>
      </c>
      <c r="AZ63" s="884"/>
      <c r="BA63" s="884">
        <f>+$AO63*'ref.지급기준 (2)'!O102</f>
        <v>0</v>
      </c>
      <c r="BB63" s="890"/>
      <c r="BC63" s="2719"/>
      <c r="BD63" s="393"/>
      <c r="BE63" s="393" t="b">
        <f t="shared" si="90"/>
        <v>1</v>
      </c>
      <c r="BF63" s="393"/>
      <c r="BG63" s="393"/>
      <c r="BH63" s="393"/>
      <c r="BI63" s="393"/>
      <c r="BJ63" s="393"/>
      <c r="BK63" s="393"/>
      <c r="BL63" s="393"/>
      <c r="BM63" s="393"/>
      <c r="BN63" s="393"/>
      <c r="BO63" s="408"/>
      <c r="BP63" s="408"/>
    </row>
    <row r="64" spans="1:68" ht="16.5" customHeight="1" outlineLevel="1" thickBot="1">
      <c r="A64" s="394"/>
      <c r="B64" s="2774"/>
      <c r="C64" s="2781"/>
      <c r="D64" s="2650"/>
      <c r="E64" s="2770"/>
      <c r="F64" s="2771"/>
      <c r="G64" s="2773"/>
      <c r="H64" s="2773"/>
      <c r="I64" s="2731"/>
      <c r="J64" s="2725"/>
      <c r="K64" s="2728"/>
      <c r="L64" s="2652"/>
      <c r="M64" s="2654"/>
      <c r="N64" s="2654"/>
      <c r="O64" s="892" t="s">
        <v>129</v>
      </c>
      <c r="P64" s="898">
        <f t="shared" si="126"/>
        <v>731507000</v>
      </c>
      <c r="Q64" s="898">
        <f>+P64*0.1</f>
        <v>73150700</v>
      </c>
      <c r="R64" s="899">
        <f>SUM(P64:Q64)</f>
        <v>804657700</v>
      </c>
      <c r="S64" s="409" t="b">
        <f t="shared" si="73"/>
        <v>1</v>
      </c>
      <c r="T64" s="1595"/>
      <c r="U64" s="1598">
        <f t="shared" si="127"/>
        <v>0</v>
      </c>
      <c r="V64" s="936">
        <f t="shared" si="74"/>
        <v>0</v>
      </c>
      <c r="W64" s="937"/>
      <c r="X64" s="1598">
        <f t="shared" si="128"/>
        <v>0</v>
      </c>
      <c r="Y64" s="937"/>
      <c r="Z64" s="937">
        <f t="shared" si="12"/>
        <v>0</v>
      </c>
      <c r="AA64" s="1598">
        <f t="shared" si="129"/>
        <v>0</v>
      </c>
      <c r="AB64" s="938"/>
      <c r="AC64" s="937">
        <f t="shared" si="13"/>
        <v>0</v>
      </c>
      <c r="AD64" s="1598">
        <f t="shared" si="130"/>
        <v>0</v>
      </c>
      <c r="AE64" s="938"/>
      <c r="AF64" s="937">
        <f t="shared" si="14"/>
        <v>0</v>
      </c>
      <c r="AG64" s="1598">
        <f t="shared" si="132"/>
        <v>0</v>
      </c>
      <c r="AH64" s="938"/>
      <c r="AI64" s="937" t="str">
        <f>+IFERROR(AJ64/#REF!,"-")</f>
        <v>-</v>
      </c>
      <c r="AJ64" s="1598">
        <f t="shared" si="134"/>
        <v>0</v>
      </c>
      <c r="AK64" s="937"/>
      <c r="AL64" s="937"/>
      <c r="AM64" s="937"/>
      <c r="AN64" s="937"/>
      <c r="AO64" s="939">
        <f t="shared" si="75"/>
        <v>804657700</v>
      </c>
      <c r="AP64" s="939">
        <f>+AS64+AU64</f>
        <v>804657700</v>
      </c>
      <c r="AQ64" s="940"/>
      <c r="AR64" s="410"/>
      <c r="AS64" s="947">
        <f>+$AO64*'ref.지급기준 (2)'!G103</f>
        <v>804657700</v>
      </c>
      <c r="AT64" s="928">
        <f t="shared" si="76"/>
        <v>0</v>
      </c>
      <c r="AU64" s="928">
        <f>+$AO64*'ref.지급기준 (2)'!I103</f>
        <v>0</v>
      </c>
      <c r="AV64" s="928">
        <f t="shared" ref="AV64" si="139">+AA64</f>
        <v>0</v>
      </c>
      <c r="AW64" s="928">
        <f>+$AO64*'ref.지급기준 (2)'!K103</f>
        <v>0</v>
      </c>
      <c r="AX64" s="928"/>
      <c r="AY64" s="928">
        <f>+$AO64*'ref.지급기준 (2)'!M103</f>
        <v>0</v>
      </c>
      <c r="AZ64" s="928"/>
      <c r="BA64" s="928">
        <f>+$AO64*'ref.지급기준 (2)'!O103</f>
        <v>0</v>
      </c>
      <c r="BB64" s="997"/>
      <c r="BC64" s="2720"/>
      <c r="BD64" s="393"/>
      <c r="BE64" s="393" t="b">
        <f t="shared" si="90"/>
        <v>1</v>
      </c>
      <c r="BF64" s="393"/>
      <c r="BG64" s="393"/>
      <c r="BH64" s="393"/>
      <c r="BI64" s="393"/>
      <c r="BJ64" s="393"/>
      <c r="BK64" s="393"/>
      <c r="BL64" s="393"/>
      <c r="BM64" s="393"/>
      <c r="BN64" s="393"/>
      <c r="BO64" s="408"/>
      <c r="BP64" s="408"/>
    </row>
    <row r="65" spans="1:68" ht="16.5" customHeight="1">
      <c r="A65" s="394"/>
      <c r="B65" s="2733">
        <v>3</v>
      </c>
      <c r="C65" s="2735" t="s">
        <v>1265</v>
      </c>
      <c r="D65" s="2737" t="s">
        <v>1266</v>
      </c>
      <c r="E65" s="2759" t="s">
        <v>1267</v>
      </c>
      <c r="F65" s="2762" t="s">
        <v>1268</v>
      </c>
      <c r="G65" s="2737">
        <f>SUBTOTAL(103,I65:I109)</f>
        <v>8</v>
      </c>
      <c r="H65" s="2737" t="s">
        <v>1249</v>
      </c>
      <c r="I65" s="2732" t="s">
        <v>1269</v>
      </c>
      <c r="J65" s="2747" t="s">
        <v>1270</v>
      </c>
      <c r="K65" s="2714">
        <f>+'ref.지급기준 (2)'!D159</f>
        <v>3065.3</v>
      </c>
      <c r="L65" s="2730">
        <f>+'DG-PV Organic'!H13</f>
        <v>9.0700000000000003E-2</v>
      </c>
      <c r="M65" s="2717">
        <f>+'DG-PV Organic'!J13</f>
        <v>9.2999999999999999E-2</v>
      </c>
      <c r="N65" s="2717" t="s">
        <v>1257</v>
      </c>
      <c r="O65" s="893" t="s">
        <v>125</v>
      </c>
      <c r="P65" s="904">
        <f>+'ref.지급기준 (2)'!F159*'ref.지급기준 (2)'!D159/'ref.지급기준 (2)'!$Q$2</f>
        <v>3218565000</v>
      </c>
      <c r="Q65" s="904">
        <f>+P65*10%</f>
        <v>321856500</v>
      </c>
      <c r="R65" s="905">
        <f t="shared" ref="R65:R143" si="140">SUM(P65:Q65)</f>
        <v>3540421500</v>
      </c>
      <c r="S65" s="874" t="b">
        <f t="shared" si="73"/>
        <v>1</v>
      </c>
      <c r="T65" s="983">
        <f>+IFERROR(U65/R65,"-")</f>
        <v>0</v>
      </c>
      <c r="U65" s="984">
        <f>+IFERROR(X65+AA65+AD65+AG65+AJ65+AM65,"-")</f>
        <v>0</v>
      </c>
      <c r="V65" s="983">
        <f t="shared" si="74"/>
        <v>0</v>
      </c>
      <c r="W65" s="883">
        <f>AE68</f>
        <v>45869</v>
      </c>
      <c r="X65" s="991"/>
      <c r="Y65" s="912"/>
      <c r="Z65" s="877">
        <f t="shared" si="12"/>
        <v>0</v>
      </c>
      <c r="AA65" s="877"/>
      <c r="AB65" s="883">
        <f>+EDATE(W65,1)</f>
        <v>45900</v>
      </c>
      <c r="AC65" s="877">
        <f t="shared" si="13"/>
        <v>0</v>
      </c>
      <c r="AD65" s="877"/>
      <c r="AE65" s="883">
        <f t="shared" ref="AE65" si="141">+EDATE(AB65,3)</f>
        <v>45991</v>
      </c>
      <c r="AF65" s="877">
        <f t="shared" si="14"/>
        <v>0</v>
      </c>
      <c r="AG65" s="877"/>
      <c r="AH65" s="883">
        <f t="shared" ref="AH65" si="142">+EDATE(AB65,4)</f>
        <v>46022</v>
      </c>
      <c r="AI65" s="877" t="str">
        <f>+IFERROR(AJ65/#REF!,"-")</f>
        <v>-</v>
      </c>
      <c r="AJ65" s="877"/>
      <c r="AK65" s="883">
        <f>+EDATE(AB65,6)+1</f>
        <v>46082</v>
      </c>
      <c r="AL65" s="912" t="str">
        <f>+IFERROR(AM65/#REF!,"-")</f>
        <v>-</v>
      </c>
      <c r="AM65" s="912"/>
      <c r="AN65" s="912"/>
      <c r="AO65" s="920">
        <f t="shared" si="75"/>
        <v>3540421500</v>
      </c>
      <c r="AP65" s="920">
        <f>+AO65*'ref.지급기준 (2)'!G159</f>
        <v>354042150</v>
      </c>
      <c r="AQ65" s="921">
        <f>+W65</f>
        <v>45869</v>
      </c>
      <c r="AR65" s="407"/>
      <c r="AS65" s="945">
        <f>+$AO65*'ref.지급기준 (2)'!G159</f>
        <v>354042150</v>
      </c>
      <c r="AT65" s="884">
        <f t="shared" si="76"/>
        <v>0</v>
      </c>
      <c r="AU65" s="884">
        <f>+$AO65*'ref.지급기준 (2)'!I159</f>
        <v>708084300</v>
      </c>
      <c r="AV65" s="884">
        <f t="shared" ref="AV65:AV143" si="143">+AA65</f>
        <v>0</v>
      </c>
      <c r="AW65" s="884">
        <f>+$AO65*'ref.지급기준 (2)'!K159</f>
        <v>1416168600</v>
      </c>
      <c r="AX65" s="884"/>
      <c r="AY65" s="884">
        <f>+$AO65*'ref.지급기준 (2)'!M159</f>
        <v>885105375</v>
      </c>
      <c r="AZ65" s="884"/>
      <c r="BA65" s="884">
        <f>+$AO65*'ref.지급기준 (2)'!O159</f>
        <v>177021075</v>
      </c>
      <c r="BB65" s="890"/>
      <c r="BC65" s="2718" t="s">
        <v>1271</v>
      </c>
      <c r="BD65" s="393"/>
      <c r="BE65" s="393" t="b">
        <f t="shared" si="90"/>
        <v>1</v>
      </c>
      <c r="BF65" s="393"/>
      <c r="BG65" s="393"/>
      <c r="BH65" s="393"/>
      <c r="BI65" s="393"/>
      <c r="BJ65" s="393"/>
      <c r="BK65" s="393"/>
      <c r="BL65" s="393"/>
      <c r="BM65" s="393"/>
      <c r="BN65" s="393"/>
      <c r="BO65" s="408"/>
      <c r="BP65" s="408"/>
    </row>
    <row r="66" spans="1:68" ht="16.5" customHeight="1">
      <c r="A66" s="394"/>
      <c r="B66" s="2734"/>
      <c r="C66" s="2736"/>
      <c r="D66" s="2738"/>
      <c r="E66" s="2760"/>
      <c r="F66" s="2763"/>
      <c r="G66" s="2738"/>
      <c r="H66" s="2738"/>
      <c r="I66" s="2732"/>
      <c r="J66" s="2747"/>
      <c r="K66" s="2715"/>
      <c r="L66" s="2652"/>
      <c r="M66" s="2654"/>
      <c r="N66" s="2654"/>
      <c r="O66" s="875" t="s">
        <v>126</v>
      </c>
      <c r="P66" s="896">
        <f>+'ref.지급기준 (2)'!F160*'ref.지급기준 (2)'!D160/'ref.지급기준 (2)'!$Q$2</f>
        <v>919590000</v>
      </c>
      <c r="Q66" s="896">
        <f>+P66*10%</f>
        <v>91959000</v>
      </c>
      <c r="R66" s="897">
        <f t="shared" si="140"/>
        <v>1011549000</v>
      </c>
      <c r="S66" s="874" t="b">
        <f t="shared" si="73"/>
        <v>1</v>
      </c>
      <c r="T66" s="908">
        <f>+IFERROR(U66/R66,"-")</f>
        <v>0</v>
      </c>
      <c r="U66" s="909">
        <f>+IFERROR(X66+AA66+AD66+AG66+AJ66+AM66,"-")</f>
        <v>0</v>
      </c>
      <c r="V66" s="908">
        <f t="shared" si="74"/>
        <v>0</v>
      </c>
      <c r="W66" s="919">
        <v>45777</v>
      </c>
      <c r="X66" s="876"/>
      <c r="Y66" s="877"/>
      <c r="Z66" s="877">
        <f t="shared" ref="Z66:Z142" si="144">+IFERROR(AA66/$R66,"-")</f>
        <v>0</v>
      </c>
      <c r="AA66" s="886"/>
      <c r="AB66" s="883">
        <v>45808</v>
      </c>
      <c r="AC66" s="877">
        <f t="shared" ref="AC66:AC144" si="145">+IFERROR(AD66/$R66,"-")</f>
        <v>0</v>
      </c>
      <c r="AD66" s="877"/>
      <c r="AE66" s="883">
        <f>EDATE(AB66,2)</f>
        <v>45869</v>
      </c>
      <c r="AF66" s="877">
        <f t="shared" ref="AF66:AF144" si="146">+IFERROR(AG66/$R66,"-")</f>
        <v>0</v>
      </c>
      <c r="AG66" s="877"/>
      <c r="AH66" s="883">
        <f>+EDATE(AB65,9)</f>
        <v>46173</v>
      </c>
      <c r="AI66" s="877" t="str">
        <f>+IFERROR(AJ66/#REF!,"-")</f>
        <v>-</v>
      </c>
      <c r="AJ66" s="877"/>
      <c r="AK66" s="877"/>
      <c r="AL66" s="877" t="str">
        <f>+IFERROR(AM66/#REF!,"-")</f>
        <v>-</v>
      </c>
      <c r="AM66" s="877"/>
      <c r="AN66" s="877"/>
      <c r="AO66" s="884">
        <f t="shared" si="75"/>
        <v>1011549000</v>
      </c>
      <c r="AP66" s="884">
        <f>+AO66*'ref.지급기준 (2)'!G160</f>
        <v>202309800</v>
      </c>
      <c r="AQ66" s="885">
        <f>+W66</f>
        <v>45777</v>
      </c>
      <c r="AR66" s="407"/>
      <c r="AS66" s="945">
        <f>+$AO66*'ref.지급기준 (2)'!G160</f>
        <v>202309800</v>
      </c>
      <c r="AT66" s="884">
        <f t="shared" si="76"/>
        <v>0</v>
      </c>
      <c r="AU66" s="884">
        <f>+$AO66*'ref.지급기준 (2)'!I160</f>
        <v>202309800</v>
      </c>
      <c r="AV66" s="884">
        <f t="shared" si="143"/>
        <v>0</v>
      </c>
      <c r="AW66" s="884">
        <f>+$AO66*'ref.지급기준 (2)'!K160</f>
        <v>505774500</v>
      </c>
      <c r="AX66" s="884"/>
      <c r="AY66" s="884">
        <f>+$AO66*'ref.지급기준 (2)'!M160</f>
        <v>101154900</v>
      </c>
      <c r="AZ66" s="884"/>
      <c r="BA66" s="884">
        <f>+$AO66*'ref.지급기준 (2)'!O160</f>
        <v>0</v>
      </c>
      <c r="BB66" s="890"/>
      <c r="BC66" s="2719"/>
      <c r="BD66" s="393"/>
      <c r="BE66" s="393" t="b">
        <f t="shared" si="90"/>
        <v>1</v>
      </c>
      <c r="BF66" s="393"/>
      <c r="BG66" s="393"/>
      <c r="BH66" s="393"/>
      <c r="BI66" s="393"/>
      <c r="BJ66" s="393"/>
      <c r="BK66" s="393"/>
      <c r="BL66" s="393"/>
      <c r="BM66" s="393"/>
      <c r="BN66" s="393"/>
      <c r="BO66" s="408"/>
      <c r="BP66" s="408"/>
    </row>
    <row r="67" spans="1:68" ht="16.5" customHeight="1">
      <c r="A67" s="394"/>
      <c r="B67" s="2734"/>
      <c r="C67" s="2736"/>
      <c r="D67" s="2738"/>
      <c r="E67" s="2760"/>
      <c r="F67" s="2763"/>
      <c r="G67" s="2738"/>
      <c r="H67" s="2738"/>
      <c r="I67" s="2732"/>
      <c r="J67" s="2747"/>
      <c r="K67" s="2715"/>
      <c r="L67" s="2652"/>
      <c r="M67" s="2654"/>
      <c r="N67" s="2654"/>
      <c r="O67" s="875" t="s">
        <v>127</v>
      </c>
      <c r="P67" s="896">
        <f>+'ref.지급기준 (2)'!F161*'ref.지급기준 (2)'!D161/'ref.지급기준 (2)'!$Q$2</f>
        <v>0</v>
      </c>
      <c r="Q67" s="896" t="s">
        <v>1218</v>
      </c>
      <c r="R67" s="897">
        <f t="shared" si="140"/>
        <v>0</v>
      </c>
      <c r="S67" s="874" t="b">
        <f t="shared" si="73"/>
        <v>1</v>
      </c>
      <c r="T67" s="908" t="str">
        <f>+IFERROR(U67/R67,"-")</f>
        <v>-</v>
      </c>
      <c r="U67" s="909">
        <f>+IFERROR(X67+AA67+AD67+AG67+AJ67+AM67,"-")</f>
        <v>0</v>
      </c>
      <c r="V67" s="908" t="str">
        <f t="shared" si="74"/>
        <v>-</v>
      </c>
      <c r="W67" s="919"/>
      <c r="X67" s="876"/>
      <c r="Y67" s="877"/>
      <c r="Z67" s="877" t="str">
        <f t="shared" si="144"/>
        <v>-</v>
      </c>
      <c r="AA67" s="877"/>
      <c r="AB67" s="883"/>
      <c r="AC67" s="877" t="str">
        <f t="shared" si="145"/>
        <v>-</v>
      </c>
      <c r="AD67" s="877"/>
      <c r="AE67" s="883"/>
      <c r="AF67" s="877" t="str">
        <f t="shared" si="146"/>
        <v>-</v>
      </c>
      <c r="AG67" s="877"/>
      <c r="AH67" s="883"/>
      <c r="AI67" s="877" t="str">
        <f>+IFERROR(AJ67/#REF!,"-")</f>
        <v>-</v>
      </c>
      <c r="AJ67" s="877"/>
      <c r="AK67" s="877"/>
      <c r="AL67" s="877" t="str">
        <f>+IFERROR(AM67/#REF!,"-")</f>
        <v>-</v>
      </c>
      <c r="AM67" s="877"/>
      <c r="AN67" s="877"/>
      <c r="AO67" s="884">
        <f t="shared" si="75"/>
        <v>0</v>
      </c>
      <c r="AP67" s="884">
        <f>+AO67*'ref.지급기준 (2)'!G161</f>
        <v>0</v>
      </c>
      <c r="AQ67" s="885"/>
      <c r="AR67" s="407"/>
      <c r="AS67" s="945">
        <f>+$AO67*'ref.지급기준 (2)'!G161</f>
        <v>0</v>
      </c>
      <c r="AT67" s="884">
        <f t="shared" si="76"/>
        <v>0</v>
      </c>
      <c r="AU67" s="884">
        <f>+$AO67*'ref.지급기준 (2)'!I161</f>
        <v>0</v>
      </c>
      <c r="AV67" s="884">
        <f t="shared" si="143"/>
        <v>0</v>
      </c>
      <c r="AW67" s="884">
        <f>+$AO67*'ref.지급기준 (2)'!K161</f>
        <v>0</v>
      </c>
      <c r="AX67" s="884"/>
      <c r="AY67" s="884">
        <f>+$AO67*'ref.지급기준 (2)'!M161</f>
        <v>0</v>
      </c>
      <c r="AZ67" s="884"/>
      <c r="BA67" s="884">
        <f>+$AO67*'ref.지급기준 (2)'!O161</f>
        <v>0</v>
      </c>
      <c r="BB67" s="890"/>
      <c r="BC67" s="2719"/>
      <c r="BD67" s="393"/>
      <c r="BE67" s="393" t="b">
        <f t="shared" si="90"/>
        <v>1</v>
      </c>
      <c r="BF67" s="393"/>
      <c r="BG67" s="393"/>
      <c r="BH67" s="393"/>
      <c r="BI67" s="393"/>
      <c r="BJ67" s="393"/>
      <c r="BK67" s="393"/>
      <c r="BL67" s="393"/>
      <c r="BM67" s="393"/>
      <c r="BN67" s="393"/>
      <c r="BO67" s="408"/>
      <c r="BP67" s="408"/>
    </row>
    <row r="68" spans="1:68" ht="16.5" customHeight="1">
      <c r="A68" s="394"/>
      <c r="B68" s="2734"/>
      <c r="C68" s="2736"/>
      <c r="D68" s="2738"/>
      <c r="E68" s="2760"/>
      <c r="F68" s="2763"/>
      <c r="G68" s="2738"/>
      <c r="H68" s="2738"/>
      <c r="I68" s="2732"/>
      <c r="J68" s="2747"/>
      <c r="K68" s="2715"/>
      <c r="L68" s="2652"/>
      <c r="M68" s="2654"/>
      <c r="N68" s="2654"/>
      <c r="O68" s="875" t="s">
        <v>128</v>
      </c>
      <c r="P68" s="896">
        <f>+'ref.지급기준 (2)'!F162*'ref.지급기준 (2)'!D162/'ref.지급기준 (2)'!$Q$2</f>
        <v>613060000</v>
      </c>
      <c r="Q68" s="896">
        <f t="shared" ref="Q68" si="147">+P68*10%</f>
        <v>61306000</v>
      </c>
      <c r="R68" s="897">
        <f t="shared" si="140"/>
        <v>674366000</v>
      </c>
      <c r="S68" s="409" t="b">
        <f t="shared" si="73"/>
        <v>1</v>
      </c>
      <c r="T68" s="908">
        <f>+IFERROR(U68/R68,"-")</f>
        <v>0</v>
      </c>
      <c r="U68" s="909">
        <f>+IFERROR(X68+AA68+AD68+AG68+AJ68+AM68,"-")</f>
        <v>0</v>
      </c>
      <c r="V68" s="908">
        <f t="shared" si="74"/>
        <v>0</v>
      </c>
      <c r="W68" s="919">
        <f>W66</f>
        <v>45777</v>
      </c>
      <c r="X68" s="876"/>
      <c r="Y68" s="877"/>
      <c r="Z68" s="877">
        <v>0</v>
      </c>
      <c r="AA68" s="877"/>
      <c r="AB68" s="883">
        <f>AB66</f>
        <v>45808</v>
      </c>
      <c r="AC68" s="877">
        <v>0</v>
      </c>
      <c r="AD68" s="877"/>
      <c r="AE68" s="883">
        <f>AE66</f>
        <v>45869</v>
      </c>
      <c r="AF68" s="877">
        <v>0</v>
      </c>
      <c r="AG68" s="877"/>
      <c r="AH68" s="883">
        <f>AH66</f>
        <v>46173</v>
      </c>
      <c r="AI68" s="877" t="str">
        <f>+IFERROR(AJ68/#REF!,"-")</f>
        <v>-</v>
      </c>
      <c r="AJ68" s="877"/>
      <c r="AK68" s="877"/>
      <c r="AL68" s="877" t="str">
        <f>+IFERROR(AM68/#REF!,"-")</f>
        <v>-</v>
      </c>
      <c r="AM68" s="877"/>
      <c r="AN68" s="877"/>
      <c r="AO68" s="884">
        <f t="shared" si="75"/>
        <v>674366000</v>
      </c>
      <c r="AP68" s="884">
        <f>+AO68*'ref.지급기준 (2)'!G162</f>
        <v>134873200</v>
      </c>
      <c r="AQ68" s="885">
        <f>+W68</f>
        <v>45777</v>
      </c>
      <c r="AR68" s="407"/>
      <c r="AS68" s="945">
        <f>+$AO68*'ref.지급기준 (2)'!G162</f>
        <v>134873200</v>
      </c>
      <c r="AT68" s="884">
        <f t="shared" si="76"/>
        <v>0</v>
      </c>
      <c r="AU68" s="884">
        <f>+$AO68*'ref.지급기준 (2)'!I162</f>
        <v>134873200</v>
      </c>
      <c r="AV68" s="884">
        <f t="shared" si="143"/>
        <v>0</v>
      </c>
      <c r="AW68" s="884">
        <f>+$AO68*'ref.지급기준 (2)'!K162</f>
        <v>337183000</v>
      </c>
      <c r="AX68" s="884"/>
      <c r="AY68" s="884">
        <f>+$AO68*'ref.지급기준 (2)'!M162</f>
        <v>67436600</v>
      </c>
      <c r="AZ68" s="884"/>
      <c r="BA68" s="884">
        <f>+$AO68*'ref.지급기준 (2)'!O162</f>
        <v>0</v>
      </c>
      <c r="BB68" s="890"/>
      <c r="BC68" s="2719"/>
      <c r="BD68" s="393"/>
      <c r="BE68" s="393" t="b">
        <f t="shared" si="90"/>
        <v>1</v>
      </c>
      <c r="BF68" s="393"/>
      <c r="BG68" s="393"/>
      <c r="BH68" s="393"/>
      <c r="BI68" s="393"/>
      <c r="BJ68" s="393"/>
      <c r="BK68" s="393"/>
      <c r="BL68" s="393"/>
      <c r="BM68" s="393"/>
      <c r="BN68" s="393"/>
      <c r="BO68" s="408"/>
      <c r="BP68" s="408"/>
    </row>
    <row r="69" spans="1:68" ht="16.5" customHeight="1" thickBot="1">
      <c r="A69" s="394"/>
      <c r="B69" s="2734"/>
      <c r="C69" s="2736"/>
      <c r="D69" s="2738"/>
      <c r="E69" s="2760"/>
      <c r="F69" s="2763"/>
      <c r="G69" s="2738"/>
      <c r="H69" s="2738"/>
      <c r="I69" s="2732"/>
      <c r="J69" s="2747"/>
      <c r="K69" s="2716"/>
      <c r="L69" s="2653"/>
      <c r="M69" s="2655"/>
      <c r="N69" s="2655"/>
      <c r="O69" s="999" t="s">
        <v>129</v>
      </c>
      <c r="P69" s="900">
        <f>+'DG-PV Organic'!AI13</f>
        <v>613060000</v>
      </c>
      <c r="Q69" s="901">
        <f>+P69*0.1</f>
        <v>61306000</v>
      </c>
      <c r="R69" s="901">
        <f>SUM(P69:Q69)</f>
        <v>674366000</v>
      </c>
      <c r="S69" s="409" t="b">
        <f t="shared" ref="S69:S100" si="148">+R69=AO69</f>
        <v>1</v>
      </c>
      <c r="T69" s="936"/>
      <c r="U69" s="995"/>
      <c r="V69" s="936">
        <f t="shared" ref="V69:V100" si="149">+IFERROR(X69/$R69,"-")</f>
        <v>0</v>
      </c>
      <c r="W69" s="937"/>
      <c r="X69" s="937"/>
      <c r="Y69" s="937"/>
      <c r="Z69" s="937">
        <f t="shared" ref="Z69:Z72" si="150">+IFERROR(AA69/$R69,"-")</f>
        <v>0</v>
      </c>
      <c r="AA69" s="937"/>
      <c r="AB69" s="938"/>
      <c r="AC69" s="937">
        <f t="shared" ref="AC69:AC72" si="151">+IFERROR(AD69/$R69,"-")</f>
        <v>0</v>
      </c>
      <c r="AD69" s="937"/>
      <c r="AE69" s="938"/>
      <c r="AF69" s="937">
        <f t="shared" ref="AF69:AF72" si="152">+IFERROR(AG69/$R69,"-")</f>
        <v>0</v>
      </c>
      <c r="AG69" s="937"/>
      <c r="AH69" s="938"/>
      <c r="AI69" s="937" t="str">
        <f>+IFERROR(AJ69/#REF!,"-")</f>
        <v>-</v>
      </c>
      <c r="AJ69" s="937"/>
      <c r="AK69" s="937"/>
      <c r="AL69" s="937"/>
      <c r="AM69" s="937"/>
      <c r="AN69" s="937"/>
      <c r="AO69" s="939">
        <f t="shared" ref="AO69:AO100" si="153">+R69</f>
        <v>674366000</v>
      </c>
      <c r="AP69" s="939">
        <f>+AS69+AU69</f>
        <v>674366000</v>
      </c>
      <c r="AQ69" s="940"/>
      <c r="AR69" s="407"/>
      <c r="AS69" s="947">
        <f>+$AO69*'ref.지급기준 (2)'!G108</f>
        <v>674366000</v>
      </c>
      <c r="AT69" s="928">
        <f t="shared" ref="AT69:AT100" si="154">+X69</f>
        <v>0</v>
      </c>
      <c r="AU69" s="928">
        <f>+$AO69*'ref.지급기준 (2)'!I108</f>
        <v>0</v>
      </c>
      <c r="AV69" s="928">
        <f t="shared" si="143"/>
        <v>0</v>
      </c>
      <c r="AW69" s="928">
        <f>+$AO69*'ref.지급기준 (2)'!K108</f>
        <v>0</v>
      </c>
      <c r="AX69" s="928"/>
      <c r="AY69" s="928">
        <f>+$AO69*'ref.지급기준 (2)'!M108</f>
        <v>0</v>
      </c>
      <c r="AZ69" s="928"/>
      <c r="BA69" s="928">
        <f>+$AO69*'ref.지급기준 (2)'!O108</f>
        <v>0</v>
      </c>
      <c r="BB69" s="997"/>
      <c r="BC69" s="2720"/>
      <c r="BD69" s="393"/>
      <c r="BE69" s="393"/>
      <c r="BF69" s="393"/>
      <c r="BG69" s="393"/>
      <c r="BH69" s="393"/>
      <c r="BI69" s="393"/>
      <c r="BJ69" s="393"/>
      <c r="BK69" s="393"/>
      <c r="BL69" s="393"/>
      <c r="BM69" s="393"/>
      <c r="BN69" s="393"/>
      <c r="BO69" s="408"/>
      <c r="BP69" s="408"/>
    </row>
    <row r="70" spans="1:68" ht="16.5" customHeight="1">
      <c r="A70" s="394"/>
      <c r="B70" s="2734"/>
      <c r="C70" s="2736"/>
      <c r="D70" s="2738"/>
      <c r="E70" s="2760"/>
      <c r="F70" s="2763"/>
      <c r="G70" s="2738"/>
      <c r="H70" s="2738"/>
      <c r="I70" s="2732" t="s">
        <v>1272</v>
      </c>
      <c r="J70" s="2747" t="s">
        <v>1273</v>
      </c>
      <c r="K70" s="2714">
        <f>+'DG-PV Organic'!O18</f>
        <v>351.15499999999997</v>
      </c>
      <c r="L70" s="2730">
        <f>+'DG-PV Organic'!H18</f>
        <v>8.7900000000000006E-2</v>
      </c>
      <c r="M70" s="2717">
        <f>+'DG-PV Organic'!J18</f>
        <v>9.2999999999999999E-2</v>
      </c>
      <c r="N70" s="2717" t="s">
        <v>1257</v>
      </c>
      <c r="O70" s="893" t="s">
        <v>125</v>
      </c>
      <c r="P70" s="904">
        <f>+'DG-PV Organic'!AL18</f>
        <v>368712750</v>
      </c>
      <c r="Q70" s="904">
        <f>+P70*10%</f>
        <v>36871275</v>
      </c>
      <c r="R70" s="905">
        <f t="shared" ref="R70:R73" si="155">SUM(P70:Q70)</f>
        <v>405584025</v>
      </c>
      <c r="S70" s="874" t="b">
        <f t="shared" si="148"/>
        <v>1</v>
      </c>
      <c r="T70" s="983">
        <f>+IFERROR(U70/R70,"-")</f>
        <v>0</v>
      </c>
      <c r="U70" s="984">
        <f>+IFERROR(X70+AA70+AD70+AG70+AJ70+AM70,"-")</f>
        <v>0</v>
      </c>
      <c r="V70" s="983">
        <f t="shared" si="149"/>
        <v>0</v>
      </c>
      <c r="W70" s="883">
        <f>AE73</f>
        <v>45899</v>
      </c>
      <c r="X70" s="991"/>
      <c r="Y70" s="912"/>
      <c r="Z70" s="877">
        <f t="shared" si="150"/>
        <v>0</v>
      </c>
      <c r="AA70" s="877"/>
      <c r="AB70" s="883">
        <f>+EDATE(W70,1)</f>
        <v>45930</v>
      </c>
      <c r="AC70" s="877">
        <f t="shared" si="151"/>
        <v>0</v>
      </c>
      <c r="AD70" s="877"/>
      <c r="AE70" s="883">
        <f t="shared" ref="AE70" si="156">+EDATE(AB70,3)</f>
        <v>46021</v>
      </c>
      <c r="AF70" s="877">
        <f t="shared" si="152"/>
        <v>0</v>
      </c>
      <c r="AG70" s="877"/>
      <c r="AH70" s="883">
        <f t="shared" ref="AH70" si="157">+EDATE(AB70,4)</f>
        <v>46052</v>
      </c>
      <c r="AI70" s="877" t="str">
        <f>+IFERROR(AJ70/#REF!,"-")</f>
        <v>-</v>
      </c>
      <c r="AJ70" s="877"/>
      <c r="AK70" s="883">
        <f>+EDATE(AB70,6)+1</f>
        <v>46112</v>
      </c>
      <c r="AL70" s="912" t="str">
        <f>+IFERROR(AM70/#REF!,"-")</f>
        <v>-</v>
      </c>
      <c r="AM70" s="912"/>
      <c r="AN70" s="912"/>
      <c r="AO70" s="920">
        <f t="shared" si="153"/>
        <v>405584025</v>
      </c>
      <c r="AP70" s="920">
        <f>+AO70*'ref.지급기준 (2)'!G164</f>
        <v>40558402.5</v>
      </c>
      <c r="AQ70" s="921">
        <f>+W70</f>
        <v>45899</v>
      </c>
      <c r="AR70" s="407"/>
      <c r="AS70" s="945">
        <f>+$AO70*'ref.지급기준 (2)'!G164</f>
        <v>40558402.5</v>
      </c>
      <c r="AT70" s="884">
        <f t="shared" si="154"/>
        <v>0</v>
      </c>
      <c r="AU70" s="884">
        <f>+$AO70*'ref.지급기준 (2)'!I164</f>
        <v>81116805</v>
      </c>
      <c r="AV70" s="884">
        <f t="shared" ref="AV70:AV74" si="158">+AA70</f>
        <v>0</v>
      </c>
      <c r="AW70" s="884">
        <f>+$AO70*'ref.지급기준 (2)'!K164</f>
        <v>162233610</v>
      </c>
      <c r="AX70" s="884"/>
      <c r="AY70" s="884">
        <f>+$AO70*'ref.지급기준 (2)'!M164</f>
        <v>101396006.25</v>
      </c>
      <c r="AZ70" s="884"/>
      <c r="BA70" s="884">
        <f>+$AO70*'ref.지급기준 (2)'!O164</f>
        <v>20279201.25</v>
      </c>
      <c r="BB70" s="890"/>
      <c r="BC70" s="2718" t="s">
        <v>1271</v>
      </c>
      <c r="BD70" s="393"/>
      <c r="BE70" s="393" t="b">
        <f>+(BA70+AY70+AW70+AU70+AS70)=R70</f>
        <v>1</v>
      </c>
      <c r="BF70" s="393"/>
      <c r="BG70" s="393"/>
      <c r="BH70" s="393"/>
      <c r="BI70" s="393"/>
      <c r="BJ70" s="393"/>
      <c r="BK70" s="393"/>
      <c r="BL70" s="393"/>
      <c r="BM70" s="393"/>
      <c r="BN70" s="393"/>
      <c r="BO70" s="408"/>
      <c r="BP70" s="408"/>
    </row>
    <row r="71" spans="1:68" ht="16.5" customHeight="1">
      <c r="A71" s="394"/>
      <c r="B71" s="2734"/>
      <c r="C71" s="2736"/>
      <c r="D71" s="2738"/>
      <c r="E71" s="2760"/>
      <c r="F71" s="2763"/>
      <c r="G71" s="2738"/>
      <c r="H71" s="2738"/>
      <c r="I71" s="2732"/>
      <c r="J71" s="2747"/>
      <c r="K71" s="2715"/>
      <c r="L71" s="2652"/>
      <c r="M71" s="2654"/>
      <c r="N71" s="2654"/>
      <c r="O71" s="875" t="s">
        <v>126</v>
      </c>
      <c r="P71" s="896">
        <f>+'DG-PV Organic'!AK18</f>
        <v>105346499.99999999</v>
      </c>
      <c r="Q71" s="896">
        <f>+P71*10%</f>
        <v>10534650</v>
      </c>
      <c r="R71" s="897">
        <f t="shared" si="155"/>
        <v>115881149.99999999</v>
      </c>
      <c r="S71" s="874" t="b">
        <f t="shared" si="148"/>
        <v>1</v>
      </c>
      <c r="T71" s="908">
        <f>+IFERROR(U71/R71,"-")</f>
        <v>0</v>
      </c>
      <c r="U71" s="909">
        <f>+IFERROR(X71+AA71+AD71+AG71+AJ71+AM71,"-")</f>
        <v>0</v>
      </c>
      <c r="V71" s="908">
        <f t="shared" si="149"/>
        <v>0</v>
      </c>
      <c r="W71" s="919">
        <v>45777</v>
      </c>
      <c r="X71" s="876"/>
      <c r="Y71" s="877"/>
      <c r="Z71" s="877">
        <f t="shared" si="150"/>
        <v>0</v>
      </c>
      <c r="AA71" s="886"/>
      <c r="AB71" s="883">
        <v>45838</v>
      </c>
      <c r="AC71" s="877">
        <f t="shared" si="151"/>
        <v>0</v>
      </c>
      <c r="AD71" s="877"/>
      <c r="AE71" s="883">
        <f>EDATE(AB71,2)</f>
        <v>45899</v>
      </c>
      <c r="AF71" s="877">
        <f t="shared" si="152"/>
        <v>0</v>
      </c>
      <c r="AG71" s="877"/>
      <c r="AH71" s="883">
        <f>+EDATE(AB70,11)</f>
        <v>46264</v>
      </c>
      <c r="AI71" s="877" t="str">
        <f>+IFERROR(AJ71/#REF!,"-")</f>
        <v>-</v>
      </c>
      <c r="AJ71" s="877"/>
      <c r="AK71" s="877"/>
      <c r="AL71" s="877" t="str">
        <f>+IFERROR(AM71/#REF!,"-")</f>
        <v>-</v>
      </c>
      <c r="AM71" s="877"/>
      <c r="AN71" s="877"/>
      <c r="AO71" s="884">
        <f t="shared" si="153"/>
        <v>115881149.99999999</v>
      </c>
      <c r="AP71" s="884">
        <f>+AO71*'ref.지급기준 (2)'!G165</f>
        <v>23176230</v>
      </c>
      <c r="AQ71" s="885">
        <f>+W71</f>
        <v>45777</v>
      </c>
      <c r="AR71" s="407"/>
      <c r="AS71" s="945">
        <f>+$AO71*'ref.지급기준 (2)'!G165</f>
        <v>23176230</v>
      </c>
      <c r="AT71" s="884">
        <f t="shared" si="154"/>
        <v>0</v>
      </c>
      <c r="AU71" s="884">
        <f>+$AO71*'ref.지급기준 (2)'!I165</f>
        <v>23176230</v>
      </c>
      <c r="AV71" s="884">
        <f t="shared" si="158"/>
        <v>0</v>
      </c>
      <c r="AW71" s="884">
        <f>+$AO71*'ref.지급기준 (2)'!K165</f>
        <v>57940574.999999993</v>
      </c>
      <c r="AX71" s="884"/>
      <c r="AY71" s="884">
        <f>+$AO71*'ref.지급기준 (2)'!M165</f>
        <v>11588115</v>
      </c>
      <c r="AZ71" s="884"/>
      <c r="BA71" s="884">
        <f>+$AO71*'ref.지급기준 (2)'!O165</f>
        <v>0</v>
      </c>
      <c r="BB71" s="890"/>
      <c r="BC71" s="2719"/>
      <c r="BD71" s="393"/>
      <c r="BE71" s="393" t="b">
        <f>+(BA71+AY71+AW71+AU71+AS71)=R71</f>
        <v>1</v>
      </c>
      <c r="BF71" s="393"/>
      <c r="BG71" s="393"/>
      <c r="BH71" s="393"/>
      <c r="BI71" s="393"/>
      <c r="BJ71" s="393"/>
      <c r="BK71" s="393"/>
      <c r="BL71" s="393"/>
      <c r="BM71" s="393"/>
      <c r="BN71" s="393"/>
      <c r="BO71" s="408"/>
      <c r="BP71" s="408"/>
    </row>
    <row r="72" spans="1:68" ht="16.5" customHeight="1">
      <c r="A72" s="394"/>
      <c r="B72" s="2734"/>
      <c r="C72" s="2736"/>
      <c r="D72" s="2738"/>
      <c r="E72" s="2760"/>
      <c r="F72" s="2763"/>
      <c r="G72" s="2738"/>
      <c r="H72" s="2738"/>
      <c r="I72" s="2732"/>
      <c r="J72" s="2747"/>
      <c r="K72" s="2715"/>
      <c r="L72" s="2652"/>
      <c r="M72" s="2654"/>
      <c r="N72" s="2654"/>
      <c r="O72" s="875" t="s">
        <v>127</v>
      </c>
      <c r="P72" s="896">
        <f>+'ref.지급기준 (2)'!F166*'ref.지급기준 (2)'!D166/'ref.지급기준 (2)'!$Q$2</f>
        <v>0</v>
      </c>
      <c r="Q72" s="896" t="s">
        <v>1218</v>
      </c>
      <c r="R72" s="897">
        <f t="shared" si="155"/>
        <v>0</v>
      </c>
      <c r="S72" s="874" t="b">
        <f t="shared" si="148"/>
        <v>1</v>
      </c>
      <c r="T72" s="908" t="str">
        <f>+IFERROR(U72/R72,"-")</f>
        <v>-</v>
      </c>
      <c r="U72" s="909">
        <f>+IFERROR(X72+AA72+AD72+AG72+AJ72+AM72,"-")</f>
        <v>0</v>
      </c>
      <c r="V72" s="908" t="str">
        <f t="shared" si="149"/>
        <v>-</v>
      </c>
      <c r="W72" s="919"/>
      <c r="X72" s="876"/>
      <c r="Y72" s="877"/>
      <c r="Z72" s="877" t="str">
        <f t="shared" si="150"/>
        <v>-</v>
      </c>
      <c r="AA72" s="877"/>
      <c r="AB72" s="883"/>
      <c r="AC72" s="877" t="str">
        <f t="shared" si="151"/>
        <v>-</v>
      </c>
      <c r="AD72" s="877"/>
      <c r="AE72" s="883"/>
      <c r="AF72" s="877" t="str">
        <f t="shared" si="152"/>
        <v>-</v>
      </c>
      <c r="AG72" s="877"/>
      <c r="AH72" s="883"/>
      <c r="AI72" s="877" t="str">
        <f>+IFERROR(AJ72/#REF!,"-")</f>
        <v>-</v>
      </c>
      <c r="AJ72" s="877"/>
      <c r="AK72" s="877"/>
      <c r="AL72" s="877" t="str">
        <f>+IFERROR(AM72/#REF!,"-")</f>
        <v>-</v>
      </c>
      <c r="AM72" s="877"/>
      <c r="AN72" s="877"/>
      <c r="AO72" s="884">
        <f t="shared" si="153"/>
        <v>0</v>
      </c>
      <c r="AP72" s="884">
        <f>+AO72*'ref.지급기준 (2)'!G166</f>
        <v>0</v>
      </c>
      <c r="AQ72" s="885"/>
      <c r="AR72" s="407"/>
      <c r="AS72" s="945">
        <f>+$AO72*'ref.지급기준 (2)'!G166</f>
        <v>0</v>
      </c>
      <c r="AT72" s="884">
        <f t="shared" si="154"/>
        <v>0</v>
      </c>
      <c r="AU72" s="884">
        <f>+$AO72*'ref.지급기준 (2)'!I166</f>
        <v>0</v>
      </c>
      <c r="AV72" s="884">
        <f t="shared" si="158"/>
        <v>0</v>
      </c>
      <c r="AW72" s="884">
        <f>+$AO72*'ref.지급기준 (2)'!K166</f>
        <v>0</v>
      </c>
      <c r="AX72" s="884"/>
      <c r="AY72" s="884">
        <f>+$AO72*'ref.지급기준 (2)'!M166</f>
        <v>0</v>
      </c>
      <c r="AZ72" s="884"/>
      <c r="BA72" s="884">
        <f>+$AO72*'ref.지급기준 (2)'!O166</f>
        <v>0</v>
      </c>
      <c r="BB72" s="890"/>
      <c r="BC72" s="2719"/>
      <c r="BD72" s="393"/>
      <c r="BE72" s="393" t="b">
        <f>+(BA72+AY72+AW72+AU72+AS72)=R72</f>
        <v>1</v>
      </c>
      <c r="BF72" s="393"/>
      <c r="BG72" s="393"/>
      <c r="BH72" s="393"/>
      <c r="BI72" s="393"/>
      <c r="BJ72" s="393"/>
      <c r="BK72" s="393"/>
      <c r="BL72" s="393"/>
      <c r="BM72" s="393"/>
      <c r="BN72" s="393"/>
      <c r="BO72" s="408"/>
      <c r="BP72" s="408"/>
    </row>
    <row r="73" spans="1:68" ht="16.5" customHeight="1">
      <c r="A73" s="394"/>
      <c r="B73" s="2734"/>
      <c r="C73" s="2736"/>
      <c r="D73" s="2738"/>
      <c r="E73" s="2760"/>
      <c r="F73" s="2763"/>
      <c r="G73" s="2738"/>
      <c r="H73" s="2738"/>
      <c r="I73" s="2732"/>
      <c r="J73" s="2747"/>
      <c r="K73" s="2715"/>
      <c r="L73" s="2652"/>
      <c r="M73" s="2654"/>
      <c r="N73" s="2654"/>
      <c r="O73" s="875" t="s">
        <v>128</v>
      </c>
      <c r="P73" s="896">
        <f>+'DG-PV Organic'!AJ18</f>
        <v>70231000</v>
      </c>
      <c r="Q73" s="896">
        <f t="shared" ref="Q73" si="159">+P73*10%</f>
        <v>7023100</v>
      </c>
      <c r="R73" s="897">
        <f t="shared" si="155"/>
        <v>77254100</v>
      </c>
      <c r="S73" s="409" t="b">
        <f t="shared" si="148"/>
        <v>1</v>
      </c>
      <c r="T73" s="908">
        <f>+IFERROR(U73/R73,"-")</f>
        <v>0</v>
      </c>
      <c r="U73" s="909">
        <f>+IFERROR(X73+AA73+AD73+AG73+AJ73+AM73,"-")</f>
        <v>0</v>
      </c>
      <c r="V73" s="908">
        <f t="shared" si="149"/>
        <v>0</v>
      </c>
      <c r="W73" s="919">
        <f>W71</f>
        <v>45777</v>
      </c>
      <c r="X73" s="876"/>
      <c r="Y73" s="877"/>
      <c r="Z73" s="877">
        <v>0</v>
      </c>
      <c r="AA73" s="877"/>
      <c r="AB73" s="883">
        <f>AB71</f>
        <v>45838</v>
      </c>
      <c r="AC73" s="877">
        <v>0</v>
      </c>
      <c r="AD73" s="877"/>
      <c r="AE73" s="883">
        <f>AE71</f>
        <v>45899</v>
      </c>
      <c r="AF73" s="877">
        <v>0</v>
      </c>
      <c r="AG73" s="877"/>
      <c r="AH73" s="883">
        <f>AH71</f>
        <v>46264</v>
      </c>
      <c r="AI73" s="877" t="str">
        <f>+IFERROR(AJ73/#REF!,"-")</f>
        <v>-</v>
      </c>
      <c r="AJ73" s="877"/>
      <c r="AK73" s="877"/>
      <c r="AL73" s="877" t="str">
        <f>+IFERROR(AM73/#REF!,"-")</f>
        <v>-</v>
      </c>
      <c r="AM73" s="877"/>
      <c r="AN73" s="877"/>
      <c r="AO73" s="884">
        <f t="shared" si="153"/>
        <v>77254100</v>
      </c>
      <c r="AP73" s="884">
        <f>+AO73*'ref.지급기준 (2)'!G167</f>
        <v>15450820</v>
      </c>
      <c r="AQ73" s="885">
        <f>+W73</f>
        <v>45777</v>
      </c>
      <c r="AR73" s="407"/>
      <c r="AS73" s="945">
        <f>+$AO73*'ref.지급기준 (2)'!G167</f>
        <v>15450820</v>
      </c>
      <c r="AT73" s="884">
        <f t="shared" si="154"/>
        <v>0</v>
      </c>
      <c r="AU73" s="884">
        <f>+$AO73*'ref.지급기준 (2)'!I167</f>
        <v>15450820</v>
      </c>
      <c r="AV73" s="884">
        <f t="shared" si="158"/>
        <v>0</v>
      </c>
      <c r="AW73" s="884">
        <f>+$AO73*'ref.지급기준 (2)'!K167</f>
        <v>38627050</v>
      </c>
      <c r="AX73" s="884"/>
      <c r="AY73" s="884">
        <f>+$AO73*'ref.지급기준 (2)'!M167</f>
        <v>7725410</v>
      </c>
      <c r="AZ73" s="884"/>
      <c r="BA73" s="884">
        <f>+$AO73*'ref.지급기준 (2)'!O167</f>
        <v>0</v>
      </c>
      <c r="BB73" s="890"/>
      <c r="BC73" s="2719"/>
      <c r="BD73" s="393"/>
      <c r="BE73" s="393" t="b">
        <f>+(BA73+AY73+AW73+AU73+AS73)=R73</f>
        <v>1</v>
      </c>
      <c r="BF73" s="393"/>
      <c r="BG73" s="393"/>
      <c r="BH73" s="393"/>
      <c r="BI73" s="393"/>
      <c r="BJ73" s="393"/>
      <c r="BK73" s="393"/>
      <c r="BL73" s="393"/>
      <c r="BM73" s="393"/>
      <c r="BN73" s="393"/>
      <c r="BO73" s="408"/>
      <c r="BP73" s="408"/>
    </row>
    <row r="74" spans="1:68" ht="16.5" customHeight="1" thickBot="1">
      <c r="A74" s="394"/>
      <c r="B74" s="2734"/>
      <c r="C74" s="2736"/>
      <c r="D74" s="2738"/>
      <c r="E74" s="2760"/>
      <c r="F74" s="2763"/>
      <c r="G74" s="2738"/>
      <c r="H74" s="2738"/>
      <c r="I74" s="2732"/>
      <c r="J74" s="2747"/>
      <c r="K74" s="2716"/>
      <c r="L74" s="2653"/>
      <c r="M74" s="2655"/>
      <c r="N74" s="2655"/>
      <c r="O74" s="999" t="s">
        <v>129</v>
      </c>
      <c r="P74" s="900">
        <f>+'DG-PV Organic'!AI18</f>
        <v>70230999.999999985</v>
      </c>
      <c r="Q74" s="901">
        <f>+P74*0.1</f>
        <v>7023099.9999999991</v>
      </c>
      <c r="R74" s="901">
        <f>SUM(P74:Q74)</f>
        <v>77254099.999999985</v>
      </c>
      <c r="S74" s="409" t="b">
        <f t="shared" si="148"/>
        <v>1</v>
      </c>
      <c r="T74" s="936"/>
      <c r="U74" s="995"/>
      <c r="V74" s="936">
        <f t="shared" si="149"/>
        <v>0</v>
      </c>
      <c r="W74" s="937"/>
      <c r="X74" s="937"/>
      <c r="Y74" s="937"/>
      <c r="Z74" s="937">
        <f t="shared" ref="Z74:Z77" si="160">+IFERROR(AA74/$R74,"-")</f>
        <v>0</v>
      </c>
      <c r="AA74" s="937"/>
      <c r="AB74" s="938"/>
      <c r="AC74" s="937">
        <f t="shared" ref="AC74:AC77" si="161">+IFERROR(AD74/$R74,"-")</f>
        <v>0</v>
      </c>
      <c r="AD74" s="937"/>
      <c r="AE74" s="938"/>
      <c r="AF74" s="937">
        <f t="shared" ref="AF74:AF77" si="162">+IFERROR(AG74/$R74,"-")</f>
        <v>0</v>
      </c>
      <c r="AG74" s="937"/>
      <c r="AH74" s="938"/>
      <c r="AI74" s="937" t="str">
        <f>+IFERROR(AJ74/#REF!,"-")</f>
        <v>-</v>
      </c>
      <c r="AJ74" s="937"/>
      <c r="AK74" s="937"/>
      <c r="AL74" s="937"/>
      <c r="AM74" s="937"/>
      <c r="AN74" s="937"/>
      <c r="AO74" s="939">
        <f t="shared" si="153"/>
        <v>77254099.999999985</v>
      </c>
      <c r="AP74" s="939">
        <f>+AS74+AU74</f>
        <v>77254099.999999985</v>
      </c>
      <c r="AQ74" s="940"/>
      <c r="AR74" s="407"/>
      <c r="AS74" s="947">
        <f>+$AO74*'ref.지급기준 (2)'!G113</f>
        <v>77254099.999999985</v>
      </c>
      <c r="AT74" s="928">
        <f t="shared" si="154"/>
        <v>0</v>
      </c>
      <c r="AU74" s="928">
        <f>+$AO74*'ref.지급기준 (2)'!I113</f>
        <v>0</v>
      </c>
      <c r="AV74" s="928">
        <f t="shared" si="158"/>
        <v>0</v>
      </c>
      <c r="AW74" s="928">
        <f>+$AO74*'ref.지급기준 (2)'!K113</f>
        <v>0</v>
      </c>
      <c r="AX74" s="928"/>
      <c r="AY74" s="928">
        <f>+$AO74*'ref.지급기준 (2)'!M113</f>
        <v>0</v>
      </c>
      <c r="AZ74" s="928"/>
      <c r="BA74" s="928">
        <f>+$AO74*'ref.지급기준 (2)'!O113</f>
        <v>0</v>
      </c>
      <c r="BB74" s="997"/>
      <c r="BC74" s="2720"/>
      <c r="BD74" s="393"/>
      <c r="BE74" s="393"/>
      <c r="BF74" s="393"/>
      <c r="BG74" s="393"/>
      <c r="BH74" s="393"/>
      <c r="BI74" s="393"/>
      <c r="BJ74" s="393"/>
      <c r="BK74" s="393"/>
      <c r="BL74" s="393"/>
      <c r="BM74" s="393"/>
      <c r="BN74" s="393"/>
      <c r="BO74" s="408"/>
      <c r="BP74" s="408"/>
    </row>
    <row r="75" spans="1:68" ht="16.5" customHeight="1">
      <c r="A75" s="394"/>
      <c r="B75" s="2734"/>
      <c r="C75" s="2736"/>
      <c r="D75" s="2738"/>
      <c r="E75" s="2760"/>
      <c r="F75" s="2763"/>
      <c r="G75" s="2738"/>
      <c r="H75" s="2738"/>
      <c r="I75" s="2732" t="s">
        <v>1274</v>
      </c>
      <c r="J75" s="2747" t="s">
        <v>1275</v>
      </c>
      <c r="K75" s="2714">
        <f>+'DG-PV Organic'!O19</f>
        <v>709.29499999999996</v>
      </c>
      <c r="L75" s="2730">
        <f>+'DG-PV Organic'!H23</f>
        <v>8.72E-2</v>
      </c>
      <c r="M75" s="2717">
        <f>+'DG-PV Organic'!J23</f>
        <v>9.2999999999999999E-2</v>
      </c>
      <c r="N75" s="2717" t="s">
        <v>1257</v>
      </c>
      <c r="O75" s="893" t="s">
        <v>125</v>
      </c>
      <c r="P75" s="904">
        <f>+'DG-PV Organic'!AL19</f>
        <v>744759750</v>
      </c>
      <c r="Q75" s="904">
        <f>+P75*10%</f>
        <v>74475975</v>
      </c>
      <c r="R75" s="905">
        <f t="shared" ref="R75:R78" si="163">SUM(P75:Q75)</f>
        <v>819235725</v>
      </c>
      <c r="S75" s="874" t="b">
        <f t="shared" si="148"/>
        <v>1</v>
      </c>
      <c r="T75" s="983">
        <f>+IFERROR(U75/R75,"-")</f>
        <v>0</v>
      </c>
      <c r="U75" s="984">
        <f>+IFERROR(X75+AA75+AD75+AG75+AJ75+AM75,"-")</f>
        <v>0</v>
      </c>
      <c r="V75" s="983">
        <f t="shared" si="149"/>
        <v>0</v>
      </c>
      <c r="W75" s="883">
        <f>AE78</f>
        <v>45899</v>
      </c>
      <c r="X75" s="991"/>
      <c r="Y75" s="912"/>
      <c r="Z75" s="877">
        <f t="shared" si="160"/>
        <v>0</v>
      </c>
      <c r="AA75" s="877"/>
      <c r="AB75" s="883">
        <f>+EDATE(W75,1)</f>
        <v>45930</v>
      </c>
      <c r="AC75" s="877">
        <f t="shared" si="161"/>
        <v>0</v>
      </c>
      <c r="AD75" s="877"/>
      <c r="AE75" s="883">
        <f t="shared" ref="AE75" si="164">+EDATE(AB75,3)</f>
        <v>46021</v>
      </c>
      <c r="AF75" s="877">
        <f t="shared" si="162"/>
        <v>0</v>
      </c>
      <c r="AG75" s="877"/>
      <c r="AH75" s="883">
        <f t="shared" ref="AH75" si="165">+EDATE(AB75,4)</f>
        <v>46052</v>
      </c>
      <c r="AI75" s="877" t="str">
        <f>+IFERROR(AJ75/#REF!,"-")</f>
        <v>-</v>
      </c>
      <c r="AJ75" s="877"/>
      <c r="AK75" s="883">
        <f>+EDATE(AB75,6)+1</f>
        <v>46112</v>
      </c>
      <c r="AL75" s="912" t="str">
        <f>+IFERROR(AM75/#REF!,"-")</f>
        <v>-</v>
      </c>
      <c r="AM75" s="912"/>
      <c r="AN75" s="912"/>
      <c r="AO75" s="920">
        <f t="shared" si="153"/>
        <v>819235725</v>
      </c>
      <c r="AP75" s="920">
        <f>+AO75*'ref.지급기준 (2)'!G169</f>
        <v>81923572.5</v>
      </c>
      <c r="AQ75" s="921">
        <f>+W75</f>
        <v>45899</v>
      </c>
      <c r="AR75" s="407"/>
      <c r="AS75" s="945">
        <f>+$AO75*'ref.지급기준 (2)'!G169</f>
        <v>81923572.5</v>
      </c>
      <c r="AT75" s="884">
        <f t="shared" si="154"/>
        <v>0</v>
      </c>
      <c r="AU75" s="884">
        <f>+$AO75*'ref.지급기준 (2)'!I169</f>
        <v>163847145</v>
      </c>
      <c r="AV75" s="884">
        <f t="shared" ref="AV75:AV84" si="166">+AA75</f>
        <v>0</v>
      </c>
      <c r="AW75" s="884">
        <f>+$AO75*'ref.지급기준 (2)'!K169</f>
        <v>327694290</v>
      </c>
      <c r="AX75" s="884"/>
      <c r="AY75" s="884">
        <f>+$AO75*'ref.지급기준 (2)'!M169</f>
        <v>204808931.25</v>
      </c>
      <c r="AZ75" s="884"/>
      <c r="BA75" s="884">
        <f>+$AO75*'ref.지급기준 (2)'!O169</f>
        <v>40961786.25</v>
      </c>
      <c r="BB75" s="890"/>
      <c r="BC75" s="2718" t="s">
        <v>1271</v>
      </c>
      <c r="BD75" s="393"/>
      <c r="BE75" s="393" t="b">
        <f>+(BA75+AY75+AW75+AU75+AS75)=R75</f>
        <v>1</v>
      </c>
      <c r="BF75" s="393"/>
      <c r="BG75" s="393"/>
      <c r="BH75" s="393"/>
      <c r="BI75" s="393"/>
      <c r="BJ75" s="393"/>
      <c r="BK75" s="393"/>
      <c r="BL75" s="393"/>
      <c r="BM75" s="393"/>
      <c r="BN75" s="393"/>
      <c r="BO75" s="408"/>
      <c r="BP75" s="408"/>
    </row>
    <row r="76" spans="1:68" ht="16.5" customHeight="1">
      <c r="A76" s="394"/>
      <c r="B76" s="2734"/>
      <c r="C76" s="2736"/>
      <c r="D76" s="2738"/>
      <c r="E76" s="2760"/>
      <c r="F76" s="2763"/>
      <c r="G76" s="2738"/>
      <c r="H76" s="2738"/>
      <c r="I76" s="2732"/>
      <c r="J76" s="2747"/>
      <c r="K76" s="2715"/>
      <c r="L76" s="2652"/>
      <c r="M76" s="2654"/>
      <c r="N76" s="2654"/>
      <c r="O76" s="875" t="s">
        <v>126</v>
      </c>
      <c r="P76" s="896">
        <f>+'DG-PV Organic'!AK19</f>
        <v>212788500</v>
      </c>
      <c r="Q76" s="896">
        <f>+P76*10%</f>
        <v>21278850</v>
      </c>
      <c r="R76" s="897">
        <f t="shared" si="163"/>
        <v>234067350</v>
      </c>
      <c r="S76" s="874" t="b">
        <f t="shared" si="148"/>
        <v>1</v>
      </c>
      <c r="T76" s="908">
        <f>+IFERROR(U76/R76,"-")</f>
        <v>0</v>
      </c>
      <c r="U76" s="909">
        <f>+IFERROR(X76+AA76+AD76+AG76+AJ76+AM76,"-")</f>
        <v>0</v>
      </c>
      <c r="V76" s="908">
        <f t="shared" si="149"/>
        <v>0</v>
      </c>
      <c r="W76" s="919">
        <v>45777</v>
      </c>
      <c r="X76" s="876"/>
      <c r="Y76" s="877"/>
      <c r="Z76" s="877">
        <f t="shared" si="160"/>
        <v>0</v>
      </c>
      <c r="AA76" s="886"/>
      <c r="AB76" s="883">
        <v>45838</v>
      </c>
      <c r="AC76" s="877">
        <f t="shared" si="161"/>
        <v>0</v>
      </c>
      <c r="AD76" s="877"/>
      <c r="AE76" s="883">
        <f>EDATE(AB76,2)</f>
        <v>45899</v>
      </c>
      <c r="AF76" s="877">
        <f t="shared" si="162"/>
        <v>0</v>
      </c>
      <c r="AG76" s="877"/>
      <c r="AH76" s="883">
        <f>+EDATE(AB75,11)</f>
        <v>46264</v>
      </c>
      <c r="AI76" s="877" t="str">
        <f>+IFERROR(AJ76/#REF!,"-")</f>
        <v>-</v>
      </c>
      <c r="AJ76" s="877"/>
      <c r="AK76" s="877"/>
      <c r="AL76" s="877" t="str">
        <f>+IFERROR(AM76/#REF!,"-")</f>
        <v>-</v>
      </c>
      <c r="AM76" s="877"/>
      <c r="AN76" s="877"/>
      <c r="AO76" s="884">
        <f t="shared" si="153"/>
        <v>234067350</v>
      </c>
      <c r="AP76" s="884">
        <f>+AO76*'ref.지급기준 (2)'!G170</f>
        <v>46813470</v>
      </c>
      <c r="AQ76" s="885">
        <f>+W76</f>
        <v>45777</v>
      </c>
      <c r="AR76" s="407"/>
      <c r="AS76" s="945">
        <f>+$AO76*'ref.지급기준 (2)'!G170</f>
        <v>46813470</v>
      </c>
      <c r="AT76" s="884">
        <f t="shared" si="154"/>
        <v>0</v>
      </c>
      <c r="AU76" s="884">
        <f>+$AO76*'ref.지급기준 (2)'!I170</f>
        <v>46813470</v>
      </c>
      <c r="AV76" s="884">
        <f t="shared" si="166"/>
        <v>0</v>
      </c>
      <c r="AW76" s="884">
        <f>+$AO76*'ref.지급기준 (2)'!K170</f>
        <v>117033675</v>
      </c>
      <c r="AX76" s="884"/>
      <c r="AY76" s="884">
        <f>+$AO76*'ref.지급기준 (2)'!M170</f>
        <v>23406735</v>
      </c>
      <c r="AZ76" s="884"/>
      <c r="BA76" s="884">
        <f>+$AO76*'ref.지급기준 (2)'!O170</f>
        <v>0</v>
      </c>
      <c r="BB76" s="890"/>
      <c r="BC76" s="2719"/>
      <c r="BD76" s="393"/>
      <c r="BE76" s="393" t="b">
        <f>+(BA76+AY76+AW76+AU76+AS76)=R76</f>
        <v>1</v>
      </c>
      <c r="BF76" s="393"/>
      <c r="BG76" s="393"/>
      <c r="BH76" s="393"/>
      <c r="BI76" s="393"/>
      <c r="BJ76" s="393"/>
      <c r="BK76" s="393"/>
      <c r="BL76" s="393"/>
      <c r="BM76" s="393"/>
      <c r="BN76" s="393"/>
      <c r="BO76" s="408"/>
      <c r="BP76" s="408"/>
    </row>
    <row r="77" spans="1:68" ht="16.5" customHeight="1">
      <c r="A77" s="394"/>
      <c r="B77" s="2734"/>
      <c r="C77" s="2736"/>
      <c r="D77" s="2738"/>
      <c r="E77" s="2760"/>
      <c r="F77" s="2763"/>
      <c r="G77" s="2738"/>
      <c r="H77" s="2738"/>
      <c r="I77" s="2732"/>
      <c r="J77" s="2747"/>
      <c r="K77" s="2715"/>
      <c r="L77" s="2652"/>
      <c r="M77" s="2654"/>
      <c r="N77" s="2654"/>
      <c r="O77" s="875" t="s">
        <v>127</v>
      </c>
      <c r="P77" s="896">
        <f>+'ref.지급기준 (2)'!F171*'ref.지급기준 (2)'!D171/'ref.지급기준 (2)'!$Q$2</f>
        <v>0</v>
      </c>
      <c r="Q77" s="896" t="s">
        <v>1218</v>
      </c>
      <c r="R77" s="897">
        <f t="shared" si="163"/>
        <v>0</v>
      </c>
      <c r="S77" s="874" t="b">
        <f t="shared" si="148"/>
        <v>1</v>
      </c>
      <c r="T77" s="908" t="str">
        <f>+IFERROR(U77/R77,"-")</f>
        <v>-</v>
      </c>
      <c r="U77" s="909">
        <f>+IFERROR(X77+AA77+AD77+AG77+AJ77+AM77,"-")</f>
        <v>0</v>
      </c>
      <c r="V77" s="908" t="str">
        <f t="shared" si="149"/>
        <v>-</v>
      </c>
      <c r="W77" s="919"/>
      <c r="X77" s="876"/>
      <c r="Y77" s="877"/>
      <c r="Z77" s="877" t="str">
        <f t="shared" si="160"/>
        <v>-</v>
      </c>
      <c r="AA77" s="877"/>
      <c r="AB77" s="883"/>
      <c r="AC77" s="877" t="str">
        <f t="shared" si="161"/>
        <v>-</v>
      </c>
      <c r="AD77" s="877"/>
      <c r="AE77" s="883"/>
      <c r="AF77" s="877" t="str">
        <f t="shared" si="162"/>
        <v>-</v>
      </c>
      <c r="AG77" s="877"/>
      <c r="AH77" s="883"/>
      <c r="AI77" s="877" t="str">
        <f>+IFERROR(AJ77/#REF!,"-")</f>
        <v>-</v>
      </c>
      <c r="AJ77" s="877"/>
      <c r="AK77" s="877"/>
      <c r="AL77" s="877" t="str">
        <f>+IFERROR(AM77/#REF!,"-")</f>
        <v>-</v>
      </c>
      <c r="AM77" s="877"/>
      <c r="AN77" s="877"/>
      <c r="AO77" s="884">
        <f t="shared" si="153"/>
        <v>0</v>
      </c>
      <c r="AP77" s="884">
        <f>+AO77*'ref.지급기준 (2)'!G171</f>
        <v>0</v>
      </c>
      <c r="AQ77" s="885"/>
      <c r="AR77" s="407"/>
      <c r="AS77" s="945">
        <f>+$AO77*'ref.지급기준 (2)'!G171</f>
        <v>0</v>
      </c>
      <c r="AT77" s="884">
        <f t="shared" si="154"/>
        <v>0</v>
      </c>
      <c r="AU77" s="884">
        <f>+$AO77*'ref.지급기준 (2)'!I171</f>
        <v>0</v>
      </c>
      <c r="AV77" s="884">
        <f t="shared" si="166"/>
        <v>0</v>
      </c>
      <c r="AW77" s="884">
        <f>+$AO77*'ref.지급기준 (2)'!K171</f>
        <v>0</v>
      </c>
      <c r="AX77" s="884"/>
      <c r="AY77" s="884">
        <f>+$AO77*'ref.지급기준 (2)'!M171</f>
        <v>0</v>
      </c>
      <c r="AZ77" s="884"/>
      <c r="BA77" s="884">
        <f>+$AO77*'ref.지급기준 (2)'!O171</f>
        <v>0</v>
      </c>
      <c r="BB77" s="890"/>
      <c r="BC77" s="2719"/>
      <c r="BD77" s="393"/>
      <c r="BE77" s="393" t="b">
        <f>+(BA77+AY77+AW77+AU77+AS77)=R77</f>
        <v>1</v>
      </c>
      <c r="BF77" s="393"/>
      <c r="BG77" s="393"/>
      <c r="BH77" s="393"/>
      <c r="BI77" s="393"/>
      <c r="BJ77" s="393"/>
      <c r="BK77" s="393"/>
      <c r="BL77" s="393"/>
      <c r="BM77" s="393"/>
      <c r="BN77" s="393"/>
      <c r="BO77" s="408"/>
      <c r="BP77" s="408"/>
    </row>
    <row r="78" spans="1:68" ht="16.5" customHeight="1">
      <c r="A78" s="394"/>
      <c r="B78" s="2734"/>
      <c r="C78" s="2736"/>
      <c r="D78" s="2738"/>
      <c r="E78" s="2760"/>
      <c r="F78" s="2763"/>
      <c r="G78" s="2738"/>
      <c r="H78" s="2738"/>
      <c r="I78" s="2732"/>
      <c r="J78" s="2747"/>
      <c r="K78" s="2715"/>
      <c r="L78" s="2652"/>
      <c r="M78" s="2654"/>
      <c r="N78" s="2654"/>
      <c r="O78" s="875" t="s">
        <v>128</v>
      </c>
      <c r="P78" s="896">
        <f>+'DG-PV Organic'!AJ19</f>
        <v>141859000</v>
      </c>
      <c r="Q78" s="896">
        <f t="shared" ref="Q78" si="167">+P78*10%</f>
        <v>14185900</v>
      </c>
      <c r="R78" s="897">
        <f t="shared" si="163"/>
        <v>156044900</v>
      </c>
      <c r="S78" s="409" t="b">
        <f t="shared" si="148"/>
        <v>1</v>
      </c>
      <c r="T78" s="908">
        <f>+IFERROR(U78/R78,"-")</f>
        <v>0</v>
      </c>
      <c r="U78" s="909">
        <f>+IFERROR(X78+AA78+AD78+AG78+AJ78+AM78,"-")</f>
        <v>0</v>
      </c>
      <c r="V78" s="908">
        <f t="shared" si="149"/>
        <v>0</v>
      </c>
      <c r="W78" s="919">
        <f>W76</f>
        <v>45777</v>
      </c>
      <c r="X78" s="876"/>
      <c r="Y78" s="877"/>
      <c r="Z78" s="877">
        <v>0</v>
      </c>
      <c r="AA78" s="877"/>
      <c r="AB78" s="883">
        <f>AB76</f>
        <v>45838</v>
      </c>
      <c r="AC78" s="877">
        <v>0</v>
      </c>
      <c r="AD78" s="877"/>
      <c r="AE78" s="883">
        <f>AE76</f>
        <v>45899</v>
      </c>
      <c r="AF78" s="877">
        <v>0</v>
      </c>
      <c r="AG78" s="877"/>
      <c r="AH78" s="883">
        <f>AH76</f>
        <v>46264</v>
      </c>
      <c r="AI78" s="877" t="str">
        <f>+IFERROR(AJ78/#REF!,"-")</f>
        <v>-</v>
      </c>
      <c r="AJ78" s="877"/>
      <c r="AK78" s="877"/>
      <c r="AL78" s="877" t="str">
        <f>+IFERROR(AM78/#REF!,"-")</f>
        <v>-</v>
      </c>
      <c r="AM78" s="877"/>
      <c r="AN78" s="877"/>
      <c r="AO78" s="884">
        <f t="shared" si="153"/>
        <v>156044900</v>
      </c>
      <c r="AP78" s="884">
        <f>+AO78*'ref.지급기준 (2)'!G172</f>
        <v>31208980</v>
      </c>
      <c r="AQ78" s="885">
        <f>+W78</f>
        <v>45777</v>
      </c>
      <c r="AR78" s="407"/>
      <c r="AS78" s="945">
        <f>+$AO78*'ref.지급기준 (2)'!G172</f>
        <v>31208980</v>
      </c>
      <c r="AT78" s="884">
        <f t="shared" si="154"/>
        <v>0</v>
      </c>
      <c r="AU78" s="884">
        <f>+$AO78*'ref.지급기준 (2)'!I172</f>
        <v>31208980</v>
      </c>
      <c r="AV78" s="884">
        <f t="shared" si="166"/>
        <v>0</v>
      </c>
      <c r="AW78" s="884">
        <f>+$AO78*'ref.지급기준 (2)'!K172</f>
        <v>78022450</v>
      </c>
      <c r="AX78" s="884"/>
      <c r="AY78" s="884">
        <f>+$AO78*'ref.지급기준 (2)'!M172</f>
        <v>15604490</v>
      </c>
      <c r="AZ78" s="884"/>
      <c r="BA78" s="884">
        <f>+$AO78*'ref.지급기준 (2)'!O172</f>
        <v>0</v>
      </c>
      <c r="BB78" s="890"/>
      <c r="BC78" s="2719"/>
      <c r="BD78" s="393"/>
      <c r="BE78" s="393" t="b">
        <f>+(BA78+AY78+AW78+AU78+AS78)=R78</f>
        <v>1</v>
      </c>
      <c r="BF78" s="393"/>
      <c r="BG78" s="393"/>
      <c r="BH78" s="393"/>
      <c r="BI78" s="393"/>
      <c r="BJ78" s="393"/>
      <c r="BK78" s="393"/>
      <c r="BL78" s="393"/>
      <c r="BM78" s="393"/>
      <c r="BN78" s="393"/>
      <c r="BO78" s="408"/>
      <c r="BP78" s="408"/>
    </row>
    <row r="79" spans="1:68" ht="16.5" customHeight="1" thickBot="1">
      <c r="A79" s="394"/>
      <c r="B79" s="2734"/>
      <c r="C79" s="2736"/>
      <c r="D79" s="2738"/>
      <c r="E79" s="2760"/>
      <c r="F79" s="2763"/>
      <c r="G79" s="2738"/>
      <c r="H79" s="2738"/>
      <c r="I79" s="2732"/>
      <c r="J79" s="2747"/>
      <c r="K79" s="2716"/>
      <c r="L79" s="2653"/>
      <c r="M79" s="2655"/>
      <c r="N79" s="2655"/>
      <c r="O79" s="999" t="s">
        <v>129</v>
      </c>
      <c r="P79" s="900">
        <f>+'DG-PV Organic'!AI19</f>
        <v>141859000</v>
      </c>
      <c r="Q79" s="901">
        <f>+P79*0.1</f>
        <v>14185900</v>
      </c>
      <c r="R79" s="901">
        <f>SUM(P79:Q79)</f>
        <v>156044900</v>
      </c>
      <c r="S79" s="409" t="b">
        <f t="shared" si="148"/>
        <v>1</v>
      </c>
      <c r="T79" s="936"/>
      <c r="U79" s="995"/>
      <c r="V79" s="936">
        <f t="shared" si="149"/>
        <v>0</v>
      </c>
      <c r="W79" s="937"/>
      <c r="X79" s="937"/>
      <c r="Y79" s="937"/>
      <c r="Z79" s="937">
        <f t="shared" ref="Z79:Z82" si="168">+IFERROR(AA79/$R79,"-")</f>
        <v>0</v>
      </c>
      <c r="AA79" s="937"/>
      <c r="AB79" s="938"/>
      <c r="AC79" s="937">
        <f t="shared" ref="AC79:AC82" si="169">+IFERROR(AD79/$R79,"-")</f>
        <v>0</v>
      </c>
      <c r="AD79" s="937"/>
      <c r="AE79" s="938"/>
      <c r="AF79" s="937">
        <f t="shared" ref="AF79:AF82" si="170">+IFERROR(AG79/$R79,"-")</f>
        <v>0</v>
      </c>
      <c r="AG79" s="937"/>
      <c r="AH79" s="938"/>
      <c r="AI79" s="937" t="str">
        <f>+IFERROR(AJ79/#REF!,"-")</f>
        <v>-</v>
      </c>
      <c r="AJ79" s="937"/>
      <c r="AK79" s="937"/>
      <c r="AL79" s="937"/>
      <c r="AM79" s="937"/>
      <c r="AN79" s="937"/>
      <c r="AO79" s="939">
        <f t="shared" si="153"/>
        <v>156044900</v>
      </c>
      <c r="AP79" s="939">
        <f>+AS79+AU79</f>
        <v>156044900</v>
      </c>
      <c r="AQ79" s="940"/>
      <c r="AR79" s="407"/>
      <c r="AS79" s="947">
        <f>+$AO79*'ref.지급기준 (2)'!G118</f>
        <v>156044900</v>
      </c>
      <c r="AT79" s="928">
        <f t="shared" si="154"/>
        <v>0</v>
      </c>
      <c r="AU79" s="928">
        <f>+$AO79*'ref.지급기준 (2)'!I118</f>
        <v>0</v>
      </c>
      <c r="AV79" s="928">
        <f t="shared" si="166"/>
        <v>0</v>
      </c>
      <c r="AW79" s="928">
        <f>+$AO79*'ref.지급기준 (2)'!K118</f>
        <v>0</v>
      </c>
      <c r="AX79" s="928"/>
      <c r="AY79" s="928">
        <f>+$AO79*'ref.지급기준 (2)'!M118</f>
        <v>0</v>
      </c>
      <c r="AZ79" s="928"/>
      <c r="BA79" s="928">
        <f>+$AO79*'ref.지급기준 (2)'!O118</f>
        <v>0</v>
      </c>
      <c r="BB79" s="997"/>
      <c r="BC79" s="2720"/>
      <c r="BD79" s="393"/>
      <c r="BE79" s="393"/>
      <c r="BF79" s="393"/>
      <c r="BG79" s="393"/>
      <c r="BH79" s="393"/>
      <c r="BI79" s="393"/>
      <c r="BJ79" s="393"/>
      <c r="BK79" s="393"/>
      <c r="BL79" s="393"/>
      <c r="BM79" s="393"/>
      <c r="BN79" s="393"/>
      <c r="BO79" s="408"/>
      <c r="BP79" s="408"/>
    </row>
    <row r="80" spans="1:68" ht="16.5" customHeight="1">
      <c r="A80" s="394"/>
      <c r="B80" s="2734"/>
      <c r="C80" s="2736"/>
      <c r="D80" s="2738"/>
      <c r="E80" s="2760"/>
      <c r="F80" s="2763"/>
      <c r="G80" s="2738"/>
      <c r="H80" s="2738"/>
      <c r="I80" s="2732" t="s">
        <v>1276</v>
      </c>
      <c r="J80" s="2747" t="s">
        <v>1277</v>
      </c>
      <c r="K80" s="2714">
        <f>+'ref.지급기준 (2)'!D219</f>
        <v>522.60500000000002</v>
      </c>
      <c r="L80" s="2730">
        <f>+'DG-PV Organic'!H28</f>
        <v>8.8400000000000006E-2</v>
      </c>
      <c r="M80" s="2717">
        <f>+'DG-PV Organic'!J28</f>
        <v>9.2999999999999999E-2</v>
      </c>
      <c r="N80" s="2717" t="s">
        <v>1257</v>
      </c>
      <c r="O80" s="893" t="s">
        <v>125</v>
      </c>
      <c r="P80" s="904">
        <f>+'DG-PV Organic'!AL22</f>
        <v>548735250</v>
      </c>
      <c r="Q80" s="904">
        <f>+P80*10%</f>
        <v>54873525</v>
      </c>
      <c r="R80" s="905">
        <f t="shared" ref="R80:R83" si="171">SUM(P80:Q80)</f>
        <v>603608775</v>
      </c>
      <c r="S80" s="874" t="b">
        <f t="shared" si="148"/>
        <v>1</v>
      </c>
      <c r="T80" s="983">
        <f>+IFERROR(U80/R80,"-")</f>
        <v>0</v>
      </c>
      <c r="U80" s="984">
        <f>+IFERROR(X80+AA80+AD80+AG80+AJ80+AM80,"-")</f>
        <v>0</v>
      </c>
      <c r="V80" s="877">
        <f t="shared" si="149"/>
        <v>0</v>
      </c>
      <c r="W80" s="883">
        <f>AE83</f>
        <v>45899</v>
      </c>
      <c r="X80" s="876"/>
      <c r="Y80" s="877"/>
      <c r="Z80" s="877">
        <f t="shared" si="168"/>
        <v>0</v>
      </c>
      <c r="AA80" s="877"/>
      <c r="AB80" s="883">
        <f>+EDATE(W80,1)</f>
        <v>45930</v>
      </c>
      <c r="AC80" s="877">
        <f t="shared" si="169"/>
        <v>0</v>
      </c>
      <c r="AD80" s="877"/>
      <c r="AE80" s="883">
        <f t="shared" ref="AE80" si="172">+EDATE(AB80,3)</f>
        <v>46021</v>
      </c>
      <c r="AF80" s="877">
        <f t="shared" si="170"/>
        <v>0</v>
      </c>
      <c r="AG80" s="877"/>
      <c r="AH80" s="883">
        <f t="shared" ref="AH80" si="173">+EDATE(AB80,4)</f>
        <v>46052</v>
      </c>
      <c r="AI80" s="877" t="str">
        <f>+IFERROR(AJ80/#REF!,"-")</f>
        <v>-</v>
      </c>
      <c r="AJ80" s="877"/>
      <c r="AK80" s="883">
        <f>+EDATE(AB80,6)+1</f>
        <v>46112</v>
      </c>
      <c r="AL80" s="912" t="str">
        <f>+IFERROR(AM80/#REF!,"-")</f>
        <v>-</v>
      </c>
      <c r="AM80" s="912"/>
      <c r="AN80" s="912"/>
      <c r="AO80" s="920">
        <f t="shared" si="153"/>
        <v>603608775</v>
      </c>
      <c r="AP80" s="920">
        <f>+AO80*'ref.지급기준 (2)'!G174</f>
        <v>60360877.5</v>
      </c>
      <c r="AQ80" s="921">
        <f>+W80</f>
        <v>45899</v>
      </c>
      <c r="AR80" s="407"/>
      <c r="AS80" s="945">
        <f>+$AO80*'ref.지급기준 (2)'!G174</f>
        <v>60360877.5</v>
      </c>
      <c r="AT80" s="884">
        <f t="shared" si="154"/>
        <v>0</v>
      </c>
      <c r="AU80" s="884">
        <f>+$AO80*'ref.지급기준 (2)'!I174</f>
        <v>120721755</v>
      </c>
      <c r="AV80" s="884">
        <f t="shared" si="166"/>
        <v>0</v>
      </c>
      <c r="AW80" s="884">
        <f>+$AO80*'ref.지급기준 (2)'!K174</f>
        <v>241443510</v>
      </c>
      <c r="AX80" s="884"/>
      <c r="AY80" s="884">
        <f>+$AO80*'ref.지급기준 (2)'!M174</f>
        <v>150902193.75</v>
      </c>
      <c r="AZ80" s="884"/>
      <c r="BA80" s="884">
        <f>+$AO80*'ref.지급기준 (2)'!O174</f>
        <v>30180438.75</v>
      </c>
      <c r="BB80" s="890"/>
      <c r="BC80" s="2718" t="s">
        <v>1271</v>
      </c>
      <c r="BD80" s="393"/>
      <c r="BE80" s="393" t="b">
        <f>+(BA80+AY80+AW80+AU80+AS80)=R80</f>
        <v>1</v>
      </c>
      <c r="BF80" s="393"/>
      <c r="BG80" s="393"/>
      <c r="BH80" s="393"/>
      <c r="BI80" s="393"/>
      <c r="BJ80" s="393"/>
      <c r="BK80" s="393"/>
      <c r="BL80" s="393"/>
      <c r="BM80" s="393"/>
      <c r="BN80" s="393"/>
      <c r="BO80" s="408"/>
      <c r="BP80" s="408"/>
    </row>
    <row r="81" spans="1:68" ht="16.5" customHeight="1">
      <c r="A81" s="394"/>
      <c r="B81" s="2734"/>
      <c r="C81" s="2736"/>
      <c r="D81" s="2738"/>
      <c r="E81" s="2760"/>
      <c r="F81" s="2763"/>
      <c r="G81" s="2738"/>
      <c r="H81" s="2738"/>
      <c r="I81" s="2732"/>
      <c r="J81" s="2747"/>
      <c r="K81" s="2715"/>
      <c r="L81" s="2652"/>
      <c r="M81" s="2654"/>
      <c r="N81" s="2654"/>
      <c r="O81" s="875" t="s">
        <v>126</v>
      </c>
      <c r="P81" s="896">
        <f>+'DG-PV Organic'!AK22</f>
        <v>156781500</v>
      </c>
      <c r="Q81" s="896">
        <f>+P81*10%</f>
        <v>15678150</v>
      </c>
      <c r="R81" s="897">
        <f t="shared" si="171"/>
        <v>172459650</v>
      </c>
      <c r="S81" s="874" t="b">
        <f t="shared" si="148"/>
        <v>1</v>
      </c>
      <c r="T81" s="908">
        <f>+IFERROR(U81/R81,"-")</f>
        <v>0.2</v>
      </c>
      <c r="U81" s="909">
        <f>+IFERROR(X81+AA81+AD81+AG81+AJ81+AM81,"-")</f>
        <v>34491930</v>
      </c>
      <c r="V81" s="879">
        <f t="shared" si="149"/>
        <v>0.2</v>
      </c>
      <c r="W81" s="889">
        <v>45754</v>
      </c>
      <c r="X81" s="880">
        <f>+'ref.지급기준 (2)'!F220*'ref.지급기준 (2)'!G220*'ref.지급기준 (2)'!D220/1000*1.1</f>
        <v>34491930</v>
      </c>
      <c r="Y81" s="879"/>
      <c r="Z81" s="877">
        <f t="shared" si="168"/>
        <v>0</v>
      </c>
      <c r="AA81" s="886"/>
      <c r="AB81" s="883">
        <v>45838</v>
      </c>
      <c r="AC81" s="877">
        <f t="shared" si="169"/>
        <v>0</v>
      </c>
      <c r="AD81" s="877"/>
      <c r="AE81" s="883">
        <f>EDATE(AB81,2)</f>
        <v>45899</v>
      </c>
      <c r="AF81" s="877">
        <f t="shared" si="170"/>
        <v>0</v>
      </c>
      <c r="AG81" s="877"/>
      <c r="AH81" s="883">
        <f>+EDATE(AB80,11)</f>
        <v>46264</v>
      </c>
      <c r="AI81" s="877" t="str">
        <f>+IFERROR(AJ81/#REF!,"-")</f>
        <v>-</v>
      </c>
      <c r="AJ81" s="877"/>
      <c r="AK81" s="877"/>
      <c r="AL81" s="877" t="str">
        <f>+IFERROR(AM81/#REF!,"-")</f>
        <v>-</v>
      </c>
      <c r="AM81" s="877"/>
      <c r="AN81" s="877"/>
      <c r="AO81" s="884">
        <f t="shared" si="153"/>
        <v>172459650</v>
      </c>
      <c r="AP81" s="884">
        <f>+AO81*'ref.지급기준 (2)'!G175</f>
        <v>34491930</v>
      </c>
      <c r="AQ81" s="885">
        <f>+W81</f>
        <v>45754</v>
      </c>
      <c r="AR81" s="407"/>
      <c r="AS81" s="945">
        <f>+$AO81*'ref.지급기준 (2)'!G175</f>
        <v>34491930</v>
      </c>
      <c r="AT81" s="884">
        <f t="shared" si="154"/>
        <v>34491930</v>
      </c>
      <c r="AU81" s="884">
        <f>+$AO81*'ref.지급기준 (2)'!I175</f>
        <v>34491930</v>
      </c>
      <c r="AV81" s="884">
        <f t="shared" si="166"/>
        <v>0</v>
      </c>
      <c r="AW81" s="884">
        <f>+$AO81*'ref.지급기준 (2)'!K175</f>
        <v>86229825</v>
      </c>
      <c r="AX81" s="884"/>
      <c r="AY81" s="884">
        <f>+$AO81*'ref.지급기준 (2)'!M175</f>
        <v>17245965</v>
      </c>
      <c r="AZ81" s="884"/>
      <c r="BA81" s="884">
        <f>+$AO81*'ref.지급기준 (2)'!O175</f>
        <v>0</v>
      </c>
      <c r="BB81" s="890"/>
      <c r="BC81" s="2719"/>
      <c r="BD81" s="393"/>
      <c r="BE81" s="393" t="b">
        <f>+(BA81+AY81+AW81+AU81+AS81)=R81</f>
        <v>1</v>
      </c>
      <c r="BF81" s="393"/>
      <c r="BG81" s="393"/>
      <c r="BH81" s="393"/>
      <c r="BI81" s="393"/>
      <c r="BJ81" s="393"/>
      <c r="BK81" s="393"/>
      <c r="BL81" s="393"/>
      <c r="BM81" s="393"/>
      <c r="BN81" s="393"/>
      <c r="BO81" s="408"/>
      <c r="BP81" s="408"/>
    </row>
    <row r="82" spans="1:68" ht="16.5" customHeight="1">
      <c r="A82" s="394"/>
      <c r="B82" s="2734"/>
      <c r="C82" s="2736"/>
      <c r="D82" s="2738"/>
      <c r="E82" s="2760"/>
      <c r="F82" s="2763"/>
      <c r="G82" s="2738"/>
      <c r="H82" s="2738"/>
      <c r="I82" s="2732"/>
      <c r="J82" s="2747"/>
      <c r="K82" s="2715"/>
      <c r="L82" s="2652"/>
      <c r="M82" s="2654"/>
      <c r="N82" s="2654"/>
      <c r="O82" s="875" t="s">
        <v>127</v>
      </c>
      <c r="P82" s="896">
        <f>+'ref.지급기준 (2)'!F176*'ref.지급기준 (2)'!D176/'ref.지급기준 (2)'!$Q$2</f>
        <v>0</v>
      </c>
      <c r="Q82" s="896" t="s">
        <v>1218</v>
      </c>
      <c r="R82" s="897">
        <f t="shared" si="171"/>
        <v>0</v>
      </c>
      <c r="S82" s="874" t="b">
        <f t="shared" si="148"/>
        <v>1</v>
      </c>
      <c r="T82" s="908" t="str">
        <f>+IFERROR(U82/R82,"-")</f>
        <v>-</v>
      </c>
      <c r="U82" s="909">
        <f>+IFERROR(X82+AA82+AD82+AG82+AJ82+AM82,"-")</f>
        <v>0</v>
      </c>
      <c r="V82" s="877" t="str">
        <f t="shared" si="149"/>
        <v>-</v>
      </c>
      <c r="W82" s="887"/>
      <c r="X82" s="876"/>
      <c r="Y82" s="877"/>
      <c r="Z82" s="877" t="str">
        <f t="shared" si="168"/>
        <v>-</v>
      </c>
      <c r="AA82" s="877"/>
      <c r="AB82" s="883"/>
      <c r="AC82" s="877" t="str">
        <f t="shared" si="169"/>
        <v>-</v>
      </c>
      <c r="AD82" s="877"/>
      <c r="AE82" s="883"/>
      <c r="AF82" s="877" t="str">
        <f t="shared" si="170"/>
        <v>-</v>
      </c>
      <c r="AG82" s="877"/>
      <c r="AH82" s="883"/>
      <c r="AI82" s="877" t="str">
        <f>+IFERROR(AJ82/#REF!,"-")</f>
        <v>-</v>
      </c>
      <c r="AJ82" s="877"/>
      <c r="AK82" s="877"/>
      <c r="AL82" s="877" t="str">
        <f>+IFERROR(AM82/#REF!,"-")</f>
        <v>-</v>
      </c>
      <c r="AM82" s="877"/>
      <c r="AN82" s="877"/>
      <c r="AO82" s="884">
        <f t="shared" si="153"/>
        <v>0</v>
      </c>
      <c r="AP82" s="884">
        <f>+AO82*'ref.지급기준 (2)'!G176</f>
        <v>0</v>
      </c>
      <c r="AQ82" s="885"/>
      <c r="AR82" s="407"/>
      <c r="AS82" s="945">
        <f>+$AO82*'ref.지급기준 (2)'!G176</f>
        <v>0</v>
      </c>
      <c r="AT82" s="884">
        <f t="shared" si="154"/>
        <v>0</v>
      </c>
      <c r="AU82" s="884">
        <f>+$AO82*'ref.지급기준 (2)'!I176</f>
        <v>0</v>
      </c>
      <c r="AV82" s="884">
        <f t="shared" si="166"/>
        <v>0</v>
      </c>
      <c r="AW82" s="884">
        <f>+$AO82*'ref.지급기준 (2)'!K176</f>
        <v>0</v>
      </c>
      <c r="AX82" s="884"/>
      <c r="AY82" s="884">
        <f>+$AO82*'ref.지급기준 (2)'!M176</f>
        <v>0</v>
      </c>
      <c r="AZ82" s="884"/>
      <c r="BA82" s="884">
        <f>+$AO82*'ref.지급기준 (2)'!O176</f>
        <v>0</v>
      </c>
      <c r="BB82" s="890"/>
      <c r="BC82" s="2719"/>
      <c r="BD82" s="393"/>
      <c r="BE82" s="393" t="b">
        <f>+(BA82+AY82+AW82+AU82+AS82)=R82</f>
        <v>1</v>
      </c>
      <c r="BF82" s="393"/>
      <c r="BG82" s="393"/>
      <c r="BH82" s="393"/>
      <c r="BI82" s="393"/>
      <c r="BJ82" s="393"/>
      <c r="BK82" s="393"/>
      <c r="BL82" s="393"/>
      <c r="BM82" s="393"/>
      <c r="BN82" s="393"/>
      <c r="BO82" s="408"/>
      <c r="BP82" s="408"/>
    </row>
    <row r="83" spans="1:68" ht="16.5" customHeight="1">
      <c r="A83" s="394"/>
      <c r="B83" s="2734"/>
      <c r="C83" s="2736"/>
      <c r="D83" s="2738"/>
      <c r="E83" s="2760"/>
      <c r="F83" s="2763"/>
      <c r="G83" s="2738"/>
      <c r="H83" s="2738"/>
      <c r="I83" s="2732"/>
      <c r="J83" s="2747"/>
      <c r="K83" s="2715"/>
      <c r="L83" s="2652"/>
      <c r="M83" s="2654"/>
      <c r="N83" s="2654"/>
      <c r="O83" s="875" t="s">
        <v>128</v>
      </c>
      <c r="P83" s="896">
        <f>+'DG-PV Organic'!AJ22</f>
        <v>104521000</v>
      </c>
      <c r="Q83" s="896">
        <f t="shared" ref="Q83" si="174">+P83*10%</f>
        <v>10452100</v>
      </c>
      <c r="R83" s="897">
        <f t="shared" si="171"/>
        <v>114973100</v>
      </c>
      <c r="S83" s="409" t="b">
        <f t="shared" si="148"/>
        <v>1</v>
      </c>
      <c r="T83" s="908">
        <f>+IFERROR(U83/R83,"-")</f>
        <v>0.2</v>
      </c>
      <c r="U83" s="909">
        <f>+IFERROR(X83+AA83+AD83+AG83+AJ83+AM83,"-")</f>
        <v>22994620</v>
      </c>
      <c r="V83" s="879">
        <f t="shared" si="149"/>
        <v>0.2</v>
      </c>
      <c r="W83" s="881">
        <f>W81</f>
        <v>45754</v>
      </c>
      <c r="X83" s="880">
        <f>+'ref.지급기준 (2)'!D222*'ref.지급기준 (2)'!F222/1000*'ref.지급기준 (2)'!G222*1.1</f>
        <v>22994620</v>
      </c>
      <c r="Y83" s="879"/>
      <c r="Z83" s="877">
        <v>0</v>
      </c>
      <c r="AA83" s="877"/>
      <c r="AB83" s="883">
        <f>AB81</f>
        <v>45838</v>
      </c>
      <c r="AC83" s="877">
        <v>0</v>
      </c>
      <c r="AD83" s="877"/>
      <c r="AE83" s="883">
        <f>AE81</f>
        <v>45899</v>
      </c>
      <c r="AF83" s="877">
        <v>0</v>
      </c>
      <c r="AG83" s="877"/>
      <c r="AH83" s="883">
        <f>AH81</f>
        <v>46264</v>
      </c>
      <c r="AI83" s="877" t="str">
        <f>+IFERROR(AJ83/#REF!,"-")</f>
        <v>-</v>
      </c>
      <c r="AJ83" s="877"/>
      <c r="AK83" s="877"/>
      <c r="AL83" s="877" t="str">
        <f>+IFERROR(AM83/#REF!,"-")</f>
        <v>-</v>
      </c>
      <c r="AM83" s="877"/>
      <c r="AN83" s="877"/>
      <c r="AO83" s="884">
        <f t="shared" si="153"/>
        <v>114973100</v>
      </c>
      <c r="AP83" s="884">
        <f>+AO83*'ref.지급기준 (2)'!G177</f>
        <v>22994620</v>
      </c>
      <c r="AQ83" s="885">
        <f>+W83</f>
        <v>45754</v>
      </c>
      <c r="AR83" s="407"/>
      <c r="AS83" s="945">
        <f>+$AO83*'ref.지급기준 (2)'!G177</f>
        <v>22994620</v>
      </c>
      <c r="AT83" s="884">
        <f t="shared" si="154"/>
        <v>22994620</v>
      </c>
      <c r="AU83" s="884">
        <f>+$AO83*'ref.지급기준 (2)'!I177</f>
        <v>22994620</v>
      </c>
      <c r="AV83" s="884">
        <f t="shared" si="166"/>
        <v>0</v>
      </c>
      <c r="AW83" s="884">
        <f>+$AO83*'ref.지급기준 (2)'!K177</f>
        <v>57486550</v>
      </c>
      <c r="AX83" s="884"/>
      <c r="AY83" s="884">
        <f>+$AO83*'ref.지급기준 (2)'!M177</f>
        <v>11497310</v>
      </c>
      <c r="AZ83" s="884"/>
      <c r="BA83" s="884">
        <f>+$AO83*'ref.지급기준 (2)'!O177</f>
        <v>0</v>
      </c>
      <c r="BB83" s="890"/>
      <c r="BC83" s="2719"/>
      <c r="BD83" s="393"/>
      <c r="BE83" s="393" t="b">
        <f>+(BA83+AY83+AW83+AU83+AS83)=R83</f>
        <v>1</v>
      </c>
      <c r="BF83" s="393"/>
      <c r="BG83" s="393"/>
      <c r="BH83" s="393"/>
      <c r="BI83" s="393"/>
      <c r="BJ83" s="393"/>
      <c r="BK83" s="393"/>
      <c r="BL83" s="393"/>
      <c r="BM83" s="393"/>
      <c r="BN83" s="393"/>
      <c r="BO83" s="408"/>
      <c r="BP83" s="408"/>
    </row>
    <row r="84" spans="1:68" ht="16.5" customHeight="1" thickBot="1">
      <c r="A84" s="394"/>
      <c r="B84" s="2734"/>
      <c r="C84" s="2736"/>
      <c r="D84" s="2738"/>
      <c r="E84" s="2760"/>
      <c r="F84" s="2763"/>
      <c r="G84" s="2738"/>
      <c r="H84" s="2738"/>
      <c r="I84" s="2732"/>
      <c r="J84" s="2747"/>
      <c r="K84" s="2716"/>
      <c r="L84" s="2653"/>
      <c r="M84" s="2655"/>
      <c r="N84" s="2655"/>
      <c r="O84" s="999" t="s">
        <v>129</v>
      </c>
      <c r="P84" s="900">
        <f>+'DG-PV Organic'!AI22</f>
        <v>104521000</v>
      </c>
      <c r="Q84" s="901">
        <f>+P84*0.1</f>
        <v>10452100</v>
      </c>
      <c r="R84" s="901">
        <f>SUM(P84:Q84)</f>
        <v>114973100</v>
      </c>
      <c r="S84" s="409" t="b">
        <f t="shared" si="148"/>
        <v>1</v>
      </c>
      <c r="T84" s="936"/>
      <c r="U84" s="995"/>
      <c r="V84" s="910">
        <f t="shared" si="149"/>
        <v>0</v>
      </c>
      <c r="W84" s="926"/>
      <c r="X84" s="926"/>
      <c r="Y84" s="926"/>
      <c r="Z84" s="937">
        <f t="shared" ref="Z84:Z87" si="175">+IFERROR(AA84/$R84,"-")</f>
        <v>0</v>
      </c>
      <c r="AA84" s="937"/>
      <c r="AB84" s="938"/>
      <c r="AC84" s="937">
        <f t="shared" ref="AC84:AC87" si="176">+IFERROR(AD84/$R84,"-")</f>
        <v>0</v>
      </c>
      <c r="AD84" s="937"/>
      <c r="AE84" s="938"/>
      <c r="AF84" s="937">
        <f t="shared" ref="AF84:AF87" si="177">+IFERROR(AG84/$R84,"-")</f>
        <v>0</v>
      </c>
      <c r="AG84" s="937"/>
      <c r="AH84" s="938"/>
      <c r="AI84" s="937" t="str">
        <f>+IFERROR(AJ84/#REF!,"-")</f>
        <v>-</v>
      </c>
      <c r="AJ84" s="937"/>
      <c r="AK84" s="937"/>
      <c r="AL84" s="937"/>
      <c r="AM84" s="937"/>
      <c r="AN84" s="937"/>
      <c r="AO84" s="939">
        <f t="shared" si="153"/>
        <v>114973100</v>
      </c>
      <c r="AP84" s="939">
        <f>+AS84+AU84</f>
        <v>114973100</v>
      </c>
      <c r="AQ84" s="940"/>
      <c r="AR84" s="407"/>
      <c r="AS84" s="947">
        <f>+$AO84*'ref.지급기준 (2)'!G123</f>
        <v>114973100</v>
      </c>
      <c r="AT84" s="928">
        <f t="shared" si="154"/>
        <v>0</v>
      </c>
      <c r="AU84" s="928">
        <f>+$AO84*'ref.지급기준 (2)'!I123</f>
        <v>0</v>
      </c>
      <c r="AV84" s="928">
        <f t="shared" si="166"/>
        <v>0</v>
      </c>
      <c r="AW84" s="928">
        <f>+$AO84*'ref.지급기준 (2)'!K123</f>
        <v>0</v>
      </c>
      <c r="AX84" s="928"/>
      <c r="AY84" s="928">
        <f>+$AO84*'ref.지급기준 (2)'!M123</f>
        <v>0</v>
      </c>
      <c r="AZ84" s="928"/>
      <c r="BA84" s="928">
        <f>+$AO84*'ref.지급기준 (2)'!O123</f>
        <v>0</v>
      </c>
      <c r="BB84" s="997"/>
      <c r="BC84" s="2720"/>
      <c r="BD84" s="393"/>
      <c r="BE84" s="393"/>
      <c r="BF84" s="393"/>
      <c r="BG84" s="393"/>
      <c r="BH84" s="393"/>
      <c r="BI84" s="393"/>
      <c r="BJ84" s="393"/>
      <c r="BK84" s="393"/>
      <c r="BL84" s="393"/>
      <c r="BM84" s="393"/>
      <c r="BN84" s="393"/>
      <c r="BO84" s="408"/>
      <c r="BP84" s="408"/>
    </row>
    <row r="85" spans="1:68" ht="16.5" customHeight="1">
      <c r="A85" s="394"/>
      <c r="B85" s="2734"/>
      <c r="C85" s="2736"/>
      <c r="D85" s="2738"/>
      <c r="E85" s="2760"/>
      <c r="F85" s="2763"/>
      <c r="G85" s="2738"/>
      <c r="H85" s="2738"/>
      <c r="I85" s="2732" t="s">
        <v>1278</v>
      </c>
      <c r="J85" s="2747" t="s">
        <v>1279</v>
      </c>
      <c r="K85" s="2714">
        <f>+'DG-PV Organic'!O24</f>
        <v>2743.2</v>
      </c>
      <c r="L85" s="2730">
        <f>+'DG-PV Organic'!H33</f>
        <v>9.6500000000000002E-2</v>
      </c>
      <c r="M85" s="2717">
        <f>+'DG-PV Organic'!J33</f>
        <v>9.6000000000000002E-2</v>
      </c>
      <c r="N85" s="2717" t="s">
        <v>1257</v>
      </c>
      <c r="O85" s="893" t="s">
        <v>125</v>
      </c>
      <c r="P85" s="904">
        <f>+'DG-PV Organic'!AL24</f>
        <v>2880360000</v>
      </c>
      <c r="Q85" s="904">
        <f>+P85*10%</f>
        <v>288036000</v>
      </c>
      <c r="R85" s="905">
        <f t="shared" ref="R85:R88" si="178">SUM(P85:Q85)</f>
        <v>3168396000</v>
      </c>
      <c r="S85" s="874" t="b">
        <f t="shared" si="148"/>
        <v>1</v>
      </c>
      <c r="T85" s="983">
        <f>+IFERROR(U85/R85,"-")</f>
        <v>0</v>
      </c>
      <c r="U85" s="984">
        <f>+IFERROR(X85+AA85+AD85+AG85+AJ85+AM85,"-")</f>
        <v>0</v>
      </c>
      <c r="V85" s="983">
        <f t="shared" si="149"/>
        <v>0</v>
      </c>
      <c r="W85" s="883">
        <f>AE88</f>
        <v>45930</v>
      </c>
      <c r="X85" s="991"/>
      <c r="Y85" s="912"/>
      <c r="Z85" s="877">
        <f t="shared" si="175"/>
        <v>0</v>
      </c>
      <c r="AA85" s="877"/>
      <c r="AB85" s="883">
        <f>+EDATE(W85,1)</f>
        <v>45960</v>
      </c>
      <c r="AC85" s="877">
        <f t="shared" si="176"/>
        <v>0</v>
      </c>
      <c r="AD85" s="877"/>
      <c r="AE85" s="883">
        <f t="shared" ref="AE85" si="179">+EDATE(AB85,3)</f>
        <v>46052</v>
      </c>
      <c r="AF85" s="877">
        <f t="shared" si="177"/>
        <v>0</v>
      </c>
      <c r="AG85" s="877"/>
      <c r="AH85" s="883">
        <f t="shared" ref="AH85" si="180">+EDATE(AB85,4)</f>
        <v>46081</v>
      </c>
      <c r="AI85" s="877" t="str">
        <f>+IFERROR(AJ85/#REF!,"-")</f>
        <v>-</v>
      </c>
      <c r="AJ85" s="877"/>
      <c r="AK85" s="883">
        <f>+EDATE(AB85,6)+1</f>
        <v>46143</v>
      </c>
      <c r="AL85" s="912" t="str">
        <f>+IFERROR(AM85/#REF!,"-")</f>
        <v>-</v>
      </c>
      <c r="AM85" s="912"/>
      <c r="AN85" s="912"/>
      <c r="AO85" s="920">
        <f t="shared" si="153"/>
        <v>3168396000</v>
      </c>
      <c r="AP85" s="920">
        <f>+AO85*'ref.지급기준 (2)'!G179</f>
        <v>316839600</v>
      </c>
      <c r="AQ85" s="921">
        <f>+W85</f>
        <v>45930</v>
      </c>
      <c r="AR85" s="407"/>
      <c r="AS85" s="945">
        <f>+$AO85*'ref.지급기준 (2)'!G179</f>
        <v>316839600</v>
      </c>
      <c r="AT85" s="884">
        <f t="shared" si="154"/>
        <v>0</v>
      </c>
      <c r="AU85" s="884">
        <f>+$AO85*'ref.지급기준 (2)'!I179</f>
        <v>633679200</v>
      </c>
      <c r="AV85" s="884">
        <f t="shared" ref="AV85:AV94" si="181">+AA85</f>
        <v>0</v>
      </c>
      <c r="AW85" s="884">
        <f>+$AO85*'ref.지급기준 (2)'!K179</f>
        <v>1267358400</v>
      </c>
      <c r="AX85" s="884"/>
      <c r="AY85" s="884">
        <f>+$AO85*'ref.지급기준 (2)'!M179</f>
        <v>792099000</v>
      </c>
      <c r="AZ85" s="884"/>
      <c r="BA85" s="884">
        <f>+$AO85*'ref.지급기준 (2)'!O179</f>
        <v>158419800</v>
      </c>
      <c r="BB85" s="890"/>
      <c r="BC85" s="2718" t="s">
        <v>1271</v>
      </c>
      <c r="BD85" s="393"/>
      <c r="BE85" s="393" t="b">
        <f>+(BA85+AY85+AW85+AU85+AS85)=R85</f>
        <v>1</v>
      </c>
      <c r="BF85" s="393"/>
      <c r="BG85" s="393"/>
      <c r="BH85" s="393"/>
      <c r="BI85" s="393"/>
      <c r="BJ85" s="393"/>
      <c r="BK85" s="393"/>
      <c r="BL85" s="393"/>
      <c r="BM85" s="393"/>
      <c r="BN85" s="393"/>
      <c r="BO85" s="408"/>
      <c r="BP85" s="408"/>
    </row>
    <row r="86" spans="1:68" ht="16.5" customHeight="1">
      <c r="A86" s="394"/>
      <c r="B86" s="2734"/>
      <c r="C86" s="2736"/>
      <c r="D86" s="2738"/>
      <c r="E86" s="2760"/>
      <c r="F86" s="2763"/>
      <c r="G86" s="2738"/>
      <c r="H86" s="2738"/>
      <c r="I86" s="2732"/>
      <c r="J86" s="2747"/>
      <c r="K86" s="2715"/>
      <c r="L86" s="2652"/>
      <c r="M86" s="2654"/>
      <c r="N86" s="2654"/>
      <c r="O86" s="875" t="s">
        <v>126</v>
      </c>
      <c r="P86" s="896">
        <f>+'DG-PV Organic'!AK24</f>
        <v>822960000</v>
      </c>
      <c r="Q86" s="896">
        <f>+P86*10%</f>
        <v>82296000</v>
      </c>
      <c r="R86" s="897">
        <f t="shared" si="178"/>
        <v>905256000</v>
      </c>
      <c r="S86" s="874" t="b">
        <f t="shared" si="148"/>
        <v>1</v>
      </c>
      <c r="T86" s="908">
        <f>+IFERROR(U86/R86,"-")</f>
        <v>0</v>
      </c>
      <c r="U86" s="909">
        <f>+IFERROR(X86+AA86+AD86+AG86+AJ86+AM86,"-")</f>
        <v>0</v>
      </c>
      <c r="V86" s="908">
        <f t="shared" si="149"/>
        <v>0</v>
      </c>
      <c r="W86" s="919">
        <v>45777</v>
      </c>
      <c r="X86" s="876"/>
      <c r="Y86" s="877"/>
      <c r="Z86" s="877">
        <f t="shared" si="175"/>
        <v>0</v>
      </c>
      <c r="AA86" s="886"/>
      <c r="AB86" s="883">
        <v>45869</v>
      </c>
      <c r="AC86" s="877">
        <f t="shared" si="176"/>
        <v>0</v>
      </c>
      <c r="AD86" s="877"/>
      <c r="AE86" s="883">
        <f>EDATE(AB86,2)</f>
        <v>45930</v>
      </c>
      <c r="AF86" s="877">
        <f t="shared" si="177"/>
        <v>0</v>
      </c>
      <c r="AG86" s="877"/>
      <c r="AH86" s="883">
        <f>+EDATE(AB85,12)</f>
        <v>46325</v>
      </c>
      <c r="AI86" s="877" t="str">
        <f>+IFERROR(AJ86/#REF!,"-")</f>
        <v>-</v>
      </c>
      <c r="AJ86" s="877"/>
      <c r="AK86" s="877"/>
      <c r="AL86" s="877" t="str">
        <f>+IFERROR(AM86/#REF!,"-")</f>
        <v>-</v>
      </c>
      <c r="AM86" s="877"/>
      <c r="AN86" s="877"/>
      <c r="AO86" s="884">
        <f t="shared" si="153"/>
        <v>905256000</v>
      </c>
      <c r="AP86" s="884">
        <f>+AO86*'ref.지급기준 (2)'!G180</f>
        <v>181051200</v>
      </c>
      <c r="AQ86" s="885">
        <f>+W86</f>
        <v>45777</v>
      </c>
      <c r="AR86" s="407"/>
      <c r="AS86" s="945">
        <f>+$AO86*'ref.지급기준 (2)'!G180</f>
        <v>181051200</v>
      </c>
      <c r="AT86" s="884">
        <f t="shared" si="154"/>
        <v>0</v>
      </c>
      <c r="AU86" s="884">
        <f>+$AO86*'ref.지급기준 (2)'!I180</f>
        <v>181051200</v>
      </c>
      <c r="AV86" s="884">
        <f t="shared" si="181"/>
        <v>0</v>
      </c>
      <c r="AW86" s="884">
        <f>+$AO86*'ref.지급기준 (2)'!K180</f>
        <v>452628000</v>
      </c>
      <c r="AX86" s="884"/>
      <c r="AY86" s="884">
        <f>+$AO86*'ref.지급기준 (2)'!M180</f>
        <v>90525600</v>
      </c>
      <c r="AZ86" s="884"/>
      <c r="BA86" s="884">
        <f>+$AO86*'ref.지급기준 (2)'!O180</f>
        <v>0</v>
      </c>
      <c r="BB86" s="890"/>
      <c r="BC86" s="2719"/>
      <c r="BD86" s="393"/>
      <c r="BE86" s="393" t="b">
        <f>+(BA86+AY86+AW86+AU86+AS86)=R86</f>
        <v>1</v>
      </c>
      <c r="BF86" s="393"/>
      <c r="BG86" s="393"/>
      <c r="BH86" s="393"/>
      <c r="BI86" s="393"/>
      <c r="BJ86" s="393"/>
      <c r="BK86" s="393"/>
      <c r="BL86" s="393"/>
      <c r="BM86" s="393"/>
      <c r="BN86" s="393"/>
      <c r="BO86" s="408"/>
      <c r="BP86" s="408"/>
    </row>
    <row r="87" spans="1:68" ht="16.5" customHeight="1">
      <c r="A87" s="394"/>
      <c r="B87" s="2734"/>
      <c r="C87" s="2736"/>
      <c r="D87" s="2738"/>
      <c r="E87" s="2760"/>
      <c r="F87" s="2763"/>
      <c r="G87" s="2738"/>
      <c r="H87" s="2738"/>
      <c r="I87" s="2732"/>
      <c r="J87" s="2747"/>
      <c r="K87" s="2715"/>
      <c r="L87" s="2652"/>
      <c r="M87" s="2654"/>
      <c r="N87" s="2654"/>
      <c r="O87" s="875" t="s">
        <v>127</v>
      </c>
      <c r="P87" s="896">
        <f>+'ref.지급기준 (2)'!F181*'ref.지급기준 (2)'!D181/'ref.지급기준 (2)'!$Q$2</f>
        <v>0</v>
      </c>
      <c r="Q87" s="896" t="s">
        <v>1218</v>
      </c>
      <c r="R87" s="897">
        <f t="shared" si="178"/>
        <v>0</v>
      </c>
      <c r="S87" s="874" t="b">
        <f t="shared" si="148"/>
        <v>1</v>
      </c>
      <c r="T87" s="908" t="str">
        <f>+IFERROR(U87/R87,"-")</f>
        <v>-</v>
      </c>
      <c r="U87" s="909">
        <f>+IFERROR(X87+AA87+AD87+AG87+AJ87+AM87,"-")</f>
        <v>0</v>
      </c>
      <c r="V87" s="908" t="str">
        <f t="shared" si="149"/>
        <v>-</v>
      </c>
      <c r="W87" s="919"/>
      <c r="X87" s="876"/>
      <c r="Y87" s="877"/>
      <c r="Z87" s="877" t="str">
        <f t="shared" si="175"/>
        <v>-</v>
      </c>
      <c r="AA87" s="877"/>
      <c r="AB87" s="883"/>
      <c r="AC87" s="877" t="str">
        <f t="shared" si="176"/>
        <v>-</v>
      </c>
      <c r="AD87" s="877"/>
      <c r="AE87" s="883"/>
      <c r="AF87" s="877" t="str">
        <f t="shared" si="177"/>
        <v>-</v>
      </c>
      <c r="AG87" s="877"/>
      <c r="AH87" s="883"/>
      <c r="AI87" s="877" t="str">
        <f>+IFERROR(AJ87/#REF!,"-")</f>
        <v>-</v>
      </c>
      <c r="AJ87" s="877"/>
      <c r="AK87" s="877"/>
      <c r="AL87" s="877" t="str">
        <f>+IFERROR(AM87/#REF!,"-")</f>
        <v>-</v>
      </c>
      <c r="AM87" s="877"/>
      <c r="AN87" s="877"/>
      <c r="AO87" s="884">
        <f t="shared" si="153"/>
        <v>0</v>
      </c>
      <c r="AP87" s="884">
        <f>+AO87*'ref.지급기준 (2)'!G181</f>
        <v>0</v>
      </c>
      <c r="AQ87" s="885"/>
      <c r="AR87" s="407"/>
      <c r="AS87" s="945">
        <f>+$AO87*'ref.지급기준 (2)'!G181</f>
        <v>0</v>
      </c>
      <c r="AT87" s="884">
        <f t="shared" si="154"/>
        <v>0</v>
      </c>
      <c r="AU87" s="884">
        <f>+$AO87*'ref.지급기준 (2)'!I181</f>
        <v>0</v>
      </c>
      <c r="AV87" s="884">
        <f t="shared" si="181"/>
        <v>0</v>
      </c>
      <c r="AW87" s="884">
        <f>+$AO87*'ref.지급기준 (2)'!K181</f>
        <v>0</v>
      </c>
      <c r="AX87" s="884"/>
      <c r="AY87" s="884">
        <f>+$AO87*'ref.지급기준 (2)'!M181</f>
        <v>0</v>
      </c>
      <c r="AZ87" s="884"/>
      <c r="BA87" s="884">
        <f>+$AO87*'ref.지급기준 (2)'!O181</f>
        <v>0</v>
      </c>
      <c r="BB87" s="890"/>
      <c r="BC87" s="2719"/>
      <c r="BD87" s="393"/>
      <c r="BE87" s="393" t="b">
        <f>+(BA87+AY87+AW87+AU87+AS87)=R87</f>
        <v>1</v>
      </c>
      <c r="BF87" s="393"/>
      <c r="BG87" s="393"/>
      <c r="BH87" s="393"/>
      <c r="BI87" s="393"/>
      <c r="BJ87" s="393"/>
      <c r="BK87" s="393"/>
      <c r="BL87" s="393"/>
      <c r="BM87" s="393"/>
      <c r="BN87" s="393"/>
      <c r="BO87" s="408"/>
      <c r="BP87" s="408"/>
    </row>
    <row r="88" spans="1:68" ht="16.5" customHeight="1">
      <c r="A88" s="394"/>
      <c r="B88" s="2734"/>
      <c r="C88" s="2736"/>
      <c r="D88" s="2738"/>
      <c r="E88" s="2760"/>
      <c r="F88" s="2763"/>
      <c r="G88" s="2738"/>
      <c r="H88" s="2738"/>
      <c r="I88" s="2732"/>
      <c r="J88" s="2747"/>
      <c r="K88" s="2715"/>
      <c r="L88" s="2652"/>
      <c r="M88" s="2654"/>
      <c r="N88" s="2654"/>
      <c r="O88" s="875" t="s">
        <v>128</v>
      </c>
      <c r="P88" s="896">
        <f>+'DG-PV Organic'!AJ24</f>
        <v>548639999.99999988</v>
      </c>
      <c r="Q88" s="896">
        <f t="shared" ref="Q88" si="182">+P88*10%</f>
        <v>54863999.999999993</v>
      </c>
      <c r="R88" s="897">
        <f t="shared" si="178"/>
        <v>603503999.99999988</v>
      </c>
      <c r="S88" s="409" t="b">
        <f t="shared" si="148"/>
        <v>1</v>
      </c>
      <c r="T88" s="908">
        <f>+IFERROR(U88/R88,"-")</f>
        <v>0</v>
      </c>
      <c r="U88" s="909">
        <f>+IFERROR(X88+AA88+AD88+AG88+AJ88+AM88,"-")</f>
        <v>0</v>
      </c>
      <c r="V88" s="908">
        <f t="shared" si="149"/>
        <v>0</v>
      </c>
      <c r="W88" s="919">
        <f>W86</f>
        <v>45777</v>
      </c>
      <c r="X88" s="876"/>
      <c r="Y88" s="877"/>
      <c r="Z88" s="877">
        <v>0</v>
      </c>
      <c r="AA88" s="877"/>
      <c r="AB88" s="883">
        <f>AB86</f>
        <v>45869</v>
      </c>
      <c r="AC88" s="877">
        <v>0</v>
      </c>
      <c r="AD88" s="877"/>
      <c r="AE88" s="883">
        <f>AE86</f>
        <v>45930</v>
      </c>
      <c r="AF88" s="877">
        <v>0</v>
      </c>
      <c r="AG88" s="877"/>
      <c r="AH88" s="883">
        <f>AH86</f>
        <v>46325</v>
      </c>
      <c r="AI88" s="877" t="str">
        <f>+IFERROR(AJ88/#REF!,"-")</f>
        <v>-</v>
      </c>
      <c r="AJ88" s="877"/>
      <c r="AK88" s="877"/>
      <c r="AL88" s="877" t="str">
        <f>+IFERROR(AM88/#REF!,"-")</f>
        <v>-</v>
      </c>
      <c r="AM88" s="877"/>
      <c r="AN88" s="877"/>
      <c r="AO88" s="884">
        <f t="shared" si="153"/>
        <v>603503999.99999988</v>
      </c>
      <c r="AP88" s="884">
        <f>+AO88*'ref.지급기준 (2)'!G182</f>
        <v>120700799.99999999</v>
      </c>
      <c r="AQ88" s="885">
        <f>+W88</f>
        <v>45777</v>
      </c>
      <c r="AR88" s="407"/>
      <c r="AS88" s="945">
        <f>+$AO88*'ref.지급기준 (2)'!G182</f>
        <v>120700799.99999999</v>
      </c>
      <c r="AT88" s="884">
        <f t="shared" si="154"/>
        <v>0</v>
      </c>
      <c r="AU88" s="884">
        <f>+$AO88*'ref.지급기준 (2)'!I182</f>
        <v>120700799.99999999</v>
      </c>
      <c r="AV88" s="884">
        <f t="shared" si="181"/>
        <v>0</v>
      </c>
      <c r="AW88" s="884">
        <f>+$AO88*'ref.지급기준 (2)'!K182</f>
        <v>301751999.99999994</v>
      </c>
      <c r="AX88" s="884"/>
      <c r="AY88" s="884">
        <f>+$AO88*'ref.지급기준 (2)'!M182</f>
        <v>60350399.999999993</v>
      </c>
      <c r="AZ88" s="884"/>
      <c r="BA88" s="884">
        <f>+$AO88*'ref.지급기준 (2)'!O182</f>
        <v>0</v>
      </c>
      <c r="BB88" s="890"/>
      <c r="BC88" s="2719"/>
      <c r="BD88" s="393"/>
      <c r="BE88" s="393" t="b">
        <f>+(BA88+AY88+AW88+AU88+AS88)=R88</f>
        <v>1</v>
      </c>
      <c r="BF88" s="393"/>
      <c r="BG88" s="393"/>
      <c r="BH88" s="393"/>
      <c r="BI88" s="393"/>
      <c r="BJ88" s="393"/>
      <c r="BK88" s="393"/>
      <c r="BL88" s="393"/>
      <c r="BM88" s="393"/>
      <c r="BN88" s="393"/>
      <c r="BO88" s="408"/>
      <c r="BP88" s="408"/>
    </row>
    <row r="89" spans="1:68" ht="16.5" customHeight="1" thickBot="1">
      <c r="A89" s="394"/>
      <c r="B89" s="2734"/>
      <c r="C89" s="2736"/>
      <c r="D89" s="2738"/>
      <c r="E89" s="2760"/>
      <c r="F89" s="2763"/>
      <c r="G89" s="2738"/>
      <c r="H89" s="2738"/>
      <c r="I89" s="2732"/>
      <c r="J89" s="2747"/>
      <c r="K89" s="2716"/>
      <c r="L89" s="2653"/>
      <c r="M89" s="2655"/>
      <c r="N89" s="2655"/>
      <c r="O89" s="999" t="s">
        <v>129</v>
      </c>
      <c r="P89" s="900">
        <f>+'DG-PV Organic'!AI24</f>
        <v>548640000</v>
      </c>
      <c r="Q89" s="901">
        <f>+P89*0.1</f>
        <v>54864000</v>
      </c>
      <c r="R89" s="901">
        <f>SUM(P89:Q89)</f>
        <v>603504000</v>
      </c>
      <c r="S89" s="409" t="b">
        <f t="shared" si="148"/>
        <v>1</v>
      </c>
      <c r="T89" s="936"/>
      <c r="U89" s="995"/>
      <c r="V89" s="936">
        <f t="shared" si="149"/>
        <v>0</v>
      </c>
      <c r="W89" s="937"/>
      <c r="X89" s="937"/>
      <c r="Y89" s="937"/>
      <c r="Z89" s="937">
        <f t="shared" ref="Z89:Z92" si="183">+IFERROR(AA89/$R89,"-")</f>
        <v>0</v>
      </c>
      <c r="AA89" s="937"/>
      <c r="AB89" s="938"/>
      <c r="AC89" s="937">
        <f t="shared" ref="AC89:AC92" si="184">+IFERROR(AD89/$R89,"-")</f>
        <v>0</v>
      </c>
      <c r="AD89" s="937"/>
      <c r="AE89" s="938"/>
      <c r="AF89" s="937">
        <f t="shared" ref="AF89:AF92" si="185">+IFERROR(AG89/$R89,"-")</f>
        <v>0</v>
      </c>
      <c r="AG89" s="937"/>
      <c r="AH89" s="938"/>
      <c r="AI89" s="937" t="str">
        <f>+IFERROR(AJ89/#REF!,"-")</f>
        <v>-</v>
      </c>
      <c r="AJ89" s="937"/>
      <c r="AK89" s="937"/>
      <c r="AL89" s="937"/>
      <c r="AM89" s="937"/>
      <c r="AN89" s="937"/>
      <c r="AO89" s="939">
        <f t="shared" si="153"/>
        <v>603504000</v>
      </c>
      <c r="AP89" s="939">
        <f>+AS89+AU89</f>
        <v>603504000</v>
      </c>
      <c r="AQ89" s="940"/>
      <c r="AR89" s="407"/>
      <c r="AS89" s="947">
        <f>+$AO89*'ref.지급기준 (2)'!G128</f>
        <v>603504000</v>
      </c>
      <c r="AT89" s="928">
        <f t="shared" si="154"/>
        <v>0</v>
      </c>
      <c r="AU89" s="928">
        <f>+$AO89*'ref.지급기준 (2)'!I128</f>
        <v>0</v>
      </c>
      <c r="AV89" s="928">
        <f t="shared" si="181"/>
        <v>0</v>
      </c>
      <c r="AW89" s="928">
        <f>+$AO89*'ref.지급기준 (2)'!K128</f>
        <v>0</v>
      </c>
      <c r="AX89" s="928"/>
      <c r="AY89" s="928">
        <f>+$AO89*'ref.지급기준 (2)'!M128</f>
        <v>0</v>
      </c>
      <c r="AZ89" s="928"/>
      <c r="BA89" s="928">
        <f>+$AO89*'ref.지급기준 (2)'!O128</f>
        <v>0</v>
      </c>
      <c r="BB89" s="997"/>
      <c r="BC89" s="2720"/>
      <c r="BD89" s="393"/>
      <c r="BE89" s="393"/>
      <c r="BF89" s="393"/>
      <c r="BG89" s="393"/>
      <c r="BH89" s="393"/>
      <c r="BI89" s="393"/>
      <c r="BJ89" s="393"/>
      <c r="BK89" s="393"/>
      <c r="BL89" s="393"/>
      <c r="BM89" s="393"/>
      <c r="BN89" s="393"/>
      <c r="BO89" s="408"/>
      <c r="BP89" s="408"/>
    </row>
    <row r="90" spans="1:68" ht="16.5" customHeight="1">
      <c r="A90" s="394"/>
      <c r="B90" s="2734"/>
      <c r="C90" s="2736"/>
      <c r="D90" s="2738"/>
      <c r="E90" s="2760"/>
      <c r="F90" s="2763"/>
      <c r="G90" s="2738"/>
      <c r="H90" s="2738"/>
      <c r="I90" s="2732" t="s">
        <v>1280</v>
      </c>
      <c r="J90" s="2747" t="s">
        <v>1281</v>
      </c>
      <c r="K90" s="2714">
        <f>+'DG-PV Organic'!O25</f>
        <v>695.32500000000005</v>
      </c>
      <c r="L90" s="2730">
        <f>+'DG-PV Organic'!H47</f>
        <v>9.1700000000000004E-2</v>
      </c>
      <c r="M90" s="2717">
        <f>+'DG-PV Organic'!J47</f>
        <v>9.2999999999999999E-2</v>
      </c>
      <c r="N90" s="2717" t="s">
        <v>1257</v>
      </c>
      <c r="O90" s="893" t="s">
        <v>125</v>
      </c>
      <c r="P90" s="904">
        <f>+'DG-PV Organic'!AL25</f>
        <v>730091250</v>
      </c>
      <c r="Q90" s="904">
        <f>+P90*10%</f>
        <v>73009125</v>
      </c>
      <c r="R90" s="905">
        <f t="shared" ref="R90:R93" si="186">SUM(P90:Q90)</f>
        <v>803100375</v>
      </c>
      <c r="S90" s="874" t="b">
        <f t="shared" si="148"/>
        <v>1</v>
      </c>
      <c r="T90" s="983">
        <f>+IFERROR(U90/R90,"-")</f>
        <v>0</v>
      </c>
      <c r="U90" s="984">
        <f>+IFERROR(X90+AA90+AD90+AG90+AJ90+AM90,"-")</f>
        <v>0</v>
      </c>
      <c r="V90" s="983">
        <f t="shared" si="149"/>
        <v>0</v>
      </c>
      <c r="W90" s="883">
        <f>AE93</f>
        <v>45930</v>
      </c>
      <c r="X90" s="991"/>
      <c r="Y90" s="912"/>
      <c r="Z90" s="877">
        <f t="shared" si="183"/>
        <v>0</v>
      </c>
      <c r="AA90" s="877"/>
      <c r="AB90" s="883">
        <f>+EDATE(W90,1)</f>
        <v>45960</v>
      </c>
      <c r="AC90" s="877">
        <f t="shared" si="184"/>
        <v>0</v>
      </c>
      <c r="AD90" s="877"/>
      <c r="AE90" s="883">
        <f t="shared" ref="AE90" si="187">+EDATE(AB90,3)</f>
        <v>46052</v>
      </c>
      <c r="AF90" s="877">
        <f t="shared" si="185"/>
        <v>0</v>
      </c>
      <c r="AG90" s="877"/>
      <c r="AH90" s="883">
        <f t="shared" ref="AH90" si="188">+EDATE(AB90,4)</f>
        <v>46081</v>
      </c>
      <c r="AI90" s="877" t="str">
        <f>+IFERROR(AJ90/#REF!,"-")</f>
        <v>-</v>
      </c>
      <c r="AJ90" s="877"/>
      <c r="AK90" s="883">
        <f>+EDATE(AB90,6)+1</f>
        <v>46143</v>
      </c>
      <c r="AL90" s="912" t="str">
        <f>+IFERROR(AM90/#REF!,"-")</f>
        <v>-</v>
      </c>
      <c r="AM90" s="912"/>
      <c r="AN90" s="912"/>
      <c r="AO90" s="920">
        <f t="shared" si="153"/>
        <v>803100375</v>
      </c>
      <c r="AP90" s="920">
        <f>+AO90*'ref.지급기준 (2)'!G184</f>
        <v>80310037.5</v>
      </c>
      <c r="AQ90" s="921">
        <f>+W90</f>
        <v>45930</v>
      </c>
      <c r="AR90" s="407"/>
      <c r="AS90" s="945">
        <f>+$AO90*'ref.지급기준 (2)'!G184</f>
        <v>80310037.5</v>
      </c>
      <c r="AT90" s="884">
        <f t="shared" si="154"/>
        <v>0</v>
      </c>
      <c r="AU90" s="884">
        <f>+$AO90*'ref.지급기준 (2)'!I184</f>
        <v>160620075</v>
      </c>
      <c r="AV90" s="884">
        <f t="shared" si="181"/>
        <v>0</v>
      </c>
      <c r="AW90" s="884">
        <f>+$AO90*'ref.지급기준 (2)'!K184</f>
        <v>321240150</v>
      </c>
      <c r="AX90" s="884"/>
      <c r="AY90" s="884">
        <f>+$AO90*'ref.지급기준 (2)'!M184</f>
        <v>200775093.75</v>
      </c>
      <c r="AZ90" s="884"/>
      <c r="BA90" s="884">
        <f>+$AO90*'ref.지급기준 (2)'!O184</f>
        <v>40155018.75</v>
      </c>
      <c r="BB90" s="890"/>
      <c r="BC90" s="2718" t="s">
        <v>1271</v>
      </c>
      <c r="BD90" s="393"/>
      <c r="BE90" s="393" t="b">
        <f>+(BA90+AY90+AW90+AU90+AS90)=R90</f>
        <v>1</v>
      </c>
      <c r="BF90" s="393"/>
      <c r="BG90" s="393"/>
      <c r="BH90" s="393"/>
      <c r="BI90" s="393"/>
      <c r="BJ90" s="393"/>
      <c r="BK90" s="393"/>
      <c r="BL90" s="393"/>
      <c r="BM90" s="393"/>
      <c r="BN90" s="393"/>
      <c r="BO90" s="408"/>
      <c r="BP90" s="408"/>
    </row>
    <row r="91" spans="1:68" ht="16.5" customHeight="1">
      <c r="A91" s="394"/>
      <c r="B91" s="2734"/>
      <c r="C91" s="2736"/>
      <c r="D91" s="2738"/>
      <c r="E91" s="2760"/>
      <c r="F91" s="2763"/>
      <c r="G91" s="2738"/>
      <c r="H91" s="2738"/>
      <c r="I91" s="2732"/>
      <c r="J91" s="2747"/>
      <c r="K91" s="2715"/>
      <c r="L91" s="2652"/>
      <c r="M91" s="2654"/>
      <c r="N91" s="2654"/>
      <c r="O91" s="875" t="s">
        <v>126</v>
      </c>
      <c r="P91" s="896">
        <f>+'DG-PV Organic'!AK25</f>
        <v>208597500</v>
      </c>
      <c r="Q91" s="896">
        <f>+P91*10%</f>
        <v>20859750</v>
      </c>
      <c r="R91" s="897">
        <f t="shared" si="186"/>
        <v>229457250</v>
      </c>
      <c r="S91" s="874" t="b">
        <f t="shared" si="148"/>
        <v>1</v>
      </c>
      <c r="T91" s="908">
        <f>+IFERROR(U91/R91,"-")</f>
        <v>0</v>
      </c>
      <c r="U91" s="909">
        <f>+IFERROR(X91+AA91+AD91+AG91+AJ91+AM91,"-")</f>
        <v>0</v>
      </c>
      <c r="V91" s="908">
        <f t="shared" si="149"/>
        <v>0</v>
      </c>
      <c r="W91" s="919">
        <v>45777</v>
      </c>
      <c r="X91" s="876"/>
      <c r="Y91" s="877"/>
      <c r="Z91" s="877">
        <f t="shared" si="183"/>
        <v>0</v>
      </c>
      <c r="AA91" s="886"/>
      <c r="AB91" s="883">
        <v>45869</v>
      </c>
      <c r="AC91" s="877">
        <f t="shared" si="184"/>
        <v>0</v>
      </c>
      <c r="AD91" s="877"/>
      <c r="AE91" s="883">
        <f>EDATE(AB91,2)</f>
        <v>45930</v>
      </c>
      <c r="AF91" s="877">
        <f t="shared" si="185"/>
        <v>0</v>
      </c>
      <c r="AG91" s="877"/>
      <c r="AH91" s="883">
        <f>+EDATE(AB90,12)</f>
        <v>46325</v>
      </c>
      <c r="AI91" s="877" t="str">
        <f>+IFERROR(AJ91/#REF!,"-")</f>
        <v>-</v>
      </c>
      <c r="AJ91" s="877"/>
      <c r="AK91" s="877"/>
      <c r="AL91" s="877" t="str">
        <f>+IFERROR(AM91/#REF!,"-")</f>
        <v>-</v>
      </c>
      <c r="AM91" s="877"/>
      <c r="AN91" s="877"/>
      <c r="AO91" s="884">
        <f t="shared" si="153"/>
        <v>229457250</v>
      </c>
      <c r="AP91" s="884">
        <f>+AO91*'ref.지급기준 (2)'!G185</f>
        <v>45891450</v>
      </c>
      <c r="AQ91" s="885">
        <f>+W91</f>
        <v>45777</v>
      </c>
      <c r="AR91" s="407"/>
      <c r="AS91" s="945">
        <f>+$AO91*'ref.지급기준 (2)'!G185</f>
        <v>45891450</v>
      </c>
      <c r="AT91" s="884">
        <f t="shared" si="154"/>
        <v>0</v>
      </c>
      <c r="AU91" s="884">
        <f>+$AO91*'ref.지급기준 (2)'!I185</f>
        <v>45891450</v>
      </c>
      <c r="AV91" s="884">
        <f t="shared" si="181"/>
        <v>0</v>
      </c>
      <c r="AW91" s="884">
        <f>+$AO91*'ref.지급기준 (2)'!K185</f>
        <v>114728625</v>
      </c>
      <c r="AX91" s="884"/>
      <c r="AY91" s="884">
        <f>+$AO91*'ref.지급기준 (2)'!M185</f>
        <v>22945725</v>
      </c>
      <c r="AZ91" s="884"/>
      <c r="BA91" s="884">
        <f>+$AO91*'ref.지급기준 (2)'!O185</f>
        <v>0</v>
      </c>
      <c r="BB91" s="890"/>
      <c r="BC91" s="2719"/>
      <c r="BD91" s="393"/>
      <c r="BE91" s="393" t="b">
        <f>+(BA91+AY91+AW91+AU91+AS91)=R91</f>
        <v>1</v>
      </c>
      <c r="BF91" s="393"/>
      <c r="BG91" s="393"/>
      <c r="BH91" s="393"/>
      <c r="BI91" s="393"/>
      <c r="BJ91" s="393"/>
      <c r="BK91" s="393"/>
      <c r="BL91" s="393"/>
      <c r="BM91" s="393"/>
      <c r="BN91" s="393"/>
      <c r="BO91" s="408"/>
      <c r="BP91" s="408"/>
    </row>
    <row r="92" spans="1:68" ht="16.5" customHeight="1">
      <c r="A92" s="394"/>
      <c r="B92" s="2734"/>
      <c r="C92" s="2736"/>
      <c r="D92" s="2738"/>
      <c r="E92" s="2760"/>
      <c r="F92" s="2763"/>
      <c r="G92" s="2738"/>
      <c r="H92" s="2738"/>
      <c r="I92" s="2732"/>
      <c r="J92" s="2747"/>
      <c r="K92" s="2715"/>
      <c r="L92" s="2652"/>
      <c r="M92" s="2654"/>
      <c r="N92" s="2654"/>
      <c r="O92" s="875" t="s">
        <v>127</v>
      </c>
      <c r="P92" s="896">
        <f>+'ref.지급기준 (2)'!F186*'ref.지급기준 (2)'!D186/'ref.지급기준 (2)'!$Q$2</f>
        <v>0</v>
      </c>
      <c r="Q92" s="896" t="s">
        <v>1218</v>
      </c>
      <c r="R92" s="897">
        <f t="shared" si="186"/>
        <v>0</v>
      </c>
      <c r="S92" s="874" t="b">
        <f t="shared" si="148"/>
        <v>1</v>
      </c>
      <c r="T92" s="908" t="str">
        <f>+IFERROR(U92/R92,"-")</f>
        <v>-</v>
      </c>
      <c r="U92" s="909">
        <f>+IFERROR(X92+AA92+AD92+AG92+AJ92+AM92,"-")</f>
        <v>0</v>
      </c>
      <c r="V92" s="908" t="str">
        <f t="shared" si="149"/>
        <v>-</v>
      </c>
      <c r="W92" s="919"/>
      <c r="X92" s="876"/>
      <c r="Y92" s="877"/>
      <c r="Z92" s="877" t="str">
        <f t="shared" si="183"/>
        <v>-</v>
      </c>
      <c r="AA92" s="877"/>
      <c r="AB92" s="883"/>
      <c r="AC92" s="877" t="str">
        <f t="shared" si="184"/>
        <v>-</v>
      </c>
      <c r="AD92" s="877"/>
      <c r="AE92" s="883"/>
      <c r="AF92" s="877" t="str">
        <f t="shared" si="185"/>
        <v>-</v>
      </c>
      <c r="AG92" s="877"/>
      <c r="AH92" s="883"/>
      <c r="AI92" s="877" t="str">
        <f>+IFERROR(AJ92/#REF!,"-")</f>
        <v>-</v>
      </c>
      <c r="AJ92" s="877"/>
      <c r="AK92" s="877"/>
      <c r="AL92" s="877" t="str">
        <f>+IFERROR(AM92/#REF!,"-")</f>
        <v>-</v>
      </c>
      <c r="AM92" s="877"/>
      <c r="AN92" s="877"/>
      <c r="AO92" s="884">
        <f t="shared" si="153"/>
        <v>0</v>
      </c>
      <c r="AP92" s="884">
        <f>+AO92*'ref.지급기준 (2)'!G186</f>
        <v>0</v>
      </c>
      <c r="AQ92" s="885"/>
      <c r="AR92" s="407"/>
      <c r="AS92" s="945">
        <f>+$AO92*'ref.지급기준 (2)'!G186</f>
        <v>0</v>
      </c>
      <c r="AT92" s="884">
        <f t="shared" si="154"/>
        <v>0</v>
      </c>
      <c r="AU92" s="884">
        <f>+$AO92*'ref.지급기준 (2)'!I186</f>
        <v>0</v>
      </c>
      <c r="AV92" s="884">
        <f t="shared" si="181"/>
        <v>0</v>
      </c>
      <c r="AW92" s="884">
        <f>+$AO92*'ref.지급기준 (2)'!K186</f>
        <v>0</v>
      </c>
      <c r="AX92" s="884"/>
      <c r="AY92" s="884">
        <f>+$AO92*'ref.지급기준 (2)'!M186</f>
        <v>0</v>
      </c>
      <c r="AZ92" s="884"/>
      <c r="BA92" s="884">
        <f>+$AO92*'ref.지급기준 (2)'!O186</f>
        <v>0</v>
      </c>
      <c r="BB92" s="890"/>
      <c r="BC92" s="2719"/>
      <c r="BD92" s="393"/>
      <c r="BE92" s="393" t="b">
        <f>+(BA92+AY92+AW92+AU92+AS92)=R92</f>
        <v>1</v>
      </c>
      <c r="BF92" s="393"/>
      <c r="BG92" s="393"/>
      <c r="BH92" s="393"/>
      <c r="BI92" s="393"/>
      <c r="BJ92" s="393"/>
      <c r="BK92" s="393"/>
      <c r="BL92" s="393"/>
      <c r="BM92" s="393"/>
      <c r="BN92" s="393"/>
      <c r="BO92" s="408"/>
      <c r="BP92" s="408"/>
    </row>
    <row r="93" spans="1:68" ht="16.5" customHeight="1">
      <c r="A93" s="394"/>
      <c r="B93" s="2734"/>
      <c r="C93" s="2736"/>
      <c r="D93" s="2738"/>
      <c r="E93" s="2760"/>
      <c r="F93" s="2763"/>
      <c r="G93" s="2738"/>
      <c r="H93" s="2738"/>
      <c r="I93" s="2732"/>
      <c r="J93" s="2747"/>
      <c r="K93" s="2715"/>
      <c r="L93" s="2652"/>
      <c r="M93" s="2654"/>
      <c r="N93" s="2654"/>
      <c r="O93" s="875" t="s">
        <v>128</v>
      </c>
      <c r="P93" s="896">
        <f>+'DG-PV Organic'!AJ25</f>
        <v>139065000</v>
      </c>
      <c r="Q93" s="896">
        <f t="shared" ref="Q93" si="189">+P93*10%</f>
        <v>13906500</v>
      </c>
      <c r="R93" s="897">
        <f t="shared" si="186"/>
        <v>152971500</v>
      </c>
      <c r="S93" s="409" t="b">
        <f t="shared" si="148"/>
        <v>1</v>
      </c>
      <c r="T93" s="908">
        <f>+IFERROR(U93/R93,"-")</f>
        <v>0</v>
      </c>
      <c r="U93" s="909">
        <f>+IFERROR(X93+AA93+AD93+AG93+AJ93+AM93,"-")</f>
        <v>0</v>
      </c>
      <c r="V93" s="908">
        <f t="shared" si="149"/>
        <v>0</v>
      </c>
      <c r="W93" s="919">
        <f>W91</f>
        <v>45777</v>
      </c>
      <c r="X93" s="876"/>
      <c r="Y93" s="877"/>
      <c r="Z93" s="877">
        <v>0</v>
      </c>
      <c r="AA93" s="877"/>
      <c r="AB93" s="883">
        <f>AB91</f>
        <v>45869</v>
      </c>
      <c r="AC93" s="877">
        <v>0</v>
      </c>
      <c r="AD93" s="877"/>
      <c r="AE93" s="883">
        <f>AE91</f>
        <v>45930</v>
      </c>
      <c r="AF93" s="877">
        <v>0</v>
      </c>
      <c r="AG93" s="877"/>
      <c r="AH93" s="883">
        <f>AH91</f>
        <v>46325</v>
      </c>
      <c r="AI93" s="877" t="str">
        <f>+IFERROR(AJ93/#REF!,"-")</f>
        <v>-</v>
      </c>
      <c r="AJ93" s="877"/>
      <c r="AK93" s="877"/>
      <c r="AL93" s="877" t="str">
        <f>+IFERROR(AM93/#REF!,"-")</f>
        <v>-</v>
      </c>
      <c r="AM93" s="877"/>
      <c r="AN93" s="877"/>
      <c r="AO93" s="884">
        <f t="shared" si="153"/>
        <v>152971500</v>
      </c>
      <c r="AP93" s="884">
        <f>+AO93*'ref.지급기준 (2)'!G187</f>
        <v>30594300</v>
      </c>
      <c r="AQ93" s="885">
        <f>+W93</f>
        <v>45777</v>
      </c>
      <c r="AR93" s="407"/>
      <c r="AS93" s="945">
        <f>+$AO93*'ref.지급기준 (2)'!G187</f>
        <v>30594300</v>
      </c>
      <c r="AT93" s="884">
        <f t="shared" si="154"/>
        <v>0</v>
      </c>
      <c r="AU93" s="884">
        <f>+$AO93*'ref.지급기준 (2)'!I187</f>
        <v>30594300</v>
      </c>
      <c r="AV93" s="884">
        <f t="shared" si="181"/>
        <v>0</v>
      </c>
      <c r="AW93" s="884">
        <f>+$AO93*'ref.지급기준 (2)'!K187</f>
        <v>76485750</v>
      </c>
      <c r="AX93" s="884"/>
      <c r="AY93" s="884">
        <f>+$AO93*'ref.지급기준 (2)'!M187</f>
        <v>15297150</v>
      </c>
      <c r="AZ93" s="884"/>
      <c r="BA93" s="884">
        <f>+$AO93*'ref.지급기준 (2)'!O187</f>
        <v>0</v>
      </c>
      <c r="BB93" s="890"/>
      <c r="BC93" s="2719"/>
      <c r="BD93" s="393"/>
      <c r="BE93" s="393" t="b">
        <f>+(BA93+AY93+AW93+AU93+AS93)=R93</f>
        <v>1</v>
      </c>
      <c r="BF93" s="393"/>
      <c r="BG93" s="393"/>
      <c r="BH93" s="393"/>
      <c r="BI93" s="393"/>
      <c r="BJ93" s="393"/>
      <c r="BK93" s="393"/>
      <c r="BL93" s="393"/>
      <c r="BM93" s="393"/>
      <c r="BN93" s="393"/>
      <c r="BO93" s="408"/>
      <c r="BP93" s="408"/>
    </row>
    <row r="94" spans="1:68" ht="16.5" customHeight="1" thickBot="1">
      <c r="A94" s="394"/>
      <c r="B94" s="2734"/>
      <c r="C94" s="2736"/>
      <c r="D94" s="2738"/>
      <c r="E94" s="2760"/>
      <c r="F94" s="2763"/>
      <c r="G94" s="2738"/>
      <c r="H94" s="2738"/>
      <c r="I94" s="2732"/>
      <c r="J94" s="2747"/>
      <c r="K94" s="2716"/>
      <c r="L94" s="2653"/>
      <c r="M94" s="2655"/>
      <c r="N94" s="2655"/>
      <c r="O94" s="999" t="s">
        <v>129</v>
      </c>
      <c r="P94" s="900">
        <f>+'DG-PV Organic'!AI25</f>
        <v>139065000</v>
      </c>
      <c r="Q94" s="901">
        <f>+P94*0.1</f>
        <v>13906500</v>
      </c>
      <c r="R94" s="901">
        <f>SUM(P94:Q94)</f>
        <v>152971500</v>
      </c>
      <c r="S94" s="409" t="b">
        <f t="shared" si="148"/>
        <v>1</v>
      </c>
      <c r="T94" s="936"/>
      <c r="U94" s="995"/>
      <c r="V94" s="936">
        <f t="shared" si="149"/>
        <v>0</v>
      </c>
      <c r="W94" s="937"/>
      <c r="X94" s="937"/>
      <c r="Y94" s="937"/>
      <c r="Z94" s="937">
        <f t="shared" ref="Z94:Z97" si="190">+IFERROR(AA94/$R94,"-")</f>
        <v>0</v>
      </c>
      <c r="AA94" s="937"/>
      <c r="AB94" s="938"/>
      <c r="AC94" s="937">
        <f t="shared" ref="AC94:AC97" si="191">+IFERROR(AD94/$R94,"-")</f>
        <v>0</v>
      </c>
      <c r="AD94" s="937"/>
      <c r="AE94" s="938"/>
      <c r="AF94" s="937">
        <f t="shared" ref="AF94:AF97" si="192">+IFERROR(AG94/$R94,"-")</f>
        <v>0</v>
      </c>
      <c r="AG94" s="937"/>
      <c r="AH94" s="938"/>
      <c r="AI94" s="937" t="str">
        <f>+IFERROR(AJ94/#REF!,"-")</f>
        <v>-</v>
      </c>
      <c r="AJ94" s="937"/>
      <c r="AK94" s="937"/>
      <c r="AL94" s="937"/>
      <c r="AM94" s="937"/>
      <c r="AN94" s="937"/>
      <c r="AO94" s="939">
        <f t="shared" si="153"/>
        <v>152971500</v>
      </c>
      <c r="AP94" s="939">
        <f>+AS94+AU94</f>
        <v>152971500</v>
      </c>
      <c r="AQ94" s="940"/>
      <c r="AR94" s="407"/>
      <c r="AS94" s="947">
        <f>+$AO94*'ref.지급기준 (2)'!G133</f>
        <v>152971500</v>
      </c>
      <c r="AT94" s="928">
        <f t="shared" si="154"/>
        <v>0</v>
      </c>
      <c r="AU94" s="928">
        <f>+$AO94*'ref.지급기준 (2)'!I133</f>
        <v>0</v>
      </c>
      <c r="AV94" s="928">
        <f t="shared" si="181"/>
        <v>0</v>
      </c>
      <c r="AW94" s="928">
        <f>+$AO94*'ref.지급기준 (2)'!K133</f>
        <v>0</v>
      </c>
      <c r="AX94" s="928"/>
      <c r="AY94" s="928">
        <f>+$AO94*'ref.지급기준 (2)'!M133</f>
        <v>0</v>
      </c>
      <c r="AZ94" s="928"/>
      <c r="BA94" s="928">
        <f>+$AO94*'ref.지급기준 (2)'!O133</f>
        <v>0</v>
      </c>
      <c r="BB94" s="997"/>
      <c r="BC94" s="2720"/>
      <c r="BD94" s="393"/>
      <c r="BE94" s="393"/>
      <c r="BF94" s="393"/>
      <c r="BG94" s="393"/>
      <c r="BH94" s="393"/>
      <c r="BI94" s="393"/>
      <c r="BJ94" s="393"/>
      <c r="BK94" s="393"/>
      <c r="BL94" s="393"/>
      <c r="BM94" s="393"/>
      <c r="BN94" s="393"/>
      <c r="BO94" s="408"/>
      <c r="BP94" s="408"/>
    </row>
    <row r="95" spans="1:68" ht="16.5" customHeight="1">
      <c r="A95" s="394"/>
      <c r="B95" s="2734"/>
      <c r="C95" s="2736"/>
      <c r="D95" s="2738"/>
      <c r="E95" s="2760"/>
      <c r="F95" s="2763"/>
      <c r="G95" s="2738"/>
      <c r="H95" s="2738"/>
      <c r="I95" s="2732" t="s">
        <v>1282</v>
      </c>
      <c r="J95" s="2747" t="s">
        <v>1283</v>
      </c>
      <c r="K95" s="2714">
        <f>+'DG-PV Organic'!O27</f>
        <v>913.76499999999999</v>
      </c>
      <c r="L95" s="2730">
        <f>+'DG-PV Organic'!H52</f>
        <v>8.77E-2</v>
      </c>
      <c r="M95" s="2717">
        <f>+'DG-PV Organic'!J52</f>
        <v>9.2999999999999999E-2</v>
      </c>
      <c r="N95" s="2717" t="s">
        <v>1257</v>
      </c>
      <c r="O95" s="893" t="s">
        <v>125</v>
      </c>
      <c r="P95" s="904">
        <f>+'DG-PV Organic'!AL27</f>
        <v>959453250</v>
      </c>
      <c r="Q95" s="904">
        <f>+P95*10%</f>
        <v>95945325</v>
      </c>
      <c r="R95" s="905">
        <f t="shared" ref="R95:R98" si="193">SUM(P95:Q95)</f>
        <v>1055398575</v>
      </c>
      <c r="S95" s="874" t="b">
        <f t="shared" si="148"/>
        <v>1</v>
      </c>
      <c r="T95" s="983">
        <f>+IFERROR(U95/R95,"-")</f>
        <v>0</v>
      </c>
      <c r="U95" s="984">
        <f>+IFERROR(X95+AA95+AD95+AG95+AJ95+AM95,"-")</f>
        <v>0</v>
      </c>
      <c r="V95" s="983">
        <f t="shared" si="149"/>
        <v>0</v>
      </c>
      <c r="W95" s="883">
        <f>AE98</f>
        <v>45930</v>
      </c>
      <c r="X95" s="991"/>
      <c r="Y95" s="912"/>
      <c r="Z95" s="877">
        <f t="shared" si="190"/>
        <v>0</v>
      </c>
      <c r="AA95" s="877"/>
      <c r="AB95" s="883">
        <f>+EDATE(W95,1)</f>
        <v>45960</v>
      </c>
      <c r="AC95" s="877">
        <f t="shared" si="191"/>
        <v>0</v>
      </c>
      <c r="AD95" s="877"/>
      <c r="AE95" s="883">
        <f t="shared" ref="AE95" si="194">+EDATE(AB95,3)</f>
        <v>46052</v>
      </c>
      <c r="AF95" s="877">
        <f t="shared" si="192"/>
        <v>0</v>
      </c>
      <c r="AG95" s="877"/>
      <c r="AH95" s="883">
        <f t="shared" ref="AH95" si="195">+EDATE(AB95,4)</f>
        <v>46081</v>
      </c>
      <c r="AI95" s="877" t="str">
        <f>+IFERROR(AJ95/#REF!,"-")</f>
        <v>-</v>
      </c>
      <c r="AJ95" s="877"/>
      <c r="AK95" s="883">
        <f>+EDATE(AB95,6)+1</f>
        <v>46143</v>
      </c>
      <c r="AL95" s="912" t="str">
        <f>+IFERROR(AM95/#REF!,"-")</f>
        <v>-</v>
      </c>
      <c r="AM95" s="912"/>
      <c r="AN95" s="912"/>
      <c r="AO95" s="920">
        <f t="shared" si="153"/>
        <v>1055398575</v>
      </c>
      <c r="AP95" s="920">
        <f>+AO95*'ref.지급기준 (2)'!G189</f>
        <v>105539857.5</v>
      </c>
      <c r="AQ95" s="921">
        <f>+W95</f>
        <v>45930</v>
      </c>
      <c r="AR95" s="407"/>
      <c r="AS95" s="945">
        <f>+$AO95*'ref.지급기준 (2)'!G189</f>
        <v>105539857.5</v>
      </c>
      <c r="AT95" s="884">
        <f t="shared" si="154"/>
        <v>0</v>
      </c>
      <c r="AU95" s="884">
        <f>+$AO95*'ref.지급기준 (2)'!I189</f>
        <v>211079715</v>
      </c>
      <c r="AV95" s="884">
        <f t="shared" ref="AV95:AV109" si="196">+AA95</f>
        <v>0</v>
      </c>
      <c r="AW95" s="884">
        <f>+$AO95*'ref.지급기준 (2)'!K189</f>
        <v>422159430</v>
      </c>
      <c r="AX95" s="884"/>
      <c r="AY95" s="884">
        <f>+$AO95*'ref.지급기준 (2)'!M189</f>
        <v>263849643.75</v>
      </c>
      <c r="AZ95" s="884"/>
      <c r="BA95" s="884">
        <f>+$AO95*'ref.지급기준 (2)'!O189</f>
        <v>52769928.75</v>
      </c>
      <c r="BB95" s="890"/>
      <c r="BC95" s="2718" t="s">
        <v>1271</v>
      </c>
      <c r="BD95" s="393"/>
      <c r="BE95" s="393" t="b">
        <f>+(BA95+AY95+AW95+AU95+AS95)=R95</f>
        <v>1</v>
      </c>
      <c r="BF95" s="393"/>
      <c r="BG95" s="393"/>
      <c r="BH95" s="393"/>
      <c r="BI95" s="393"/>
      <c r="BJ95" s="393"/>
      <c r="BK95" s="393"/>
      <c r="BL95" s="393"/>
      <c r="BM95" s="393"/>
      <c r="BN95" s="393"/>
      <c r="BO95" s="408"/>
      <c r="BP95" s="408"/>
    </row>
    <row r="96" spans="1:68" ht="16.5" customHeight="1">
      <c r="A96" s="394"/>
      <c r="B96" s="2734"/>
      <c r="C96" s="2736"/>
      <c r="D96" s="2738"/>
      <c r="E96" s="2760"/>
      <c r="F96" s="2763"/>
      <c r="G96" s="2738"/>
      <c r="H96" s="2738"/>
      <c r="I96" s="2732"/>
      <c r="J96" s="2747"/>
      <c r="K96" s="2715"/>
      <c r="L96" s="2652"/>
      <c r="M96" s="2654"/>
      <c r="N96" s="2654"/>
      <c r="O96" s="875" t="s">
        <v>126</v>
      </c>
      <c r="P96" s="896">
        <f>+'DG-PV Organic'!AK27</f>
        <v>274129500</v>
      </c>
      <c r="Q96" s="896">
        <f>+P96*10%</f>
        <v>27412950</v>
      </c>
      <c r="R96" s="897">
        <f t="shared" si="193"/>
        <v>301542450</v>
      </c>
      <c r="S96" s="874" t="b">
        <f t="shared" si="148"/>
        <v>1</v>
      </c>
      <c r="T96" s="908">
        <f>+IFERROR(U96/R96,"-")</f>
        <v>0</v>
      </c>
      <c r="U96" s="909">
        <f>+IFERROR(X96+AA96+AD96+AG96+AJ96+AM96,"-")</f>
        <v>0</v>
      </c>
      <c r="V96" s="908">
        <f t="shared" si="149"/>
        <v>0</v>
      </c>
      <c r="W96" s="919">
        <v>45777</v>
      </c>
      <c r="X96" s="876"/>
      <c r="Y96" s="877"/>
      <c r="Z96" s="877">
        <f t="shared" si="190"/>
        <v>0</v>
      </c>
      <c r="AA96" s="886"/>
      <c r="AB96" s="883">
        <v>45869</v>
      </c>
      <c r="AC96" s="877">
        <f t="shared" si="191"/>
        <v>0</v>
      </c>
      <c r="AD96" s="877"/>
      <c r="AE96" s="883">
        <f>EDATE(AB96,2)</f>
        <v>45930</v>
      </c>
      <c r="AF96" s="877">
        <f t="shared" si="192"/>
        <v>0</v>
      </c>
      <c r="AG96" s="877"/>
      <c r="AH96" s="883">
        <f>+EDATE(AB95,12)</f>
        <v>46325</v>
      </c>
      <c r="AI96" s="877" t="str">
        <f>+IFERROR(AJ96/#REF!,"-")</f>
        <v>-</v>
      </c>
      <c r="AJ96" s="877"/>
      <c r="AK96" s="877"/>
      <c r="AL96" s="877" t="str">
        <f>+IFERROR(AM96/#REF!,"-")</f>
        <v>-</v>
      </c>
      <c r="AM96" s="877"/>
      <c r="AN96" s="877"/>
      <c r="AO96" s="884">
        <f t="shared" si="153"/>
        <v>301542450</v>
      </c>
      <c r="AP96" s="884">
        <f>+AO96*'ref.지급기준 (2)'!G190</f>
        <v>60308490</v>
      </c>
      <c r="AQ96" s="885">
        <f>+W96</f>
        <v>45777</v>
      </c>
      <c r="AR96" s="407"/>
      <c r="AS96" s="945">
        <f>+$AO96*'ref.지급기준 (2)'!G190</f>
        <v>60308490</v>
      </c>
      <c r="AT96" s="884">
        <f t="shared" si="154"/>
        <v>0</v>
      </c>
      <c r="AU96" s="884">
        <f>+$AO96*'ref.지급기준 (2)'!I190</f>
        <v>60308490</v>
      </c>
      <c r="AV96" s="884">
        <f t="shared" si="196"/>
        <v>0</v>
      </c>
      <c r="AW96" s="884">
        <f>+$AO96*'ref.지급기준 (2)'!K190</f>
        <v>150771225</v>
      </c>
      <c r="AX96" s="884"/>
      <c r="AY96" s="884">
        <f>+$AO96*'ref.지급기준 (2)'!M190</f>
        <v>30154245</v>
      </c>
      <c r="AZ96" s="884"/>
      <c r="BA96" s="884">
        <f>+$AO96*'ref.지급기준 (2)'!O190</f>
        <v>0</v>
      </c>
      <c r="BB96" s="890"/>
      <c r="BC96" s="2719"/>
      <c r="BD96" s="393"/>
      <c r="BE96" s="393" t="b">
        <f>+(BA96+AY96+AW96+AU96+AS96)=R96</f>
        <v>1</v>
      </c>
      <c r="BF96" s="393"/>
      <c r="BG96" s="393"/>
      <c r="BH96" s="393"/>
      <c r="BI96" s="393"/>
      <c r="BJ96" s="393"/>
      <c r="BK96" s="393"/>
      <c r="BL96" s="393"/>
      <c r="BM96" s="393"/>
      <c r="BN96" s="393"/>
      <c r="BO96" s="408"/>
      <c r="BP96" s="408"/>
    </row>
    <row r="97" spans="1:68" ht="16.5" customHeight="1">
      <c r="A97" s="394"/>
      <c r="B97" s="2734"/>
      <c r="C97" s="2736"/>
      <c r="D97" s="2738"/>
      <c r="E97" s="2760"/>
      <c r="F97" s="2763"/>
      <c r="G97" s="2738"/>
      <c r="H97" s="2738"/>
      <c r="I97" s="2732"/>
      <c r="J97" s="2747"/>
      <c r="K97" s="2715"/>
      <c r="L97" s="2652"/>
      <c r="M97" s="2654"/>
      <c r="N97" s="2654"/>
      <c r="O97" s="875" t="s">
        <v>127</v>
      </c>
      <c r="P97" s="896">
        <f>+'ref.지급기준 (2)'!F191*'ref.지급기준 (2)'!D191/'ref.지급기준 (2)'!$Q$2</f>
        <v>0</v>
      </c>
      <c r="Q97" s="896" t="s">
        <v>1218</v>
      </c>
      <c r="R97" s="897">
        <f t="shared" si="193"/>
        <v>0</v>
      </c>
      <c r="S97" s="874" t="b">
        <f t="shared" si="148"/>
        <v>1</v>
      </c>
      <c r="T97" s="908" t="str">
        <f>+IFERROR(U97/R97,"-")</f>
        <v>-</v>
      </c>
      <c r="U97" s="909">
        <f>+IFERROR(X97+AA97+AD97+AG97+AJ97+AM97,"-")</f>
        <v>0</v>
      </c>
      <c r="V97" s="908" t="str">
        <f t="shared" si="149"/>
        <v>-</v>
      </c>
      <c r="W97" s="919"/>
      <c r="X97" s="876"/>
      <c r="Y97" s="877"/>
      <c r="Z97" s="877" t="str">
        <f t="shared" si="190"/>
        <v>-</v>
      </c>
      <c r="AA97" s="877"/>
      <c r="AB97" s="883"/>
      <c r="AC97" s="877" t="str">
        <f t="shared" si="191"/>
        <v>-</v>
      </c>
      <c r="AD97" s="877"/>
      <c r="AE97" s="883"/>
      <c r="AF97" s="877" t="str">
        <f t="shared" si="192"/>
        <v>-</v>
      </c>
      <c r="AG97" s="877"/>
      <c r="AH97" s="883"/>
      <c r="AI97" s="877" t="str">
        <f>+IFERROR(AJ97/#REF!,"-")</f>
        <v>-</v>
      </c>
      <c r="AJ97" s="877"/>
      <c r="AK97" s="877"/>
      <c r="AL97" s="877" t="str">
        <f>+IFERROR(AM97/#REF!,"-")</f>
        <v>-</v>
      </c>
      <c r="AM97" s="877"/>
      <c r="AN97" s="877"/>
      <c r="AO97" s="884">
        <f t="shared" si="153"/>
        <v>0</v>
      </c>
      <c r="AP97" s="884">
        <f>+AO97*'ref.지급기준 (2)'!G191</f>
        <v>0</v>
      </c>
      <c r="AQ97" s="885"/>
      <c r="AR97" s="407"/>
      <c r="AS97" s="945">
        <f>+$AO97*'ref.지급기준 (2)'!G191</f>
        <v>0</v>
      </c>
      <c r="AT97" s="884">
        <f t="shared" si="154"/>
        <v>0</v>
      </c>
      <c r="AU97" s="884">
        <f>+$AO97*'ref.지급기준 (2)'!I191</f>
        <v>0</v>
      </c>
      <c r="AV97" s="884">
        <f t="shared" si="196"/>
        <v>0</v>
      </c>
      <c r="AW97" s="884">
        <f>+$AO97*'ref.지급기준 (2)'!K191</f>
        <v>0</v>
      </c>
      <c r="AX97" s="884"/>
      <c r="AY97" s="884">
        <f>+$AO97*'ref.지급기준 (2)'!M191</f>
        <v>0</v>
      </c>
      <c r="AZ97" s="884"/>
      <c r="BA97" s="884">
        <f>+$AO97*'ref.지급기준 (2)'!O191</f>
        <v>0</v>
      </c>
      <c r="BB97" s="890"/>
      <c r="BC97" s="2719"/>
      <c r="BD97" s="393"/>
      <c r="BE97" s="393" t="b">
        <f>+(BA97+AY97+AW97+AU97+AS97)=R97</f>
        <v>1</v>
      </c>
      <c r="BF97" s="393"/>
      <c r="BG97" s="393"/>
      <c r="BH97" s="393"/>
      <c r="BI97" s="393"/>
      <c r="BJ97" s="393"/>
      <c r="BK97" s="393"/>
      <c r="BL97" s="393"/>
      <c r="BM97" s="393"/>
      <c r="BN97" s="393"/>
      <c r="BO97" s="408"/>
      <c r="BP97" s="408"/>
    </row>
    <row r="98" spans="1:68" ht="16.5" customHeight="1">
      <c r="A98" s="394"/>
      <c r="B98" s="2734"/>
      <c r="C98" s="2736"/>
      <c r="D98" s="2738"/>
      <c r="E98" s="2760"/>
      <c r="F98" s="2763"/>
      <c r="G98" s="2738"/>
      <c r="H98" s="2738"/>
      <c r="I98" s="2732"/>
      <c r="J98" s="2747"/>
      <c r="K98" s="2715"/>
      <c r="L98" s="2652"/>
      <c r="M98" s="2654"/>
      <c r="N98" s="2654"/>
      <c r="O98" s="875" t="s">
        <v>128</v>
      </c>
      <c r="P98" s="896">
        <f>+'DG-PV Organic'!AJ27</f>
        <v>182753000</v>
      </c>
      <c r="Q98" s="896">
        <f t="shared" ref="Q98" si="197">+P98*10%</f>
        <v>18275300</v>
      </c>
      <c r="R98" s="897">
        <f t="shared" si="193"/>
        <v>201028300</v>
      </c>
      <c r="S98" s="409" t="b">
        <f t="shared" si="148"/>
        <v>1</v>
      </c>
      <c r="T98" s="908">
        <f>+IFERROR(U98/R98,"-")</f>
        <v>0</v>
      </c>
      <c r="U98" s="909">
        <f>+IFERROR(X98+AA98+AD98+AG98+AJ98+AM98,"-")</f>
        <v>0</v>
      </c>
      <c r="V98" s="908">
        <f t="shared" si="149"/>
        <v>0</v>
      </c>
      <c r="W98" s="919">
        <f>W96</f>
        <v>45777</v>
      </c>
      <c r="X98" s="876"/>
      <c r="Y98" s="877"/>
      <c r="Z98" s="877">
        <v>0</v>
      </c>
      <c r="AA98" s="877"/>
      <c r="AB98" s="883">
        <f>AB96</f>
        <v>45869</v>
      </c>
      <c r="AC98" s="877">
        <v>0</v>
      </c>
      <c r="AD98" s="877"/>
      <c r="AE98" s="883">
        <f>AE96</f>
        <v>45930</v>
      </c>
      <c r="AF98" s="877">
        <v>0</v>
      </c>
      <c r="AG98" s="877"/>
      <c r="AH98" s="883">
        <f>AH96</f>
        <v>46325</v>
      </c>
      <c r="AI98" s="877" t="str">
        <f>+IFERROR(AJ98/#REF!,"-")</f>
        <v>-</v>
      </c>
      <c r="AJ98" s="877"/>
      <c r="AK98" s="877"/>
      <c r="AL98" s="877" t="str">
        <f>+IFERROR(AM98/#REF!,"-")</f>
        <v>-</v>
      </c>
      <c r="AM98" s="877"/>
      <c r="AN98" s="877"/>
      <c r="AO98" s="884">
        <f t="shared" si="153"/>
        <v>201028300</v>
      </c>
      <c r="AP98" s="884">
        <f>+AO98*'ref.지급기준 (2)'!G192</f>
        <v>40205660</v>
      </c>
      <c r="AQ98" s="885">
        <f>+W98</f>
        <v>45777</v>
      </c>
      <c r="AR98" s="407"/>
      <c r="AS98" s="945">
        <f>+$AO98*'ref.지급기준 (2)'!G192</f>
        <v>40205660</v>
      </c>
      <c r="AT98" s="884">
        <f t="shared" si="154"/>
        <v>0</v>
      </c>
      <c r="AU98" s="884">
        <f>+$AO98*'ref.지급기준 (2)'!I192</f>
        <v>40205660</v>
      </c>
      <c r="AV98" s="884">
        <f t="shared" si="196"/>
        <v>0</v>
      </c>
      <c r="AW98" s="884">
        <f>+$AO98*'ref.지급기준 (2)'!K192</f>
        <v>100514150</v>
      </c>
      <c r="AX98" s="884"/>
      <c r="AY98" s="884">
        <f>+$AO98*'ref.지급기준 (2)'!M192</f>
        <v>20102830</v>
      </c>
      <c r="AZ98" s="884"/>
      <c r="BA98" s="884">
        <f>+$AO98*'ref.지급기준 (2)'!O192</f>
        <v>0</v>
      </c>
      <c r="BB98" s="890"/>
      <c r="BC98" s="2719"/>
      <c r="BD98" s="393"/>
      <c r="BE98" s="393" t="b">
        <f>+(BA98+AY98+AW98+AU98+AS98)=R98</f>
        <v>1</v>
      </c>
      <c r="BF98" s="393"/>
      <c r="BG98" s="393"/>
      <c r="BH98" s="393"/>
      <c r="BI98" s="393"/>
      <c r="BJ98" s="393"/>
      <c r="BK98" s="393"/>
      <c r="BL98" s="393"/>
      <c r="BM98" s="393"/>
      <c r="BN98" s="393"/>
      <c r="BO98" s="408"/>
      <c r="BP98" s="408"/>
    </row>
    <row r="99" spans="1:68" ht="16.5" customHeight="1" thickBot="1">
      <c r="A99" s="394"/>
      <c r="B99" s="2734"/>
      <c r="C99" s="2736"/>
      <c r="D99" s="2738"/>
      <c r="E99" s="2760"/>
      <c r="F99" s="2763"/>
      <c r="G99" s="2738"/>
      <c r="H99" s="2738"/>
      <c r="I99" s="2732"/>
      <c r="J99" s="2747"/>
      <c r="K99" s="2716"/>
      <c r="L99" s="2653"/>
      <c r="M99" s="2655"/>
      <c r="N99" s="2655"/>
      <c r="O99" s="999" t="s">
        <v>129</v>
      </c>
      <c r="P99" s="900">
        <f>+'DG-PV Organic'!AI27</f>
        <v>182753000</v>
      </c>
      <c r="Q99" s="901">
        <f>+P99*0.1</f>
        <v>18275300</v>
      </c>
      <c r="R99" s="901">
        <f>SUM(P99:Q99)</f>
        <v>201028300</v>
      </c>
      <c r="S99" s="409" t="b">
        <f t="shared" si="148"/>
        <v>1</v>
      </c>
      <c r="T99" s="936"/>
      <c r="U99" s="995"/>
      <c r="V99" s="936">
        <f t="shared" si="149"/>
        <v>0</v>
      </c>
      <c r="W99" s="937"/>
      <c r="X99" s="937"/>
      <c r="Y99" s="937"/>
      <c r="Z99" s="937">
        <f t="shared" ref="Z99:Z102" si="198">+IFERROR(AA99/$R99,"-")</f>
        <v>0</v>
      </c>
      <c r="AA99" s="937"/>
      <c r="AB99" s="938"/>
      <c r="AC99" s="937">
        <f t="shared" ref="AC99:AC102" si="199">+IFERROR(AD99/$R99,"-")</f>
        <v>0</v>
      </c>
      <c r="AD99" s="937"/>
      <c r="AE99" s="938"/>
      <c r="AF99" s="937">
        <f t="shared" ref="AF99:AF102" si="200">+IFERROR(AG99/$R99,"-")</f>
        <v>0</v>
      </c>
      <c r="AG99" s="937"/>
      <c r="AH99" s="938"/>
      <c r="AI99" s="937" t="str">
        <f>+IFERROR(AJ99/#REF!,"-")</f>
        <v>-</v>
      </c>
      <c r="AJ99" s="937"/>
      <c r="AK99" s="937"/>
      <c r="AL99" s="937"/>
      <c r="AM99" s="937"/>
      <c r="AN99" s="937"/>
      <c r="AO99" s="939">
        <f t="shared" si="153"/>
        <v>201028300</v>
      </c>
      <c r="AP99" s="939">
        <f>+AS99+AU99</f>
        <v>201028300</v>
      </c>
      <c r="AQ99" s="940"/>
      <c r="AR99" s="407"/>
      <c r="AS99" s="947">
        <f>+$AO99*'ref.지급기준 (2)'!G138</f>
        <v>201028300</v>
      </c>
      <c r="AT99" s="928">
        <f t="shared" si="154"/>
        <v>0</v>
      </c>
      <c r="AU99" s="928">
        <f>+$AO99*'ref.지급기준 (2)'!I138</f>
        <v>0</v>
      </c>
      <c r="AV99" s="928">
        <f t="shared" si="196"/>
        <v>0</v>
      </c>
      <c r="AW99" s="928">
        <f>+$AO99*'ref.지급기준 (2)'!K138</f>
        <v>0</v>
      </c>
      <c r="AX99" s="928"/>
      <c r="AY99" s="928">
        <f>+$AO99*'ref.지급기준 (2)'!M138</f>
        <v>0</v>
      </c>
      <c r="AZ99" s="928"/>
      <c r="BA99" s="928">
        <f>+$AO99*'ref.지급기준 (2)'!O138</f>
        <v>0</v>
      </c>
      <c r="BB99" s="997"/>
      <c r="BC99" s="2720"/>
      <c r="BD99" s="393"/>
      <c r="BE99" s="393"/>
      <c r="BF99" s="393"/>
      <c r="BG99" s="393"/>
      <c r="BH99" s="393"/>
      <c r="BI99" s="393"/>
      <c r="BJ99" s="393"/>
      <c r="BK99" s="393"/>
      <c r="BL99" s="393"/>
      <c r="BM99" s="393"/>
      <c r="BN99" s="393"/>
      <c r="BO99" s="408"/>
      <c r="BP99" s="408"/>
    </row>
    <row r="100" spans="1:68" ht="16.5" customHeight="1">
      <c r="A100" s="394"/>
      <c r="B100" s="2734"/>
      <c r="C100" s="2736"/>
      <c r="D100" s="2738"/>
      <c r="E100" s="2760"/>
      <c r="F100" s="2763"/>
      <c r="G100" s="2738"/>
      <c r="H100" s="2738"/>
      <c r="I100" s="2732" t="s">
        <v>1284</v>
      </c>
      <c r="J100" s="2747" t="s">
        <v>1285</v>
      </c>
      <c r="K100" s="2714">
        <f>+'DG-PV Organic'!O28</f>
        <v>544.83000000000004</v>
      </c>
      <c r="L100" s="2730">
        <f>+'DG-PV Organic'!H57</f>
        <v>0</v>
      </c>
      <c r="M100" s="2717">
        <f>+'DG-PV Organic'!H28</f>
        <v>8.8400000000000006E-2</v>
      </c>
      <c r="N100" s="2717" t="s">
        <v>1257</v>
      </c>
      <c r="O100" s="893" t="s">
        <v>125</v>
      </c>
      <c r="P100" s="904">
        <f>+'DG-PV Organic'!AL28</f>
        <v>572071500</v>
      </c>
      <c r="Q100" s="904">
        <f>+P100*10%</f>
        <v>57207150</v>
      </c>
      <c r="R100" s="905">
        <f t="shared" ref="R100:R103" si="201">SUM(P100:Q100)</f>
        <v>629278650</v>
      </c>
      <c r="S100" s="874" t="b">
        <f t="shared" si="148"/>
        <v>1</v>
      </c>
      <c r="T100" s="983">
        <f>+IFERROR(U100/R100,"-")</f>
        <v>0</v>
      </c>
      <c r="U100" s="984">
        <f>+IFERROR(X100+AA100+AD100+AG100+AJ100+AM100,"-")</f>
        <v>0</v>
      </c>
      <c r="V100" s="983">
        <f t="shared" si="149"/>
        <v>0</v>
      </c>
      <c r="W100" s="883">
        <f>AE103</f>
        <v>45930</v>
      </c>
      <c r="X100" s="991"/>
      <c r="Y100" s="912"/>
      <c r="Z100" s="877">
        <f t="shared" si="198"/>
        <v>0</v>
      </c>
      <c r="AA100" s="877"/>
      <c r="AB100" s="883">
        <f>+EDATE(W100,1)</f>
        <v>45960</v>
      </c>
      <c r="AC100" s="877">
        <f t="shared" si="199"/>
        <v>0</v>
      </c>
      <c r="AD100" s="877"/>
      <c r="AE100" s="883">
        <f t="shared" ref="AE100" si="202">+EDATE(AB100,3)</f>
        <v>46052</v>
      </c>
      <c r="AF100" s="877">
        <f t="shared" si="200"/>
        <v>0</v>
      </c>
      <c r="AG100" s="877"/>
      <c r="AH100" s="883">
        <f t="shared" ref="AH100" si="203">+EDATE(AB100,4)</f>
        <v>46081</v>
      </c>
      <c r="AI100" s="877" t="str">
        <f>+IFERROR(AJ100/#REF!,"-")</f>
        <v>-</v>
      </c>
      <c r="AJ100" s="877"/>
      <c r="AK100" s="883">
        <f>+EDATE(AB100,6)+1</f>
        <v>46143</v>
      </c>
      <c r="AL100" s="912" t="str">
        <f>+IFERROR(AM100/#REF!,"-")</f>
        <v>-</v>
      </c>
      <c r="AM100" s="912"/>
      <c r="AN100" s="912"/>
      <c r="AO100" s="920">
        <f t="shared" si="153"/>
        <v>629278650</v>
      </c>
      <c r="AP100" s="920">
        <f>+AO100*'ref.지급기준 (2)'!G194</f>
        <v>62927865</v>
      </c>
      <c r="AQ100" s="921">
        <f>+W100</f>
        <v>45930</v>
      </c>
      <c r="AR100" s="407"/>
      <c r="AS100" s="945">
        <f>+$AO100*'ref.지급기준 (2)'!G194</f>
        <v>62927865</v>
      </c>
      <c r="AT100" s="884">
        <f t="shared" si="154"/>
        <v>0</v>
      </c>
      <c r="AU100" s="884">
        <f>+$AO100*'ref.지급기준 (2)'!I194</f>
        <v>125855730</v>
      </c>
      <c r="AV100" s="884">
        <f t="shared" si="196"/>
        <v>0</v>
      </c>
      <c r="AW100" s="884">
        <f>+$AO100*'ref.지급기준 (2)'!K194</f>
        <v>251711460</v>
      </c>
      <c r="AX100" s="884"/>
      <c r="AY100" s="884">
        <f>+$AO100*'ref.지급기준 (2)'!M194</f>
        <v>157319662.5</v>
      </c>
      <c r="AZ100" s="884"/>
      <c r="BA100" s="884">
        <f>+$AO100*'ref.지급기준 (2)'!O194</f>
        <v>31463932.5</v>
      </c>
      <c r="BB100" s="890"/>
      <c r="BC100" s="2718" t="s">
        <v>1271</v>
      </c>
      <c r="BD100" s="393"/>
      <c r="BE100" s="393" t="b">
        <f>+(BA100+AY100+AW100+AU100+AS100)=R100</f>
        <v>1</v>
      </c>
      <c r="BF100" s="393"/>
      <c r="BG100" s="393"/>
      <c r="BH100" s="393"/>
      <c r="BI100" s="393"/>
      <c r="BJ100" s="393"/>
      <c r="BK100" s="393"/>
      <c r="BL100" s="393"/>
      <c r="BM100" s="393"/>
      <c r="BN100" s="393"/>
      <c r="BO100" s="408"/>
      <c r="BP100" s="408"/>
    </row>
    <row r="101" spans="1:68" ht="16.5" customHeight="1">
      <c r="A101" s="394"/>
      <c r="B101" s="2734"/>
      <c r="C101" s="2736"/>
      <c r="D101" s="2738"/>
      <c r="E101" s="2760"/>
      <c r="F101" s="2763"/>
      <c r="G101" s="2738"/>
      <c r="H101" s="2738"/>
      <c r="I101" s="2732"/>
      <c r="J101" s="2747"/>
      <c r="K101" s="2715"/>
      <c r="L101" s="2652"/>
      <c r="M101" s="2654"/>
      <c r="N101" s="2654"/>
      <c r="O101" s="875" t="s">
        <v>126</v>
      </c>
      <c r="P101" s="896">
        <f>+'DG-PV Organic'!AK28</f>
        <v>163449000</v>
      </c>
      <c r="Q101" s="896">
        <f>+P101*10%</f>
        <v>16344900</v>
      </c>
      <c r="R101" s="897">
        <f t="shared" si="201"/>
        <v>179793900</v>
      </c>
      <c r="S101" s="874" t="b">
        <f t="shared" ref="S101:S132" si="204">+R101=AO101</f>
        <v>1</v>
      </c>
      <c r="T101" s="908">
        <f>+IFERROR(U101/R101,"-")</f>
        <v>0</v>
      </c>
      <c r="U101" s="909">
        <f>+IFERROR(X101+AA101+AD101+AG101+AJ101+AM101,"-")</f>
        <v>0</v>
      </c>
      <c r="V101" s="908">
        <f t="shared" ref="V101:V132" si="205">+IFERROR(X101/$R101,"-")</f>
        <v>0</v>
      </c>
      <c r="W101" s="919">
        <v>45777</v>
      </c>
      <c r="X101" s="876"/>
      <c r="Y101" s="877"/>
      <c r="Z101" s="877">
        <f t="shared" si="198"/>
        <v>0</v>
      </c>
      <c r="AA101" s="886"/>
      <c r="AB101" s="883">
        <v>45869</v>
      </c>
      <c r="AC101" s="877">
        <f t="shared" si="199"/>
        <v>0</v>
      </c>
      <c r="AD101" s="877"/>
      <c r="AE101" s="883">
        <f>EDATE(AB101,2)</f>
        <v>45930</v>
      </c>
      <c r="AF101" s="877">
        <f t="shared" si="200"/>
        <v>0</v>
      </c>
      <c r="AG101" s="877"/>
      <c r="AH101" s="883">
        <f>+EDATE(AB100,12)</f>
        <v>46325</v>
      </c>
      <c r="AI101" s="877" t="str">
        <f>+IFERROR(AJ101/#REF!,"-")</f>
        <v>-</v>
      </c>
      <c r="AJ101" s="877"/>
      <c r="AK101" s="877"/>
      <c r="AL101" s="877" t="str">
        <f>+IFERROR(AM101/#REF!,"-")</f>
        <v>-</v>
      </c>
      <c r="AM101" s="877"/>
      <c r="AN101" s="877"/>
      <c r="AO101" s="884">
        <f t="shared" ref="AO101:AO132" si="206">+R101</f>
        <v>179793900</v>
      </c>
      <c r="AP101" s="884">
        <f>+AO101*'ref.지급기준 (2)'!G195</f>
        <v>35958780</v>
      </c>
      <c r="AQ101" s="885">
        <f>+W101</f>
        <v>45777</v>
      </c>
      <c r="AR101" s="407"/>
      <c r="AS101" s="945">
        <f>+$AO101*'ref.지급기준 (2)'!G195</f>
        <v>35958780</v>
      </c>
      <c r="AT101" s="884">
        <f t="shared" ref="AT101:AT132" si="207">+X101</f>
        <v>0</v>
      </c>
      <c r="AU101" s="884">
        <f>+$AO101*'ref.지급기준 (2)'!I195</f>
        <v>35958780</v>
      </c>
      <c r="AV101" s="884">
        <f t="shared" si="196"/>
        <v>0</v>
      </c>
      <c r="AW101" s="884">
        <f>+$AO101*'ref.지급기준 (2)'!K195</f>
        <v>89896950</v>
      </c>
      <c r="AX101" s="884"/>
      <c r="AY101" s="884">
        <f>+$AO101*'ref.지급기준 (2)'!M195</f>
        <v>17979390</v>
      </c>
      <c r="AZ101" s="884"/>
      <c r="BA101" s="884">
        <f>+$AO101*'ref.지급기준 (2)'!O195</f>
        <v>0</v>
      </c>
      <c r="BB101" s="890"/>
      <c r="BC101" s="2719"/>
      <c r="BD101" s="393"/>
      <c r="BE101" s="393" t="b">
        <f>+(BA101+AY101+AW101+AU101+AS101)=R101</f>
        <v>1</v>
      </c>
      <c r="BF101" s="393"/>
      <c r="BG101" s="393"/>
      <c r="BH101" s="393"/>
      <c r="BI101" s="393"/>
      <c r="BJ101" s="393"/>
      <c r="BK101" s="393"/>
      <c r="BL101" s="393"/>
      <c r="BM101" s="393"/>
      <c r="BN101" s="393"/>
      <c r="BO101" s="408"/>
      <c r="BP101" s="408"/>
    </row>
    <row r="102" spans="1:68" ht="16.5" customHeight="1">
      <c r="A102" s="394"/>
      <c r="B102" s="2734"/>
      <c r="C102" s="2736"/>
      <c r="D102" s="2738"/>
      <c r="E102" s="2760"/>
      <c r="F102" s="2763"/>
      <c r="G102" s="2738"/>
      <c r="H102" s="2738"/>
      <c r="I102" s="2732"/>
      <c r="J102" s="2747"/>
      <c r="K102" s="2715"/>
      <c r="L102" s="2652"/>
      <c r="M102" s="2654"/>
      <c r="N102" s="2654"/>
      <c r="O102" s="875" t="s">
        <v>127</v>
      </c>
      <c r="P102" s="896">
        <f>+'ref.지급기준 (2)'!F196*'ref.지급기준 (2)'!D196/'ref.지급기준 (2)'!$Q$2</f>
        <v>0</v>
      </c>
      <c r="Q102" s="896" t="s">
        <v>1218</v>
      </c>
      <c r="R102" s="897">
        <f t="shared" si="201"/>
        <v>0</v>
      </c>
      <c r="S102" s="874" t="b">
        <f t="shared" si="204"/>
        <v>1</v>
      </c>
      <c r="T102" s="908" t="str">
        <f>+IFERROR(U102/R102,"-")</f>
        <v>-</v>
      </c>
      <c r="U102" s="909">
        <f>+IFERROR(X102+AA102+AD102+AG102+AJ102+AM102,"-")</f>
        <v>0</v>
      </c>
      <c r="V102" s="908" t="str">
        <f t="shared" si="205"/>
        <v>-</v>
      </c>
      <c r="W102" s="919"/>
      <c r="X102" s="876"/>
      <c r="Y102" s="877"/>
      <c r="Z102" s="877" t="str">
        <f t="shared" si="198"/>
        <v>-</v>
      </c>
      <c r="AA102" s="877"/>
      <c r="AB102" s="883"/>
      <c r="AC102" s="877" t="str">
        <f t="shared" si="199"/>
        <v>-</v>
      </c>
      <c r="AD102" s="877"/>
      <c r="AE102" s="883"/>
      <c r="AF102" s="877" t="str">
        <f t="shared" si="200"/>
        <v>-</v>
      </c>
      <c r="AG102" s="877"/>
      <c r="AH102" s="883"/>
      <c r="AI102" s="877" t="str">
        <f>+IFERROR(AJ102/#REF!,"-")</f>
        <v>-</v>
      </c>
      <c r="AJ102" s="877"/>
      <c r="AK102" s="877"/>
      <c r="AL102" s="877" t="str">
        <f>+IFERROR(AM102/#REF!,"-")</f>
        <v>-</v>
      </c>
      <c r="AM102" s="877"/>
      <c r="AN102" s="877"/>
      <c r="AO102" s="884">
        <f t="shared" si="206"/>
        <v>0</v>
      </c>
      <c r="AP102" s="884">
        <f>+AO102*'ref.지급기준 (2)'!G196</f>
        <v>0</v>
      </c>
      <c r="AQ102" s="885"/>
      <c r="AR102" s="407"/>
      <c r="AS102" s="945">
        <f>+$AO102*'ref.지급기준 (2)'!G196</f>
        <v>0</v>
      </c>
      <c r="AT102" s="884">
        <f t="shared" si="207"/>
        <v>0</v>
      </c>
      <c r="AU102" s="884">
        <f>+$AO102*'ref.지급기준 (2)'!I196</f>
        <v>0</v>
      </c>
      <c r="AV102" s="884">
        <f t="shared" si="196"/>
        <v>0</v>
      </c>
      <c r="AW102" s="884">
        <f>+$AO102*'ref.지급기준 (2)'!K196</f>
        <v>0</v>
      </c>
      <c r="AX102" s="884"/>
      <c r="AY102" s="884">
        <f>+$AO102*'ref.지급기준 (2)'!M196</f>
        <v>0</v>
      </c>
      <c r="AZ102" s="884"/>
      <c r="BA102" s="884">
        <f>+$AO102*'ref.지급기준 (2)'!O196</f>
        <v>0</v>
      </c>
      <c r="BB102" s="890"/>
      <c r="BC102" s="2719"/>
      <c r="BD102" s="393"/>
      <c r="BE102" s="393" t="b">
        <f>+(BA102+AY102+AW102+AU102+AS102)=R102</f>
        <v>1</v>
      </c>
      <c r="BF102" s="393"/>
      <c r="BG102" s="393"/>
      <c r="BH102" s="393"/>
      <c r="BI102" s="393"/>
      <c r="BJ102" s="393"/>
      <c r="BK102" s="393"/>
      <c r="BL102" s="393"/>
      <c r="BM102" s="393"/>
      <c r="BN102" s="393"/>
      <c r="BO102" s="408"/>
      <c r="BP102" s="408"/>
    </row>
    <row r="103" spans="1:68" ht="16.5" customHeight="1">
      <c r="A103" s="394"/>
      <c r="B103" s="2734"/>
      <c r="C103" s="2736"/>
      <c r="D103" s="2738"/>
      <c r="E103" s="2760"/>
      <c r="F103" s="2763"/>
      <c r="G103" s="2738"/>
      <c r="H103" s="2738"/>
      <c r="I103" s="2732"/>
      <c r="J103" s="2747"/>
      <c r="K103" s="2715"/>
      <c r="L103" s="2652"/>
      <c r="M103" s="2654"/>
      <c r="N103" s="2654"/>
      <c r="O103" s="875" t="s">
        <v>128</v>
      </c>
      <c r="P103" s="896">
        <f>+'DG-PV Organic'!AJ28</f>
        <v>108966000.00000001</v>
      </c>
      <c r="Q103" s="896">
        <f t="shared" ref="Q103" si="208">+P103*10%</f>
        <v>10896600.000000002</v>
      </c>
      <c r="R103" s="897">
        <f t="shared" si="201"/>
        <v>119862600.00000001</v>
      </c>
      <c r="S103" s="409" t="b">
        <f t="shared" si="204"/>
        <v>1</v>
      </c>
      <c r="T103" s="908">
        <f>+IFERROR(U103/R103,"-")</f>
        <v>0</v>
      </c>
      <c r="U103" s="909">
        <f>+IFERROR(X103+AA103+AD103+AG103+AJ103+AM103,"-")</f>
        <v>0</v>
      </c>
      <c r="V103" s="908">
        <f t="shared" si="205"/>
        <v>0</v>
      </c>
      <c r="W103" s="919">
        <f>W101</f>
        <v>45777</v>
      </c>
      <c r="X103" s="876"/>
      <c r="Y103" s="877"/>
      <c r="Z103" s="877">
        <v>0</v>
      </c>
      <c r="AA103" s="877"/>
      <c r="AB103" s="883">
        <f>AB101</f>
        <v>45869</v>
      </c>
      <c r="AC103" s="877">
        <v>0</v>
      </c>
      <c r="AD103" s="877"/>
      <c r="AE103" s="883">
        <f>AE101</f>
        <v>45930</v>
      </c>
      <c r="AF103" s="877">
        <v>0</v>
      </c>
      <c r="AG103" s="877"/>
      <c r="AH103" s="883">
        <f>AH101</f>
        <v>46325</v>
      </c>
      <c r="AI103" s="877" t="str">
        <f>+IFERROR(AJ103/#REF!,"-")</f>
        <v>-</v>
      </c>
      <c r="AJ103" s="877"/>
      <c r="AK103" s="877"/>
      <c r="AL103" s="877" t="str">
        <f>+IFERROR(AM103/#REF!,"-")</f>
        <v>-</v>
      </c>
      <c r="AM103" s="877"/>
      <c r="AN103" s="877"/>
      <c r="AO103" s="884">
        <f t="shared" si="206"/>
        <v>119862600.00000001</v>
      </c>
      <c r="AP103" s="884">
        <f>+AO103*'ref.지급기준 (2)'!G197</f>
        <v>23972520.000000004</v>
      </c>
      <c r="AQ103" s="885">
        <f>+W103</f>
        <v>45777</v>
      </c>
      <c r="AR103" s="407"/>
      <c r="AS103" s="945">
        <f>+$AO103*'ref.지급기준 (2)'!G197</f>
        <v>23972520.000000004</v>
      </c>
      <c r="AT103" s="884">
        <f t="shared" si="207"/>
        <v>0</v>
      </c>
      <c r="AU103" s="884">
        <f>+$AO103*'ref.지급기준 (2)'!I197</f>
        <v>23972520.000000004</v>
      </c>
      <c r="AV103" s="884">
        <f t="shared" si="196"/>
        <v>0</v>
      </c>
      <c r="AW103" s="884">
        <f>+$AO103*'ref.지급기준 (2)'!K197</f>
        <v>59931300.000000007</v>
      </c>
      <c r="AX103" s="884"/>
      <c r="AY103" s="884">
        <f>+$AO103*'ref.지급기준 (2)'!M197</f>
        <v>11986260.000000002</v>
      </c>
      <c r="AZ103" s="884"/>
      <c r="BA103" s="884">
        <f>+$AO103*'ref.지급기준 (2)'!O197</f>
        <v>0</v>
      </c>
      <c r="BB103" s="890"/>
      <c r="BC103" s="2719"/>
      <c r="BD103" s="393"/>
      <c r="BE103" s="393" t="b">
        <f>+(BA103+AY103+AW103+AU103+AS103)=R103</f>
        <v>1</v>
      </c>
      <c r="BF103" s="393"/>
      <c r="BG103" s="393"/>
      <c r="BH103" s="393"/>
      <c r="BI103" s="393"/>
      <c r="BJ103" s="393"/>
      <c r="BK103" s="393"/>
      <c r="BL103" s="393"/>
      <c r="BM103" s="393"/>
      <c r="BN103" s="393"/>
      <c r="BO103" s="408"/>
      <c r="BP103" s="408"/>
    </row>
    <row r="104" spans="1:68" ht="16.5" customHeight="1" thickBot="1">
      <c r="A104" s="394"/>
      <c r="B104" s="2734"/>
      <c r="C104" s="2736"/>
      <c r="D104" s="2738"/>
      <c r="E104" s="2760"/>
      <c r="F104" s="2763"/>
      <c r="G104" s="2738"/>
      <c r="H104" s="2738"/>
      <c r="I104" s="2732"/>
      <c r="J104" s="2747"/>
      <c r="K104" s="2716"/>
      <c r="L104" s="2653"/>
      <c r="M104" s="2655"/>
      <c r="N104" s="2655"/>
      <c r="O104" s="999" t="s">
        <v>129</v>
      </c>
      <c r="P104" s="900">
        <f>+'DG-PV Organic'!AI28</f>
        <v>108966000</v>
      </c>
      <c r="Q104" s="901">
        <f>+P104*0.1</f>
        <v>10896600</v>
      </c>
      <c r="R104" s="901">
        <f>SUM(P104:Q104)</f>
        <v>119862600</v>
      </c>
      <c r="S104" s="409" t="b">
        <f t="shared" si="204"/>
        <v>1</v>
      </c>
      <c r="T104" s="936"/>
      <c r="U104" s="995"/>
      <c r="V104" s="936">
        <f t="shared" si="205"/>
        <v>0</v>
      </c>
      <c r="W104" s="937"/>
      <c r="X104" s="937"/>
      <c r="Y104" s="937"/>
      <c r="Z104" s="937">
        <f t="shared" ref="Z104:Z107" si="209">+IFERROR(AA104/$R104,"-")</f>
        <v>0</v>
      </c>
      <c r="AA104" s="937"/>
      <c r="AB104" s="938"/>
      <c r="AC104" s="937">
        <f t="shared" ref="AC104:AC107" si="210">+IFERROR(AD104/$R104,"-")</f>
        <v>0</v>
      </c>
      <c r="AD104" s="937"/>
      <c r="AE104" s="938"/>
      <c r="AF104" s="937">
        <f t="shared" ref="AF104:AF107" si="211">+IFERROR(AG104/$R104,"-")</f>
        <v>0</v>
      </c>
      <c r="AG104" s="937"/>
      <c r="AH104" s="938"/>
      <c r="AI104" s="937" t="str">
        <f>+IFERROR(AJ104/#REF!,"-")</f>
        <v>-</v>
      </c>
      <c r="AJ104" s="937"/>
      <c r="AK104" s="937"/>
      <c r="AL104" s="937"/>
      <c r="AM104" s="937"/>
      <c r="AN104" s="937"/>
      <c r="AO104" s="939">
        <f t="shared" si="206"/>
        <v>119862600</v>
      </c>
      <c r="AP104" s="939">
        <f>+AS104+AU104</f>
        <v>119862600</v>
      </c>
      <c r="AQ104" s="940"/>
      <c r="AR104" s="407"/>
      <c r="AS104" s="947">
        <f>+$AO104*'ref.지급기준 (2)'!G143</f>
        <v>119862600</v>
      </c>
      <c r="AT104" s="928">
        <f t="shared" si="207"/>
        <v>0</v>
      </c>
      <c r="AU104" s="928">
        <f>+$AO104*'ref.지급기준 (2)'!I143</f>
        <v>0</v>
      </c>
      <c r="AV104" s="928">
        <f t="shared" si="196"/>
        <v>0</v>
      </c>
      <c r="AW104" s="928">
        <f>+$AO104*'ref.지급기준 (2)'!K143</f>
        <v>0</v>
      </c>
      <c r="AX104" s="928"/>
      <c r="AY104" s="928">
        <f>+$AO104*'ref.지급기준 (2)'!M143</f>
        <v>0</v>
      </c>
      <c r="AZ104" s="928"/>
      <c r="BA104" s="928">
        <f>+$AO104*'ref.지급기준 (2)'!O143</f>
        <v>0</v>
      </c>
      <c r="BB104" s="997"/>
      <c r="BC104" s="2720"/>
      <c r="BD104" s="393"/>
      <c r="BE104" s="393"/>
      <c r="BF104" s="393"/>
      <c r="BG104" s="393"/>
      <c r="BH104" s="393"/>
      <c r="BI104" s="393"/>
      <c r="BJ104" s="393"/>
      <c r="BK104" s="393"/>
      <c r="BL104" s="393"/>
      <c r="BM104" s="393"/>
      <c r="BN104" s="393"/>
      <c r="BO104" s="408"/>
      <c r="BP104" s="408"/>
    </row>
    <row r="105" spans="1:68" ht="16.5" customHeight="1" outlineLevel="1">
      <c r="A105" s="394"/>
      <c r="B105" s="2734"/>
      <c r="C105" s="2736"/>
      <c r="D105" s="2738"/>
      <c r="E105" s="2760"/>
      <c r="F105" s="2763"/>
      <c r="G105" s="2738"/>
      <c r="H105" s="2738"/>
      <c r="I105" s="2732"/>
      <c r="J105" s="2747"/>
      <c r="K105" s="2714"/>
      <c r="L105" s="2730">
        <f>+'DG-PV Organic'!H62</f>
        <v>0</v>
      </c>
      <c r="M105" s="2717">
        <f>+'DG-PV Organic'!J62</f>
        <v>0</v>
      </c>
      <c r="N105" s="2717" t="s">
        <v>1257</v>
      </c>
      <c r="O105" s="893" t="s">
        <v>125</v>
      </c>
      <c r="P105" s="904">
        <f>+'ref.지급기준 (2)'!F199*'ref.지급기준 (2)'!D199/'ref.지급기준 (2)'!$Q$2</f>
        <v>40320000</v>
      </c>
      <c r="Q105" s="904">
        <f>+P105*10%</f>
        <v>4032000</v>
      </c>
      <c r="R105" s="905">
        <f t="shared" ref="R105:R108" si="212">SUM(P105:Q105)</f>
        <v>44352000</v>
      </c>
      <c r="S105" s="874" t="b">
        <f t="shared" si="204"/>
        <v>1</v>
      </c>
      <c r="T105" s="983">
        <f>+IFERROR(U105/R105,"-")</f>
        <v>0</v>
      </c>
      <c r="U105" s="984">
        <f>+IFERROR(X105+AA105+AD105+AG105+AJ105+AM105,"-")</f>
        <v>0</v>
      </c>
      <c r="V105" s="983">
        <f t="shared" si="205"/>
        <v>0</v>
      </c>
      <c r="W105" s="992">
        <v>45716</v>
      </c>
      <c r="X105" s="991"/>
      <c r="Y105" s="912"/>
      <c r="Z105" s="912">
        <f t="shared" si="209"/>
        <v>0</v>
      </c>
      <c r="AA105" s="912"/>
      <c r="AB105" s="916">
        <f>+EDATE(W105,1)</f>
        <v>45744</v>
      </c>
      <c r="AC105" s="912">
        <f t="shared" si="210"/>
        <v>0</v>
      </c>
      <c r="AD105" s="912"/>
      <c r="AE105" s="916">
        <f t="shared" ref="AE105" si="213">+EDATE(AB105,3)</f>
        <v>45836</v>
      </c>
      <c r="AF105" s="912">
        <f t="shared" si="211"/>
        <v>0</v>
      </c>
      <c r="AG105" s="912"/>
      <c r="AH105" s="916">
        <f t="shared" ref="AH105" si="214">+EDATE(AB105,4)</f>
        <v>45866</v>
      </c>
      <c r="AI105" s="912" t="str">
        <f>+IFERROR(AJ105/#REF!,"-")</f>
        <v>-</v>
      </c>
      <c r="AJ105" s="912"/>
      <c r="AK105" s="916">
        <f t="shared" ref="AK105" si="215">+EDATE(AB105,6)</f>
        <v>45928</v>
      </c>
      <c r="AL105" s="912" t="str">
        <f>+IFERROR(AM105/#REF!,"-")</f>
        <v>-</v>
      </c>
      <c r="AM105" s="912"/>
      <c r="AN105" s="912"/>
      <c r="AO105" s="920">
        <f t="shared" si="206"/>
        <v>44352000</v>
      </c>
      <c r="AP105" s="920">
        <f>+AO105*'ref.지급기준 (2)'!G199</f>
        <v>4435200</v>
      </c>
      <c r="AQ105" s="921">
        <f>+W105</f>
        <v>45716</v>
      </c>
      <c r="AR105" s="407"/>
      <c r="AS105" s="945">
        <f>+$AO105*'ref.지급기준 (2)'!G199</f>
        <v>4435200</v>
      </c>
      <c r="AT105" s="884">
        <f t="shared" si="207"/>
        <v>0</v>
      </c>
      <c r="AU105" s="884">
        <f>+$AO105*'ref.지급기준 (2)'!I199</f>
        <v>8870400</v>
      </c>
      <c r="AV105" s="884">
        <f t="shared" si="196"/>
        <v>0</v>
      </c>
      <c r="AW105" s="884">
        <f>+$AO105*'ref.지급기준 (2)'!K199</f>
        <v>17740800</v>
      </c>
      <c r="AX105" s="884"/>
      <c r="AY105" s="884">
        <f>+$AO105*'ref.지급기준 (2)'!M199</f>
        <v>11088000</v>
      </c>
      <c r="AZ105" s="884"/>
      <c r="BA105" s="884">
        <f>+$AO105*'ref.지급기준 (2)'!O199</f>
        <v>2217600</v>
      </c>
      <c r="BB105" s="890"/>
      <c r="BC105" s="2718" t="s">
        <v>1271</v>
      </c>
      <c r="BD105" s="393"/>
      <c r="BE105" s="393" t="b">
        <f>+(BA105+AY105+AW105+AU105+AS105)=R105</f>
        <v>1</v>
      </c>
      <c r="BF105" s="393"/>
      <c r="BG105" s="393"/>
      <c r="BH105" s="393"/>
      <c r="BI105" s="393"/>
      <c r="BJ105" s="393"/>
      <c r="BK105" s="393"/>
      <c r="BL105" s="393"/>
      <c r="BM105" s="393"/>
      <c r="BN105" s="393"/>
      <c r="BO105" s="408"/>
      <c r="BP105" s="408"/>
    </row>
    <row r="106" spans="1:68" ht="16.5" customHeight="1" outlineLevel="1">
      <c r="A106" s="394"/>
      <c r="B106" s="2734"/>
      <c r="C106" s="2736"/>
      <c r="D106" s="2738"/>
      <c r="E106" s="2760"/>
      <c r="F106" s="2763"/>
      <c r="G106" s="2738"/>
      <c r="H106" s="2738"/>
      <c r="I106" s="2732"/>
      <c r="J106" s="2747"/>
      <c r="K106" s="2715"/>
      <c r="L106" s="2652"/>
      <c r="M106" s="2654"/>
      <c r="N106" s="2654"/>
      <c r="O106" s="875" t="s">
        <v>126</v>
      </c>
      <c r="P106" s="896">
        <f>+'ref.지급기준 (2)'!F200*'ref.지급기준 (2)'!D200/'ref.지급기준 (2)'!$Q$2</f>
        <v>11520000</v>
      </c>
      <c r="Q106" s="896">
        <f>+P106*10%</f>
        <v>1152000</v>
      </c>
      <c r="R106" s="897">
        <f t="shared" si="212"/>
        <v>12672000</v>
      </c>
      <c r="S106" s="874" t="b">
        <f t="shared" si="204"/>
        <v>1</v>
      </c>
      <c r="T106" s="908">
        <f>+IFERROR(U106/R106,"-")</f>
        <v>0</v>
      </c>
      <c r="U106" s="909">
        <f>+IFERROR(X106+AA106+AD106+AG106+AJ106+AM106,"-")</f>
        <v>0</v>
      </c>
      <c r="V106" s="908">
        <f t="shared" si="205"/>
        <v>0</v>
      </c>
      <c r="W106" s="919">
        <v>45703</v>
      </c>
      <c r="X106" s="876"/>
      <c r="Y106" s="877"/>
      <c r="Z106" s="877">
        <f t="shared" si="209"/>
        <v>0</v>
      </c>
      <c r="AA106" s="886"/>
      <c r="AB106" s="883">
        <v>45838</v>
      </c>
      <c r="AC106" s="877">
        <f t="shared" si="210"/>
        <v>0</v>
      </c>
      <c r="AD106" s="877"/>
      <c r="AE106" s="883">
        <f>EDATE(AB106,2)</f>
        <v>45899</v>
      </c>
      <c r="AF106" s="877">
        <f t="shared" si="211"/>
        <v>0</v>
      </c>
      <c r="AG106" s="877"/>
      <c r="AH106" s="883">
        <f>+EDATE(AB105,6)</f>
        <v>45928</v>
      </c>
      <c r="AI106" s="877" t="str">
        <f>+IFERROR(AJ106/#REF!,"-")</f>
        <v>-</v>
      </c>
      <c r="AJ106" s="877"/>
      <c r="AK106" s="877"/>
      <c r="AL106" s="877" t="str">
        <f>+IFERROR(AM106/#REF!,"-")</f>
        <v>-</v>
      </c>
      <c r="AM106" s="877"/>
      <c r="AN106" s="877"/>
      <c r="AO106" s="884">
        <f t="shared" si="206"/>
        <v>12672000</v>
      </c>
      <c r="AP106" s="884">
        <f>+AO106*'ref.지급기준 (2)'!G200</f>
        <v>2534400</v>
      </c>
      <c r="AQ106" s="885">
        <f>+W106</f>
        <v>45703</v>
      </c>
      <c r="AR106" s="407"/>
      <c r="AS106" s="945">
        <f>+$AO106*'ref.지급기준 (2)'!G200</f>
        <v>2534400</v>
      </c>
      <c r="AT106" s="884">
        <f t="shared" si="207"/>
        <v>0</v>
      </c>
      <c r="AU106" s="884">
        <f>+$AO106*'ref.지급기준 (2)'!I200</f>
        <v>2534400</v>
      </c>
      <c r="AV106" s="884">
        <f t="shared" si="196"/>
        <v>0</v>
      </c>
      <c r="AW106" s="884">
        <f>+$AO106*'ref.지급기준 (2)'!K200</f>
        <v>6336000</v>
      </c>
      <c r="AX106" s="884"/>
      <c r="AY106" s="884">
        <f>+$AO106*'ref.지급기준 (2)'!M200</f>
        <v>1267200</v>
      </c>
      <c r="AZ106" s="884"/>
      <c r="BA106" s="884">
        <f>+$AO106*'ref.지급기준 (2)'!O200</f>
        <v>0</v>
      </c>
      <c r="BB106" s="890"/>
      <c r="BC106" s="2719"/>
      <c r="BD106" s="393"/>
      <c r="BE106" s="393" t="b">
        <f>+(BA106+AY106+AW106+AU106+AS106)=R106</f>
        <v>1</v>
      </c>
      <c r="BF106" s="393"/>
      <c r="BG106" s="393"/>
      <c r="BH106" s="393"/>
      <c r="BI106" s="393"/>
      <c r="BJ106" s="393"/>
      <c r="BK106" s="393"/>
      <c r="BL106" s="393"/>
      <c r="BM106" s="393"/>
      <c r="BN106" s="393"/>
      <c r="BO106" s="408"/>
      <c r="BP106" s="408"/>
    </row>
    <row r="107" spans="1:68" ht="16.5" customHeight="1" outlineLevel="1">
      <c r="A107" s="394"/>
      <c r="B107" s="2734"/>
      <c r="C107" s="2736"/>
      <c r="D107" s="2738"/>
      <c r="E107" s="2760"/>
      <c r="F107" s="2763"/>
      <c r="G107" s="2738"/>
      <c r="H107" s="2738"/>
      <c r="I107" s="2732"/>
      <c r="J107" s="2747"/>
      <c r="K107" s="2715"/>
      <c r="L107" s="2652"/>
      <c r="M107" s="2654"/>
      <c r="N107" s="2654"/>
      <c r="O107" s="875" t="s">
        <v>127</v>
      </c>
      <c r="P107" s="896">
        <f>+'ref.지급기준 (2)'!F201*'ref.지급기준 (2)'!D201/'ref.지급기준 (2)'!$Q$2</f>
        <v>0</v>
      </c>
      <c r="Q107" s="896" t="s">
        <v>1218</v>
      </c>
      <c r="R107" s="897">
        <f t="shared" si="212"/>
        <v>0</v>
      </c>
      <c r="S107" s="874" t="b">
        <f t="shared" si="204"/>
        <v>1</v>
      </c>
      <c r="T107" s="908" t="str">
        <f>+IFERROR(U107/R107,"-")</f>
        <v>-</v>
      </c>
      <c r="U107" s="909">
        <f>+IFERROR(X107+AA107+AD107+AG107+AJ107+AM107,"-")</f>
        <v>0</v>
      </c>
      <c r="V107" s="908" t="str">
        <f t="shared" si="205"/>
        <v>-</v>
      </c>
      <c r="W107" s="919">
        <f>W106</f>
        <v>45703</v>
      </c>
      <c r="X107" s="876"/>
      <c r="Y107" s="877"/>
      <c r="Z107" s="877" t="str">
        <f t="shared" si="209"/>
        <v>-</v>
      </c>
      <c r="AA107" s="877"/>
      <c r="AB107" s="883"/>
      <c r="AC107" s="877" t="str">
        <f t="shared" si="210"/>
        <v>-</v>
      </c>
      <c r="AD107" s="877"/>
      <c r="AE107" s="883"/>
      <c r="AF107" s="877" t="str">
        <f t="shared" si="211"/>
        <v>-</v>
      </c>
      <c r="AG107" s="877"/>
      <c r="AH107" s="883"/>
      <c r="AI107" s="877" t="str">
        <f>+IFERROR(AJ107/#REF!,"-")</f>
        <v>-</v>
      </c>
      <c r="AJ107" s="877"/>
      <c r="AK107" s="877"/>
      <c r="AL107" s="877" t="str">
        <f>+IFERROR(AM107/#REF!,"-")</f>
        <v>-</v>
      </c>
      <c r="AM107" s="877"/>
      <c r="AN107" s="877"/>
      <c r="AO107" s="884">
        <f t="shared" si="206"/>
        <v>0</v>
      </c>
      <c r="AP107" s="884">
        <f>+AO107*'ref.지급기준 (2)'!G201</f>
        <v>0</v>
      </c>
      <c r="AQ107" s="885"/>
      <c r="AR107" s="407"/>
      <c r="AS107" s="945">
        <f>+$AO107*'ref.지급기준 (2)'!G201</f>
        <v>0</v>
      </c>
      <c r="AT107" s="884">
        <f t="shared" si="207"/>
        <v>0</v>
      </c>
      <c r="AU107" s="884">
        <f>+$AO107*'ref.지급기준 (2)'!I201</f>
        <v>0</v>
      </c>
      <c r="AV107" s="884">
        <f t="shared" si="196"/>
        <v>0</v>
      </c>
      <c r="AW107" s="884">
        <f>+$AO107*'ref.지급기준 (2)'!K201</f>
        <v>0</v>
      </c>
      <c r="AX107" s="884"/>
      <c r="AY107" s="884">
        <f>+$AO107*'ref.지급기준 (2)'!M201</f>
        <v>0</v>
      </c>
      <c r="AZ107" s="884"/>
      <c r="BA107" s="884">
        <f>+$AO107*'ref.지급기준 (2)'!O201</f>
        <v>0</v>
      </c>
      <c r="BB107" s="890"/>
      <c r="BC107" s="2719"/>
      <c r="BD107" s="393"/>
      <c r="BE107" s="393" t="b">
        <f>+(BA107+AY107+AW107+AU107+AS107)=R107</f>
        <v>1</v>
      </c>
      <c r="BF107" s="393"/>
      <c r="BG107" s="393"/>
      <c r="BH107" s="393"/>
      <c r="BI107" s="393"/>
      <c r="BJ107" s="393"/>
      <c r="BK107" s="393"/>
      <c r="BL107" s="393"/>
      <c r="BM107" s="393"/>
      <c r="BN107" s="393"/>
      <c r="BO107" s="408"/>
      <c r="BP107" s="408"/>
    </row>
    <row r="108" spans="1:68" ht="16.5" customHeight="1" outlineLevel="1">
      <c r="A108" s="394"/>
      <c r="B108" s="2734"/>
      <c r="C108" s="2736"/>
      <c r="D108" s="2738"/>
      <c r="E108" s="2760"/>
      <c r="F108" s="2763"/>
      <c r="G108" s="2738"/>
      <c r="H108" s="2738"/>
      <c r="I108" s="2732"/>
      <c r="J108" s="2747"/>
      <c r="K108" s="2715"/>
      <c r="L108" s="2652"/>
      <c r="M108" s="2654"/>
      <c r="N108" s="2654"/>
      <c r="O108" s="875" t="s">
        <v>128</v>
      </c>
      <c r="P108" s="896">
        <f>+'ref.지급기준 (2)'!F202*'ref.지급기준 (2)'!D202/'ref.지급기준 (2)'!$Q$2</f>
        <v>7680000</v>
      </c>
      <c r="Q108" s="896">
        <f t="shared" ref="Q108" si="216">+P108*10%</f>
        <v>768000</v>
      </c>
      <c r="R108" s="897">
        <f t="shared" si="212"/>
        <v>8448000</v>
      </c>
      <c r="S108" s="409" t="b">
        <f t="shared" si="204"/>
        <v>1</v>
      </c>
      <c r="T108" s="908">
        <f>+IFERROR(U108/R108,"-")</f>
        <v>0</v>
      </c>
      <c r="U108" s="909">
        <f>+IFERROR(X108+AA108+AD108+AG108+AJ108+AM108,"-")</f>
        <v>0</v>
      </c>
      <c r="V108" s="908">
        <f t="shared" si="205"/>
        <v>0</v>
      </c>
      <c r="W108" s="919">
        <f>W106</f>
        <v>45703</v>
      </c>
      <c r="X108" s="876"/>
      <c r="Y108" s="877"/>
      <c r="Z108" s="877">
        <v>0</v>
      </c>
      <c r="AA108" s="877"/>
      <c r="AB108" s="883">
        <f>AB106</f>
        <v>45838</v>
      </c>
      <c r="AC108" s="877">
        <v>0</v>
      </c>
      <c r="AD108" s="877"/>
      <c r="AE108" s="883">
        <f>AE106</f>
        <v>45899</v>
      </c>
      <c r="AF108" s="877">
        <v>0</v>
      </c>
      <c r="AG108" s="877"/>
      <c r="AH108" s="883">
        <f>AH106</f>
        <v>45928</v>
      </c>
      <c r="AI108" s="877" t="str">
        <f>+IFERROR(AJ108/#REF!,"-")</f>
        <v>-</v>
      </c>
      <c r="AJ108" s="877"/>
      <c r="AK108" s="877"/>
      <c r="AL108" s="877" t="str">
        <f>+IFERROR(AM108/#REF!,"-")</f>
        <v>-</v>
      </c>
      <c r="AM108" s="877"/>
      <c r="AN108" s="877"/>
      <c r="AO108" s="884">
        <f t="shared" si="206"/>
        <v>8448000</v>
      </c>
      <c r="AP108" s="884">
        <f>+AO108*'ref.지급기준 (2)'!G202</f>
        <v>1689600</v>
      </c>
      <c r="AQ108" s="885">
        <f>+W108</f>
        <v>45703</v>
      </c>
      <c r="AR108" s="407"/>
      <c r="AS108" s="945">
        <f>+$AO108*'ref.지급기준 (2)'!G202</f>
        <v>1689600</v>
      </c>
      <c r="AT108" s="884">
        <f t="shared" si="207"/>
        <v>0</v>
      </c>
      <c r="AU108" s="884">
        <f>+$AO108*'ref.지급기준 (2)'!I202</f>
        <v>1689600</v>
      </c>
      <c r="AV108" s="884">
        <f t="shared" si="196"/>
        <v>0</v>
      </c>
      <c r="AW108" s="884">
        <f>+$AO108*'ref.지급기준 (2)'!K202</f>
        <v>4224000</v>
      </c>
      <c r="AX108" s="884"/>
      <c r="AY108" s="884">
        <f>+$AO108*'ref.지급기준 (2)'!M202</f>
        <v>844800</v>
      </c>
      <c r="AZ108" s="884"/>
      <c r="BA108" s="884">
        <f>+$AO108*'ref.지급기준 (2)'!O202</f>
        <v>0</v>
      </c>
      <c r="BB108" s="890"/>
      <c r="BC108" s="2719"/>
      <c r="BD108" s="393"/>
      <c r="BE108" s="393" t="b">
        <f>+(BA108+AY108+AW108+AU108+AS108)=R108</f>
        <v>1</v>
      </c>
      <c r="BF108" s="393"/>
      <c r="BG108" s="393"/>
      <c r="BH108" s="393"/>
      <c r="BI108" s="393"/>
      <c r="BJ108" s="393"/>
      <c r="BK108" s="393"/>
      <c r="BL108" s="393"/>
      <c r="BM108" s="393"/>
      <c r="BN108" s="393"/>
      <c r="BO108" s="408"/>
      <c r="BP108" s="408"/>
    </row>
    <row r="109" spans="1:68" ht="16.5" customHeight="1" outlineLevel="1" thickBot="1">
      <c r="A109" s="394"/>
      <c r="B109" s="2734"/>
      <c r="C109" s="2736"/>
      <c r="D109" s="2738"/>
      <c r="E109" s="2761"/>
      <c r="F109" s="2692"/>
      <c r="G109" s="2764"/>
      <c r="H109" s="2764"/>
      <c r="I109" s="2630"/>
      <c r="J109" s="2737"/>
      <c r="K109" s="2716"/>
      <c r="L109" s="2653"/>
      <c r="M109" s="2655"/>
      <c r="N109" s="2655"/>
      <c r="O109" s="999" t="s">
        <v>129</v>
      </c>
      <c r="P109" s="900">
        <f>+'DG-PV Organic'!AI62</f>
        <v>33527999.999999996</v>
      </c>
      <c r="Q109" s="901">
        <f>+P109*0.1</f>
        <v>3352800</v>
      </c>
      <c r="R109" s="901">
        <f>SUM(P109:Q109)</f>
        <v>36880800</v>
      </c>
      <c r="S109" s="409" t="b">
        <f t="shared" si="204"/>
        <v>1</v>
      </c>
      <c r="T109" s="936"/>
      <c r="U109" s="995"/>
      <c r="V109" s="936">
        <f t="shared" si="205"/>
        <v>0</v>
      </c>
      <c r="W109" s="937"/>
      <c r="X109" s="937"/>
      <c r="Y109" s="937"/>
      <c r="Z109" s="937">
        <f t="shared" ref="Z109:Z110" si="217">+IFERROR(AA109/$R109,"-")</f>
        <v>0</v>
      </c>
      <c r="AA109" s="937"/>
      <c r="AB109" s="938"/>
      <c r="AC109" s="937">
        <f t="shared" ref="AC109:AC110" si="218">+IFERROR(AD109/$R109,"-")</f>
        <v>0</v>
      </c>
      <c r="AD109" s="937"/>
      <c r="AE109" s="938"/>
      <c r="AF109" s="937">
        <f t="shared" ref="AF109:AF110" si="219">+IFERROR(AG109/$R109,"-")</f>
        <v>0</v>
      </c>
      <c r="AG109" s="937"/>
      <c r="AH109" s="938"/>
      <c r="AI109" s="937" t="str">
        <f>+IFERROR(AJ109/#REF!,"-")</f>
        <v>-</v>
      </c>
      <c r="AJ109" s="937"/>
      <c r="AK109" s="937"/>
      <c r="AL109" s="937"/>
      <c r="AM109" s="937"/>
      <c r="AN109" s="937"/>
      <c r="AO109" s="939">
        <f t="shared" si="206"/>
        <v>36880800</v>
      </c>
      <c r="AP109" s="939">
        <f>+AS109+AU109</f>
        <v>36880800</v>
      </c>
      <c r="AQ109" s="940"/>
      <c r="AR109" s="407"/>
      <c r="AS109" s="947">
        <f>+$AO109*'ref.지급기준 (2)'!G158</f>
        <v>36880800</v>
      </c>
      <c r="AT109" s="928">
        <f t="shared" si="207"/>
        <v>0</v>
      </c>
      <c r="AU109" s="928">
        <f>+$AO109*'ref.지급기준 (2)'!I158</f>
        <v>0</v>
      </c>
      <c r="AV109" s="928">
        <f t="shared" si="196"/>
        <v>0</v>
      </c>
      <c r="AW109" s="928">
        <f>+$AO109*'ref.지급기준 (2)'!K158</f>
        <v>0</v>
      </c>
      <c r="AX109" s="928"/>
      <c r="AY109" s="928">
        <f>+$AO109*'ref.지급기준 (2)'!M158</f>
        <v>0</v>
      </c>
      <c r="AZ109" s="928"/>
      <c r="BA109" s="928">
        <f>+$AO109*'ref.지급기준 (2)'!O158</f>
        <v>0</v>
      </c>
      <c r="BB109" s="997"/>
      <c r="BC109" s="2720"/>
      <c r="BD109" s="393"/>
      <c r="BE109" s="393"/>
      <c r="BF109" s="393"/>
      <c r="BG109" s="393"/>
      <c r="BH109" s="393"/>
      <c r="BI109" s="393"/>
      <c r="BJ109" s="393"/>
      <c r="BK109" s="393"/>
      <c r="BL109" s="393"/>
      <c r="BM109" s="393"/>
      <c r="BN109" s="393"/>
      <c r="BO109" s="408"/>
      <c r="BP109" s="408"/>
    </row>
    <row r="110" spans="1:68" ht="16.5" customHeight="1">
      <c r="A110" s="394"/>
      <c r="B110" s="2517">
        <v>4</v>
      </c>
      <c r="C110" s="2744" t="s">
        <v>1286</v>
      </c>
      <c r="D110" s="2747" t="s">
        <v>1287</v>
      </c>
      <c r="E110" s="2768" t="s">
        <v>1288</v>
      </c>
      <c r="F110" s="2693" t="s">
        <v>1289</v>
      </c>
      <c r="G110" s="2747">
        <f>SUBTOTAL(103,I110:I123)</f>
        <v>3</v>
      </c>
      <c r="H110" s="2747" t="s">
        <v>1249</v>
      </c>
      <c r="I110" s="2732" t="s">
        <v>1290</v>
      </c>
      <c r="J110" s="2747" t="s">
        <v>1291</v>
      </c>
      <c r="K110" s="2649">
        <f>+'DG-PV Organic'!O17</f>
        <v>150</v>
      </c>
      <c r="L110" s="2652">
        <f>+'DG-PV Organic'!H17</f>
        <v>8.9200000000000002E-2</v>
      </c>
      <c r="M110" s="2652">
        <f>+'DG-PV Organic'!J17</f>
        <v>9.2999999999999999E-2</v>
      </c>
      <c r="N110" s="2654" t="s">
        <v>1213</v>
      </c>
      <c r="O110" s="891" t="s">
        <v>125</v>
      </c>
      <c r="P110" s="902">
        <f>+'DG-PV Organic'!AL17</f>
        <v>157500000</v>
      </c>
      <c r="Q110" s="902">
        <f>+P110*10%</f>
        <v>15750000</v>
      </c>
      <c r="R110" s="903">
        <f t="shared" si="140"/>
        <v>173250000</v>
      </c>
      <c r="S110" s="874" t="b">
        <f t="shared" si="204"/>
        <v>1</v>
      </c>
      <c r="T110" s="983">
        <f>+IFERROR(U110/R110,"-")</f>
        <v>0</v>
      </c>
      <c r="U110" s="984">
        <f>+IFERROR(X110+AA110+AD110+AG110+AJ110+AM110,"-")</f>
        <v>0</v>
      </c>
      <c r="V110" s="912">
        <f t="shared" si="205"/>
        <v>0</v>
      </c>
      <c r="W110" s="883">
        <f>AE113</f>
        <v>45838</v>
      </c>
      <c r="X110" s="991"/>
      <c r="Y110" s="912"/>
      <c r="Z110" s="877">
        <f t="shared" si="217"/>
        <v>0</v>
      </c>
      <c r="AA110" s="877"/>
      <c r="AB110" s="883">
        <f>+EDATE(W110,1)</f>
        <v>45868</v>
      </c>
      <c r="AC110" s="877">
        <f t="shared" si="218"/>
        <v>0</v>
      </c>
      <c r="AD110" s="877"/>
      <c r="AE110" s="883">
        <f t="shared" ref="AE110" si="220">+EDATE(AB110,3)</f>
        <v>45960</v>
      </c>
      <c r="AF110" s="877">
        <f t="shared" si="219"/>
        <v>0</v>
      </c>
      <c r="AG110" s="877"/>
      <c r="AH110" s="883">
        <f t="shared" ref="AH110" si="221">+EDATE(AB110,4)</f>
        <v>45991</v>
      </c>
      <c r="AI110" s="877" t="str">
        <f>+IFERROR(AJ110/#REF!,"-")</f>
        <v>-</v>
      </c>
      <c r="AJ110" s="877"/>
      <c r="AK110" s="883">
        <f>+EDATE(AB110,6)+1</f>
        <v>46053</v>
      </c>
      <c r="AL110" s="912" t="str">
        <f>+IFERROR(AM110/#REF!,"-")</f>
        <v>-</v>
      </c>
      <c r="AM110" s="912"/>
      <c r="AN110" s="912"/>
      <c r="AO110" s="920">
        <f t="shared" si="206"/>
        <v>173250000</v>
      </c>
      <c r="AP110" s="920">
        <f>+AO110*'ref.지급기준 (2)'!G164</f>
        <v>17325000</v>
      </c>
      <c r="AQ110" s="921">
        <f>+W110</f>
        <v>45838</v>
      </c>
      <c r="AR110" s="407"/>
      <c r="AS110" s="945">
        <f>+$AO110*'ref.지급기준 (2)'!G164</f>
        <v>17325000</v>
      </c>
      <c r="AT110" s="884">
        <f t="shared" si="207"/>
        <v>0</v>
      </c>
      <c r="AU110" s="884">
        <f>+$AO110*'ref.지급기준 (2)'!I164</f>
        <v>34650000</v>
      </c>
      <c r="AV110" s="884">
        <f t="shared" si="143"/>
        <v>0</v>
      </c>
      <c r="AW110" s="884">
        <f>+$AO110*'ref.지급기준 (2)'!K164</f>
        <v>69300000</v>
      </c>
      <c r="AX110" s="884"/>
      <c r="AY110" s="884">
        <f>+$AO110*'ref.지급기준 (2)'!M164</f>
        <v>43312500</v>
      </c>
      <c r="AZ110" s="884"/>
      <c r="BA110" s="884">
        <f>+$AO110*'ref.지급기준 (2)'!O164</f>
        <v>8662500</v>
      </c>
      <c r="BB110" s="890"/>
      <c r="BC110" s="2718" t="s">
        <v>1292</v>
      </c>
      <c r="BD110" s="393"/>
      <c r="BE110" s="393" t="b">
        <f>+(BA110+AY110+AW110+AU110+AS110)=R110</f>
        <v>1</v>
      </c>
      <c r="BF110" s="393"/>
      <c r="BG110" s="393"/>
      <c r="BH110" s="393"/>
      <c r="BI110" s="393"/>
      <c r="BJ110" s="393"/>
      <c r="BK110" s="393"/>
      <c r="BL110" s="393"/>
      <c r="BM110" s="393"/>
      <c r="BN110" s="393"/>
      <c r="BO110" s="408"/>
      <c r="BP110" s="408"/>
    </row>
    <row r="111" spans="1:68" ht="16.5" customHeight="1">
      <c r="A111" s="394"/>
      <c r="B111" s="2517"/>
      <c r="C111" s="2744"/>
      <c r="D111" s="2747"/>
      <c r="E111" s="2768"/>
      <c r="F111" s="2693"/>
      <c r="G111" s="2747"/>
      <c r="H111" s="2747"/>
      <c r="I111" s="2732"/>
      <c r="J111" s="2747"/>
      <c r="K111" s="2649"/>
      <c r="L111" s="2652"/>
      <c r="M111" s="2652"/>
      <c r="N111" s="2654"/>
      <c r="O111" s="875" t="s">
        <v>126</v>
      </c>
      <c r="P111" s="896">
        <f>+'DG-PV Organic'!AK17</f>
        <v>45000000</v>
      </c>
      <c r="Q111" s="896">
        <f>+P111*10%</f>
        <v>4500000</v>
      </c>
      <c r="R111" s="897">
        <f t="shared" si="140"/>
        <v>49500000</v>
      </c>
      <c r="S111" s="874" t="b">
        <f t="shared" si="204"/>
        <v>1</v>
      </c>
      <c r="T111" s="908">
        <f>+IFERROR(U111/R111,"-")</f>
        <v>0.2</v>
      </c>
      <c r="U111" s="909">
        <f>+IFERROR(X111+AA111+AD111+AG111+AJ111+AM111,"-")</f>
        <v>9900000</v>
      </c>
      <c r="V111" s="879">
        <f t="shared" si="205"/>
        <v>0.2</v>
      </c>
      <c r="W111" s="889">
        <v>45631</v>
      </c>
      <c r="X111" s="880">
        <v>9900000</v>
      </c>
      <c r="Y111" s="879"/>
      <c r="Z111" s="877">
        <f t="shared" si="144"/>
        <v>0</v>
      </c>
      <c r="AA111" s="886"/>
      <c r="AB111" s="883">
        <v>45777</v>
      </c>
      <c r="AC111" s="877">
        <f t="shared" si="145"/>
        <v>0</v>
      </c>
      <c r="AD111" s="877"/>
      <c r="AE111" s="883">
        <f>EDATE(AB111,2)</f>
        <v>45838</v>
      </c>
      <c r="AF111" s="877">
        <f t="shared" si="146"/>
        <v>0</v>
      </c>
      <c r="AG111" s="877"/>
      <c r="AH111" s="883">
        <f>+EDATE(AB110,5)+1</f>
        <v>46022</v>
      </c>
      <c r="AI111" s="877" t="str">
        <f>+IFERROR(AJ111/#REF!,"-")</f>
        <v>-</v>
      </c>
      <c r="AJ111" s="877"/>
      <c r="AK111" s="877"/>
      <c r="AL111" s="877" t="str">
        <f>+IFERROR(AM111/#REF!,"-")</f>
        <v>-</v>
      </c>
      <c r="AM111" s="877"/>
      <c r="AN111" s="877"/>
      <c r="AO111" s="884">
        <f t="shared" si="206"/>
        <v>49500000</v>
      </c>
      <c r="AP111" s="884">
        <f>+AO111*'ref.지급기준 (2)'!G165</f>
        <v>9900000</v>
      </c>
      <c r="AQ111" s="885">
        <f>+AB111</f>
        <v>45777</v>
      </c>
      <c r="AR111" s="407"/>
      <c r="AS111" s="945">
        <f>+$AO111*'ref.지급기준 (2)'!G165</f>
        <v>9900000</v>
      </c>
      <c r="AT111" s="884">
        <f t="shared" si="207"/>
        <v>9900000</v>
      </c>
      <c r="AU111" s="884">
        <f>+$AO111*'ref.지급기준 (2)'!I165</f>
        <v>9900000</v>
      </c>
      <c r="AV111" s="884">
        <f t="shared" si="143"/>
        <v>0</v>
      </c>
      <c r="AW111" s="884">
        <f>+$AO111*'ref.지급기준 (2)'!K165</f>
        <v>24750000</v>
      </c>
      <c r="AX111" s="884"/>
      <c r="AY111" s="884">
        <f>+$AO111*'ref.지급기준 (2)'!M165</f>
        <v>4950000</v>
      </c>
      <c r="AZ111" s="884"/>
      <c r="BA111" s="884">
        <f>+$AO111*'ref.지급기준 (2)'!O165</f>
        <v>0</v>
      </c>
      <c r="BB111" s="890"/>
      <c r="BC111" s="2719"/>
      <c r="BD111" s="393"/>
      <c r="BE111" s="393" t="b">
        <f>+(BA111+AY111+AW111+AU111+AS111)=R111</f>
        <v>1</v>
      </c>
      <c r="BF111" s="393"/>
      <c r="BG111" s="393"/>
      <c r="BH111" s="393"/>
      <c r="BI111" s="393"/>
      <c r="BJ111" s="393"/>
      <c r="BK111" s="393"/>
      <c r="BL111" s="393"/>
      <c r="BM111" s="393"/>
      <c r="BN111" s="393"/>
      <c r="BO111" s="408"/>
      <c r="BP111" s="408"/>
    </row>
    <row r="112" spans="1:68" ht="16.5" customHeight="1">
      <c r="A112" s="394"/>
      <c r="B112" s="2517"/>
      <c r="C112" s="2744"/>
      <c r="D112" s="2747"/>
      <c r="E112" s="2768"/>
      <c r="F112" s="2693"/>
      <c r="G112" s="2747"/>
      <c r="H112" s="2747"/>
      <c r="I112" s="2732"/>
      <c r="J112" s="2747"/>
      <c r="K112" s="2649"/>
      <c r="L112" s="2652"/>
      <c r="M112" s="2652"/>
      <c r="N112" s="2654"/>
      <c r="O112" s="875" t="s">
        <v>127</v>
      </c>
      <c r="P112" s="896">
        <f>+'ref.지급기준 (2)'!F166*'ref.지급기준 (2)'!D166/'ref.지급기준 (2)'!$Q$2</f>
        <v>0</v>
      </c>
      <c r="Q112" s="896"/>
      <c r="R112" s="897">
        <f t="shared" si="140"/>
        <v>0</v>
      </c>
      <c r="S112" s="874" t="b">
        <f t="shared" si="204"/>
        <v>1</v>
      </c>
      <c r="T112" s="908" t="str">
        <f>+IFERROR(U112/R112,"-")</f>
        <v>-</v>
      </c>
      <c r="U112" s="909">
        <f>+IFERROR(X112+AA112+AD112+AG112+AJ112+AM112,"-")</f>
        <v>0</v>
      </c>
      <c r="V112" s="877" t="str">
        <f t="shared" si="205"/>
        <v>-</v>
      </c>
      <c r="W112" s="887"/>
      <c r="X112" s="876"/>
      <c r="Y112" s="877"/>
      <c r="Z112" s="877" t="str">
        <f t="shared" si="144"/>
        <v>-</v>
      </c>
      <c r="AA112" s="877"/>
      <c r="AB112" s="883"/>
      <c r="AC112" s="877" t="str">
        <f t="shared" si="145"/>
        <v>-</v>
      </c>
      <c r="AD112" s="877"/>
      <c r="AE112" s="883"/>
      <c r="AF112" s="877" t="str">
        <f t="shared" si="146"/>
        <v>-</v>
      </c>
      <c r="AG112" s="877"/>
      <c r="AH112" s="883"/>
      <c r="AI112" s="877" t="str">
        <f>+IFERROR(AJ112/#REF!,"-")</f>
        <v>-</v>
      </c>
      <c r="AJ112" s="877"/>
      <c r="AK112" s="877"/>
      <c r="AL112" s="877" t="str">
        <f>+IFERROR(AM112/#REF!,"-")</f>
        <v>-</v>
      </c>
      <c r="AM112" s="877"/>
      <c r="AN112" s="877"/>
      <c r="AO112" s="884">
        <f t="shared" si="206"/>
        <v>0</v>
      </c>
      <c r="AP112" s="884">
        <f>+AO112*'ref.지급기준 (2)'!G166</f>
        <v>0</v>
      </c>
      <c r="AQ112" s="885"/>
      <c r="AR112" s="407"/>
      <c r="AS112" s="945">
        <f>+$AO112*'ref.지급기준 (2)'!G166</f>
        <v>0</v>
      </c>
      <c r="AT112" s="884">
        <f t="shared" si="207"/>
        <v>0</v>
      </c>
      <c r="AU112" s="884">
        <f>+$AO112*'ref.지급기준 (2)'!I166</f>
        <v>0</v>
      </c>
      <c r="AV112" s="884">
        <f t="shared" si="143"/>
        <v>0</v>
      </c>
      <c r="AW112" s="884">
        <f>+$AO112*'ref.지급기준 (2)'!K166</f>
        <v>0</v>
      </c>
      <c r="AX112" s="884"/>
      <c r="AY112" s="884">
        <f>+$AO112*'ref.지급기준 (2)'!M166</f>
        <v>0</v>
      </c>
      <c r="AZ112" s="884"/>
      <c r="BA112" s="884">
        <f>+$AO112*'ref.지급기준 (2)'!O166</f>
        <v>0</v>
      </c>
      <c r="BB112" s="890"/>
      <c r="BC112" s="2719"/>
      <c r="BD112" s="393"/>
      <c r="BE112" s="393" t="b">
        <f>+(BA112+AY112+AW112+AU112+AS112)=R112</f>
        <v>1</v>
      </c>
      <c r="BF112" s="393"/>
      <c r="BG112" s="393"/>
      <c r="BH112" s="393"/>
      <c r="BI112" s="393"/>
      <c r="BJ112" s="393"/>
      <c r="BK112" s="393"/>
      <c r="BL112" s="393"/>
      <c r="BM112" s="393"/>
      <c r="BN112" s="393"/>
      <c r="BO112" s="408"/>
      <c r="BP112" s="408"/>
    </row>
    <row r="113" spans="1:68" ht="16.5" customHeight="1">
      <c r="A113" s="394"/>
      <c r="B113" s="2517"/>
      <c r="C113" s="2744"/>
      <c r="D113" s="2747"/>
      <c r="E113" s="2768"/>
      <c r="F113" s="2693"/>
      <c r="G113" s="2747"/>
      <c r="H113" s="2747"/>
      <c r="I113" s="2732"/>
      <c r="J113" s="2747"/>
      <c r="K113" s="2649"/>
      <c r="L113" s="2652"/>
      <c r="M113" s="2652"/>
      <c r="N113" s="2654"/>
      <c r="O113" s="875" t="s">
        <v>128</v>
      </c>
      <c r="P113" s="896">
        <f>+'DG-PV Organic'!AJ17</f>
        <v>30000000</v>
      </c>
      <c r="Q113" s="896">
        <f t="shared" ref="Q113" si="222">+P113*10%</f>
        <v>3000000</v>
      </c>
      <c r="R113" s="897">
        <f t="shared" si="140"/>
        <v>33000000</v>
      </c>
      <c r="S113" s="874" t="b">
        <f t="shared" si="204"/>
        <v>1</v>
      </c>
      <c r="T113" s="908">
        <f>+IFERROR(U113/R113,"-")</f>
        <v>0.2</v>
      </c>
      <c r="U113" s="909">
        <f>+IFERROR(X113+AA113+AD113+AG113+AJ113+AM113,"-")</f>
        <v>6600000</v>
      </c>
      <c r="V113" s="879">
        <f t="shared" si="205"/>
        <v>0.2</v>
      </c>
      <c r="W113" s="881">
        <v>45631</v>
      </c>
      <c r="X113" s="880">
        <v>6600000</v>
      </c>
      <c r="Y113" s="879"/>
      <c r="Z113" s="877">
        <v>0</v>
      </c>
      <c r="AA113" s="877"/>
      <c r="AB113" s="883">
        <f>AB111</f>
        <v>45777</v>
      </c>
      <c r="AC113" s="877">
        <f t="shared" si="145"/>
        <v>0</v>
      </c>
      <c r="AD113" s="877"/>
      <c r="AE113" s="883">
        <f>AE111</f>
        <v>45838</v>
      </c>
      <c r="AF113" s="877">
        <f t="shared" si="146"/>
        <v>0</v>
      </c>
      <c r="AG113" s="877"/>
      <c r="AH113" s="883">
        <f>AH111</f>
        <v>46022</v>
      </c>
      <c r="AI113" s="877" t="str">
        <f>+IFERROR(AJ113/#REF!,"-")</f>
        <v>-</v>
      </c>
      <c r="AJ113" s="877"/>
      <c r="AK113" s="877"/>
      <c r="AL113" s="877" t="str">
        <f>+IFERROR(AM113/#REF!,"-")</f>
        <v>-</v>
      </c>
      <c r="AM113" s="877"/>
      <c r="AN113" s="877"/>
      <c r="AO113" s="884">
        <f t="shared" si="206"/>
        <v>33000000</v>
      </c>
      <c r="AP113" s="884">
        <f>+AO113*'ref.지급기준 (2)'!G167</f>
        <v>6600000</v>
      </c>
      <c r="AQ113" s="885">
        <f>+AB113</f>
        <v>45777</v>
      </c>
      <c r="AR113" s="407"/>
      <c r="AS113" s="945">
        <f>+$AO113*'ref.지급기준 (2)'!G167</f>
        <v>6600000</v>
      </c>
      <c r="AT113" s="884">
        <f t="shared" si="207"/>
        <v>6600000</v>
      </c>
      <c r="AU113" s="884">
        <f>+$AO113*'ref.지급기준 (2)'!I167</f>
        <v>6600000</v>
      </c>
      <c r="AV113" s="884">
        <f t="shared" si="143"/>
        <v>0</v>
      </c>
      <c r="AW113" s="884">
        <f>+$AO113*'ref.지급기준 (2)'!K167</f>
        <v>16500000</v>
      </c>
      <c r="AX113" s="884"/>
      <c r="AY113" s="884">
        <f>+$AO113*'ref.지급기준 (2)'!M167</f>
        <v>3300000</v>
      </c>
      <c r="AZ113" s="884"/>
      <c r="BA113" s="884">
        <f>+$AO113*'ref.지급기준 (2)'!O167</f>
        <v>0</v>
      </c>
      <c r="BB113" s="890"/>
      <c r="BC113" s="2719"/>
      <c r="BD113" s="393"/>
      <c r="BE113" s="393" t="b">
        <f>+(BA113+AY113+AW113+AU113+AS113)=R113</f>
        <v>1</v>
      </c>
      <c r="BF113" s="393"/>
      <c r="BG113" s="393"/>
      <c r="BH113" s="393"/>
      <c r="BI113" s="393"/>
      <c r="BJ113" s="393"/>
      <c r="BK113" s="393"/>
      <c r="BL113" s="393"/>
      <c r="BM113" s="393"/>
      <c r="BN113" s="393"/>
      <c r="BO113" s="408"/>
      <c r="BP113" s="408"/>
    </row>
    <row r="114" spans="1:68" ht="16.5" customHeight="1">
      <c r="A114" s="394"/>
      <c r="B114" s="2517"/>
      <c r="C114" s="2744"/>
      <c r="D114" s="2747"/>
      <c r="E114" s="2768"/>
      <c r="F114" s="2693"/>
      <c r="G114" s="2747"/>
      <c r="H114" s="2747"/>
      <c r="I114" s="2732"/>
      <c r="J114" s="2747"/>
      <c r="K114" s="2649"/>
      <c r="L114" s="2652"/>
      <c r="M114" s="2652"/>
      <c r="N114" s="2654"/>
      <c r="O114" s="892" t="s">
        <v>129</v>
      </c>
      <c r="P114" s="898">
        <f>+'DG-PV Organic'!AI17</f>
        <v>30000000</v>
      </c>
      <c r="Q114" s="899">
        <f>+P114*0.1</f>
        <v>3000000</v>
      </c>
      <c r="R114" s="899">
        <f>SUM(P114:Q114)</f>
        <v>33000000</v>
      </c>
      <c r="S114" s="874" t="b">
        <f t="shared" si="204"/>
        <v>1</v>
      </c>
      <c r="T114" s="910"/>
      <c r="U114" s="911"/>
      <c r="V114" s="910">
        <f t="shared" si="205"/>
        <v>0</v>
      </c>
      <c r="W114" s="926"/>
      <c r="X114" s="926"/>
      <c r="Y114" s="926"/>
      <c r="Z114" s="926">
        <f t="shared" ref="Z114" si="223">+IFERROR(AA114/$R114,"-")</f>
        <v>0</v>
      </c>
      <c r="AA114" s="926"/>
      <c r="AB114" s="927"/>
      <c r="AC114" s="926">
        <f t="shared" si="145"/>
        <v>0</v>
      </c>
      <c r="AD114" s="926"/>
      <c r="AE114" s="927"/>
      <c r="AF114" s="926">
        <f t="shared" si="146"/>
        <v>0</v>
      </c>
      <c r="AG114" s="926"/>
      <c r="AH114" s="927"/>
      <c r="AI114" s="926" t="str">
        <f>+IFERROR(AJ114/#REF!,"-")</f>
        <v>-</v>
      </c>
      <c r="AJ114" s="926"/>
      <c r="AK114" s="926"/>
      <c r="AL114" s="926"/>
      <c r="AM114" s="926"/>
      <c r="AN114" s="926"/>
      <c r="AO114" s="928">
        <f t="shared" si="206"/>
        <v>33000000</v>
      </c>
      <c r="AP114" s="928">
        <f>+AS114+AU114</f>
        <v>33000000</v>
      </c>
      <c r="AQ114" s="931"/>
      <c r="AR114" s="407"/>
      <c r="AS114" s="947">
        <f>+$AO114*'ref.지급기준 (2)'!G163</f>
        <v>33000000</v>
      </c>
      <c r="AT114" s="928">
        <f t="shared" si="207"/>
        <v>0</v>
      </c>
      <c r="AU114" s="928">
        <f>+$AO114*'ref.지급기준 (2)'!I163</f>
        <v>0</v>
      </c>
      <c r="AV114" s="928">
        <f t="shared" si="143"/>
        <v>0</v>
      </c>
      <c r="AW114" s="928">
        <f>+$AO114*'ref.지급기준 (2)'!K163</f>
        <v>0</v>
      </c>
      <c r="AX114" s="928"/>
      <c r="AY114" s="928">
        <f>+$AO114*'ref.지급기준 (2)'!M163</f>
        <v>0</v>
      </c>
      <c r="AZ114" s="928"/>
      <c r="BA114" s="928">
        <f>+$AO114*'ref.지급기준 (2)'!O163</f>
        <v>0</v>
      </c>
      <c r="BB114" s="997"/>
      <c r="BC114" s="2720"/>
      <c r="BD114" s="393"/>
      <c r="BE114" s="393"/>
      <c r="BF114" s="393"/>
      <c r="BG114" s="393"/>
      <c r="BH114" s="393"/>
      <c r="BI114" s="393"/>
      <c r="BJ114" s="393"/>
      <c r="BK114" s="393"/>
      <c r="BL114" s="393"/>
      <c r="BM114" s="393"/>
      <c r="BN114" s="393"/>
      <c r="BO114" s="408"/>
      <c r="BP114" s="408"/>
    </row>
    <row r="115" spans="1:68" ht="16.5" customHeight="1">
      <c r="A115" s="394"/>
      <c r="B115" s="2517"/>
      <c r="C115" s="2744"/>
      <c r="D115" s="2747"/>
      <c r="E115" s="2768"/>
      <c r="F115" s="2693"/>
      <c r="G115" s="2747"/>
      <c r="H115" s="2747"/>
      <c r="I115" s="2732" t="s">
        <v>1293</v>
      </c>
      <c r="J115" s="2747" t="s">
        <v>1294</v>
      </c>
      <c r="K115" s="2765">
        <f>+'ref.지급기준 (2)'!D169</f>
        <v>144.15</v>
      </c>
      <c r="L115" s="2671">
        <f>+'DG-PV Organic'!H7</f>
        <v>9.1399999999999995E-2</v>
      </c>
      <c r="M115" s="2674">
        <f>+'DG-PV Organic'!J7</f>
        <v>9.2999999999999999E-2</v>
      </c>
      <c r="N115" s="2674" t="s">
        <v>1213</v>
      </c>
      <c r="O115" s="893" t="s">
        <v>125</v>
      </c>
      <c r="P115" s="904">
        <f>+'ref.지급기준 (2)'!F169*'ref.지급기준 (2)'!D169/'ref.지급기준 (2)'!$Q$2</f>
        <v>151357500</v>
      </c>
      <c r="Q115" s="904">
        <f>+P115*10%</f>
        <v>15135750</v>
      </c>
      <c r="R115" s="1012">
        <f t="shared" si="140"/>
        <v>166493250</v>
      </c>
      <c r="S115" s="874" t="b">
        <f t="shared" si="204"/>
        <v>1</v>
      </c>
      <c r="T115" s="906">
        <f>+IFERROR(U115/R115,"-")</f>
        <v>0</v>
      </c>
      <c r="U115" s="907">
        <f>+IFERROR(X115+AA115+AD115+AG115+AJ115+AM115,"-")</f>
        <v>0</v>
      </c>
      <c r="V115" s="877">
        <f t="shared" si="205"/>
        <v>0</v>
      </c>
      <c r="W115" s="883">
        <f>AE118</f>
        <v>45838</v>
      </c>
      <c r="X115" s="876"/>
      <c r="Y115" s="877"/>
      <c r="Z115" s="877">
        <f t="shared" si="144"/>
        <v>0</v>
      </c>
      <c r="AA115" s="877"/>
      <c r="AB115" s="883">
        <f>+EDATE(W115,1)</f>
        <v>45868</v>
      </c>
      <c r="AC115" s="877">
        <f t="shared" si="145"/>
        <v>0</v>
      </c>
      <c r="AD115" s="877"/>
      <c r="AE115" s="883">
        <f t="shared" ref="AE115" si="224">+EDATE(AB115,3)</f>
        <v>45960</v>
      </c>
      <c r="AF115" s="877">
        <f t="shared" si="146"/>
        <v>0</v>
      </c>
      <c r="AG115" s="877"/>
      <c r="AH115" s="883">
        <f t="shared" ref="AH115" si="225">+EDATE(AB115,4)</f>
        <v>45991</v>
      </c>
      <c r="AI115" s="877" t="str">
        <f>+IFERROR(AJ115/#REF!,"-")</f>
        <v>-</v>
      </c>
      <c r="AJ115" s="877"/>
      <c r="AK115" s="883">
        <f>+EDATE(AB115,6)+1</f>
        <v>46053</v>
      </c>
      <c r="AL115" s="877" t="str">
        <f>+IFERROR(AM115/#REF!,"-")</f>
        <v>-</v>
      </c>
      <c r="AM115" s="877"/>
      <c r="AN115" s="877"/>
      <c r="AO115" s="884">
        <f t="shared" si="206"/>
        <v>166493250</v>
      </c>
      <c r="AP115" s="884">
        <f>+AO115*'ref.지급기준 (2)'!G169</f>
        <v>16649325</v>
      </c>
      <c r="AQ115" s="885">
        <f>+W115</f>
        <v>45838</v>
      </c>
      <c r="AR115" s="407"/>
      <c r="AS115" s="945">
        <f>+$AO115*'ref.지급기준 (2)'!G169</f>
        <v>16649325</v>
      </c>
      <c r="AT115" s="884">
        <f t="shared" si="207"/>
        <v>0</v>
      </c>
      <c r="AU115" s="884">
        <f>+$AO115*'ref.지급기준 (2)'!I169</f>
        <v>33298650</v>
      </c>
      <c r="AV115" s="884">
        <f t="shared" si="143"/>
        <v>0</v>
      </c>
      <c r="AW115" s="884">
        <f>+$AO115*'ref.지급기준 (2)'!K169</f>
        <v>66597300</v>
      </c>
      <c r="AX115" s="884"/>
      <c r="AY115" s="884">
        <f>+$AO115*'ref.지급기준 (2)'!M169</f>
        <v>41623312.5</v>
      </c>
      <c r="AZ115" s="884"/>
      <c r="BA115" s="884">
        <f>+$AO115*'ref.지급기준 (2)'!O169</f>
        <v>8324662.5</v>
      </c>
      <c r="BB115" s="890"/>
      <c r="BC115" s="2718" t="s">
        <v>1292</v>
      </c>
      <c r="BD115" s="393"/>
      <c r="BE115" s="393" t="b">
        <f>+(BA115+AY115+AW115+AU115+AS115)=R115</f>
        <v>1</v>
      </c>
      <c r="BF115" s="393"/>
      <c r="BG115" s="393"/>
      <c r="BH115" s="393"/>
      <c r="BI115" s="393"/>
      <c r="BJ115" s="393"/>
      <c r="BK115" s="393"/>
      <c r="BL115" s="393"/>
      <c r="BM115" s="393"/>
      <c r="BN115" s="393"/>
      <c r="BO115" s="408"/>
      <c r="BP115" s="408"/>
    </row>
    <row r="116" spans="1:68" ht="16.5" customHeight="1">
      <c r="A116" s="394"/>
      <c r="B116" s="2517"/>
      <c r="C116" s="2744"/>
      <c r="D116" s="2747"/>
      <c r="E116" s="2768"/>
      <c r="F116" s="2693"/>
      <c r="G116" s="2747"/>
      <c r="H116" s="2747"/>
      <c r="I116" s="2732"/>
      <c r="J116" s="2747"/>
      <c r="K116" s="2766"/>
      <c r="L116" s="2672"/>
      <c r="M116" s="2675"/>
      <c r="N116" s="2675"/>
      <c r="O116" s="875" t="s">
        <v>126</v>
      </c>
      <c r="P116" s="896">
        <f>+'ref.지급기준 (2)'!F170*'ref.지급기준 (2)'!D170/'ref.지급기준 (2)'!$Q$2</f>
        <v>43245000</v>
      </c>
      <c r="Q116" s="896">
        <f>+P116*10%</f>
        <v>4324500</v>
      </c>
      <c r="R116" s="1002">
        <f t="shared" si="140"/>
        <v>47569500</v>
      </c>
      <c r="S116" s="874" t="b">
        <f t="shared" si="204"/>
        <v>1</v>
      </c>
      <c r="T116" s="908">
        <f>+IFERROR(U116/R116,"-")</f>
        <v>0.2</v>
      </c>
      <c r="U116" s="909">
        <f>+IFERROR(X116+AA116+AD116+AG116+AJ116+AM116,"-")</f>
        <v>9513900</v>
      </c>
      <c r="V116" s="879">
        <f t="shared" si="205"/>
        <v>0.2</v>
      </c>
      <c r="W116" s="889">
        <v>45631</v>
      </c>
      <c r="X116" s="880">
        <f>+'ref.지급기준 (2)'!G170*$R116</f>
        <v>9513900</v>
      </c>
      <c r="Y116" s="879"/>
      <c r="Z116" s="877">
        <f t="shared" si="144"/>
        <v>0</v>
      </c>
      <c r="AA116" s="886"/>
      <c r="AB116" s="883">
        <v>45777</v>
      </c>
      <c r="AC116" s="877">
        <f t="shared" si="145"/>
        <v>0</v>
      </c>
      <c r="AD116" s="877"/>
      <c r="AE116" s="883">
        <f>EDATE(AB116,2)</f>
        <v>45838</v>
      </c>
      <c r="AF116" s="877">
        <f t="shared" si="146"/>
        <v>0</v>
      </c>
      <c r="AG116" s="877"/>
      <c r="AH116" s="883">
        <f>+EDATE(AB115,5)+1</f>
        <v>46022</v>
      </c>
      <c r="AI116" s="877" t="str">
        <f>+IFERROR(AJ116/#REF!,"-")</f>
        <v>-</v>
      </c>
      <c r="AJ116" s="877"/>
      <c r="AK116" s="877"/>
      <c r="AL116" s="877" t="str">
        <f>+IFERROR(AM116/#REF!,"-")</f>
        <v>-</v>
      </c>
      <c r="AM116" s="877"/>
      <c r="AN116" s="877"/>
      <c r="AO116" s="884">
        <f t="shared" si="206"/>
        <v>47569500</v>
      </c>
      <c r="AP116" s="884">
        <f>+AO116*'ref.지급기준 (2)'!G170</f>
        <v>9513900</v>
      </c>
      <c r="AQ116" s="885">
        <f>+AB116</f>
        <v>45777</v>
      </c>
      <c r="AR116" s="407"/>
      <c r="AS116" s="945">
        <f>+$AO116*'ref.지급기준 (2)'!G170</f>
        <v>9513900</v>
      </c>
      <c r="AT116" s="884">
        <f t="shared" si="207"/>
        <v>9513900</v>
      </c>
      <c r="AU116" s="884">
        <f>+$AO116*'ref.지급기준 (2)'!I170</f>
        <v>9513900</v>
      </c>
      <c r="AV116" s="884">
        <f t="shared" si="143"/>
        <v>0</v>
      </c>
      <c r="AW116" s="884">
        <f>+$AO116*'ref.지급기준 (2)'!K170</f>
        <v>23784750</v>
      </c>
      <c r="AX116" s="884"/>
      <c r="AY116" s="884">
        <f>+$AO116*'ref.지급기준 (2)'!M170</f>
        <v>4756950</v>
      </c>
      <c r="AZ116" s="884"/>
      <c r="BA116" s="884">
        <f>+$AO116*'ref.지급기준 (2)'!O170</f>
        <v>0</v>
      </c>
      <c r="BB116" s="890"/>
      <c r="BC116" s="2719"/>
      <c r="BD116" s="393"/>
      <c r="BE116" s="393" t="b">
        <f>+(BA116+AY116+AW116+AU116+AS116)=R116</f>
        <v>1</v>
      </c>
      <c r="BF116" s="393"/>
      <c r="BG116" s="393"/>
      <c r="BH116" s="393"/>
      <c r="BI116" s="393"/>
      <c r="BJ116" s="393"/>
      <c r="BK116" s="393"/>
      <c r="BL116" s="393"/>
      <c r="BM116" s="393"/>
      <c r="BN116" s="393"/>
      <c r="BO116" s="408"/>
      <c r="BP116" s="408"/>
    </row>
    <row r="117" spans="1:68" ht="16.5" customHeight="1">
      <c r="A117" s="394"/>
      <c r="B117" s="2517"/>
      <c r="C117" s="2744"/>
      <c r="D117" s="2747"/>
      <c r="E117" s="2768"/>
      <c r="F117" s="2693"/>
      <c r="G117" s="2747"/>
      <c r="H117" s="2747"/>
      <c r="I117" s="2732"/>
      <c r="J117" s="2747"/>
      <c r="K117" s="2766"/>
      <c r="L117" s="2672"/>
      <c r="M117" s="2675"/>
      <c r="N117" s="2675"/>
      <c r="O117" s="875" t="s">
        <v>127</v>
      </c>
      <c r="P117" s="896">
        <f>+'ref.지급기준 (2)'!F171*'ref.지급기준 (2)'!D171/'ref.지급기준 (2)'!$Q$2</f>
        <v>0</v>
      </c>
      <c r="Q117" s="896"/>
      <c r="R117" s="1002">
        <f t="shared" si="140"/>
        <v>0</v>
      </c>
      <c r="S117" s="874" t="b">
        <f t="shared" si="204"/>
        <v>1</v>
      </c>
      <c r="T117" s="908" t="str">
        <f>+IFERROR(U117/R117,"-")</f>
        <v>-</v>
      </c>
      <c r="U117" s="909">
        <f>+IFERROR(X117+AA117+AD117+AG117+AJ117+AM117,"-")</f>
        <v>0</v>
      </c>
      <c r="V117" s="877" t="str">
        <f t="shared" si="205"/>
        <v>-</v>
      </c>
      <c r="W117" s="887"/>
      <c r="X117" s="876"/>
      <c r="Y117" s="877"/>
      <c r="Z117" s="877" t="str">
        <f t="shared" si="144"/>
        <v>-</v>
      </c>
      <c r="AA117" s="877"/>
      <c r="AB117" s="883"/>
      <c r="AC117" s="877" t="str">
        <f t="shared" si="145"/>
        <v>-</v>
      </c>
      <c r="AD117" s="877"/>
      <c r="AE117" s="883"/>
      <c r="AF117" s="877" t="str">
        <f t="shared" si="146"/>
        <v>-</v>
      </c>
      <c r="AG117" s="877"/>
      <c r="AH117" s="883"/>
      <c r="AI117" s="877" t="str">
        <f>+IFERROR(AJ117/#REF!,"-")</f>
        <v>-</v>
      </c>
      <c r="AJ117" s="877"/>
      <c r="AK117" s="877"/>
      <c r="AL117" s="877" t="str">
        <f>+IFERROR(AM117/#REF!,"-")</f>
        <v>-</v>
      </c>
      <c r="AM117" s="877"/>
      <c r="AN117" s="877"/>
      <c r="AO117" s="884">
        <f t="shared" si="206"/>
        <v>0</v>
      </c>
      <c r="AP117" s="884">
        <f>+AO117*'ref.지급기준 (2)'!G171</f>
        <v>0</v>
      </c>
      <c r="AQ117" s="885"/>
      <c r="AR117" s="407"/>
      <c r="AS117" s="945">
        <f>+$AO117*'ref.지급기준 (2)'!G171</f>
        <v>0</v>
      </c>
      <c r="AT117" s="884">
        <f t="shared" si="207"/>
        <v>0</v>
      </c>
      <c r="AU117" s="884">
        <f>+$AO117*'ref.지급기준 (2)'!I171</f>
        <v>0</v>
      </c>
      <c r="AV117" s="884">
        <f t="shared" si="143"/>
        <v>0</v>
      </c>
      <c r="AW117" s="884">
        <f>+$AO117*'ref.지급기준 (2)'!K171</f>
        <v>0</v>
      </c>
      <c r="AX117" s="884"/>
      <c r="AY117" s="884">
        <f>+$AO117*'ref.지급기준 (2)'!M171</f>
        <v>0</v>
      </c>
      <c r="AZ117" s="884"/>
      <c r="BA117" s="884">
        <f>+$AO117*'ref.지급기준 (2)'!O171</f>
        <v>0</v>
      </c>
      <c r="BB117" s="890"/>
      <c r="BC117" s="2719"/>
      <c r="BD117" s="393"/>
      <c r="BE117" s="393" t="b">
        <f>+(BA117+AY117+AW117+AU117+AS117)=R117</f>
        <v>1</v>
      </c>
      <c r="BF117" s="393"/>
      <c r="BG117" s="393"/>
      <c r="BH117" s="393"/>
      <c r="BI117" s="393"/>
      <c r="BJ117" s="393"/>
      <c r="BK117" s="393"/>
      <c r="BL117" s="393"/>
      <c r="BM117" s="393"/>
      <c r="BN117" s="393"/>
      <c r="BO117" s="408"/>
      <c r="BP117" s="408"/>
    </row>
    <row r="118" spans="1:68" ht="16.5" customHeight="1">
      <c r="A118" s="394"/>
      <c r="B118" s="2517"/>
      <c r="C118" s="2744"/>
      <c r="D118" s="2747"/>
      <c r="E118" s="2768"/>
      <c r="F118" s="2693"/>
      <c r="G118" s="2747"/>
      <c r="H118" s="2747"/>
      <c r="I118" s="2732"/>
      <c r="J118" s="2747"/>
      <c r="K118" s="2766"/>
      <c r="L118" s="2672"/>
      <c r="M118" s="2675"/>
      <c r="N118" s="2675"/>
      <c r="O118" s="875" t="s">
        <v>128</v>
      </c>
      <c r="P118" s="896">
        <f>+'ref.지급기준 (2)'!F172*'ref.지급기준 (2)'!D172/'ref.지급기준 (2)'!$Q$2</f>
        <v>28830000</v>
      </c>
      <c r="Q118" s="896">
        <f t="shared" ref="Q118" si="226">+P118*10%</f>
        <v>2883000</v>
      </c>
      <c r="R118" s="1002">
        <f t="shared" si="140"/>
        <v>31713000</v>
      </c>
      <c r="S118" s="874" t="b">
        <f t="shared" si="204"/>
        <v>1</v>
      </c>
      <c r="T118" s="908">
        <f>+IFERROR(U118/R118,"-")</f>
        <v>0.2</v>
      </c>
      <c r="U118" s="909">
        <f>+IFERROR(X118+AA118+AD118+AG118+AJ118+AM118,"-")</f>
        <v>6342600</v>
      </c>
      <c r="V118" s="879">
        <f t="shared" si="205"/>
        <v>0.2</v>
      </c>
      <c r="W118" s="881">
        <v>45631</v>
      </c>
      <c r="X118" s="880">
        <f>+'ref.지급기준 (2)'!G172*$R118</f>
        <v>6342600</v>
      </c>
      <c r="Y118" s="879"/>
      <c r="Z118" s="877">
        <v>0</v>
      </c>
      <c r="AA118" s="877"/>
      <c r="AB118" s="883">
        <f>AB116</f>
        <v>45777</v>
      </c>
      <c r="AC118" s="877">
        <f t="shared" si="145"/>
        <v>0</v>
      </c>
      <c r="AD118" s="877"/>
      <c r="AE118" s="883">
        <f>AE116</f>
        <v>45838</v>
      </c>
      <c r="AF118" s="877">
        <f t="shared" si="146"/>
        <v>0</v>
      </c>
      <c r="AG118" s="877"/>
      <c r="AH118" s="883">
        <f>AH116</f>
        <v>46022</v>
      </c>
      <c r="AI118" s="877" t="str">
        <f>+IFERROR(AJ118/#REF!,"-")</f>
        <v>-</v>
      </c>
      <c r="AJ118" s="877"/>
      <c r="AK118" s="877"/>
      <c r="AL118" s="877" t="str">
        <f>+IFERROR(AM118/#REF!,"-")</f>
        <v>-</v>
      </c>
      <c r="AM118" s="877"/>
      <c r="AN118" s="877"/>
      <c r="AO118" s="884">
        <f t="shared" si="206"/>
        <v>31713000</v>
      </c>
      <c r="AP118" s="884">
        <f>+AO118*'ref.지급기준 (2)'!G172</f>
        <v>6342600</v>
      </c>
      <c r="AQ118" s="885">
        <f>+AB118</f>
        <v>45777</v>
      </c>
      <c r="AR118" s="407"/>
      <c r="AS118" s="945">
        <f>+$AO118*'ref.지급기준 (2)'!G172</f>
        <v>6342600</v>
      </c>
      <c r="AT118" s="884">
        <f t="shared" si="207"/>
        <v>6342600</v>
      </c>
      <c r="AU118" s="884">
        <f>+$AO118*'ref.지급기준 (2)'!I172</f>
        <v>6342600</v>
      </c>
      <c r="AV118" s="884">
        <f t="shared" si="143"/>
        <v>0</v>
      </c>
      <c r="AW118" s="884">
        <f>+$AO118*'ref.지급기준 (2)'!K172</f>
        <v>15856500</v>
      </c>
      <c r="AX118" s="884"/>
      <c r="AY118" s="884">
        <f>+$AO118*'ref.지급기준 (2)'!M172</f>
        <v>3171300</v>
      </c>
      <c r="AZ118" s="884"/>
      <c r="BA118" s="884">
        <f>+$AO118*'ref.지급기준 (2)'!O172</f>
        <v>0</v>
      </c>
      <c r="BB118" s="890"/>
      <c r="BC118" s="2719"/>
      <c r="BD118" s="393"/>
      <c r="BE118" s="393" t="b">
        <f>+(BA118+AY118+AW118+AU118+AS118)=R118</f>
        <v>1</v>
      </c>
      <c r="BF118" s="393"/>
      <c r="BG118" s="393"/>
      <c r="BH118" s="393"/>
      <c r="BI118" s="393"/>
      <c r="BJ118" s="393"/>
      <c r="BK118" s="393"/>
      <c r="BL118" s="393"/>
      <c r="BM118" s="393"/>
      <c r="BN118" s="393"/>
      <c r="BO118" s="408"/>
      <c r="BP118" s="408"/>
    </row>
    <row r="119" spans="1:68" ht="16.5" customHeight="1">
      <c r="A119" s="394"/>
      <c r="B119" s="2517"/>
      <c r="C119" s="2744"/>
      <c r="D119" s="2747"/>
      <c r="E119" s="2768"/>
      <c r="F119" s="2693"/>
      <c r="G119" s="2747"/>
      <c r="H119" s="2747"/>
      <c r="I119" s="2732"/>
      <c r="J119" s="2747"/>
      <c r="K119" s="2767"/>
      <c r="L119" s="2673"/>
      <c r="M119" s="2676"/>
      <c r="N119" s="2676"/>
      <c r="O119" s="999" t="s">
        <v>129</v>
      </c>
      <c r="P119" s="900">
        <f>+'DG-PV Organic'!AI7</f>
        <v>28830000</v>
      </c>
      <c r="Q119" s="901">
        <f>+P119*0.1</f>
        <v>2883000</v>
      </c>
      <c r="R119" s="1003">
        <f>SUM(P119:Q119)</f>
        <v>31713000</v>
      </c>
      <c r="S119" s="874" t="b">
        <f t="shared" si="204"/>
        <v>1</v>
      </c>
      <c r="T119" s="910"/>
      <c r="U119" s="911"/>
      <c r="V119" s="910">
        <f t="shared" si="205"/>
        <v>0</v>
      </c>
      <c r="W119" s="926"/>
      <c r="X119" s="926"/>
      <c r="Y119" s="926"/>
      <c r="Z119" s="926">
        <f t="shared" ref="Z119" si="227">+IFERROR(AA119/$R119,"-")</f>
        <v>0</v>
      </c>
      <c r="AA119" s="926"/>
      <c r="AB119" s="927"/>
      <c r="AC119" s="926">
        <f t="shared" si="145"/>
        <v>0</v>
      </c>
      <c r="AD119" s="926"/>
      <c r="AE119" s="927"/>
      <c r="AF119" s="926">
        <f t="shared" si="146"/>
        <v>0</v>
      </c>
      <c r="AG119" s="926"/>
      <c r="AH119" s="927"/>
      <c r="AI119" s="926" t="str">
        <f>+IFERROR(AJ119/#REF!,"-")</f>
        <v>-</v>
      </c>
      <c r="AJ119" s="926"/>
      <c r="AK119" s="926"/>
      <c r="AL119" s="926"/>
      <c r="AM119" s="926"/>
      <c r="AN119" s="926"/>
      <c r="AO119" s="928">
        <f t="shared" si="206"/>
        <v>31713000</v>
      </c>
      <c r="AP119" s="928">
        <f>+AS119+AU119</f>
        <v>31713000</v>
      </c>
      <c r="AQ119" s="931"/>
      <c r="AR119" s="407"/>
      <c r="AS119" s="947">
        <f>+$AO119*'ref.지급기준 (2)'!G168</f>
        <v>31713000</v>
      </c>
      <c r="AT119" s="928">
        <f t="shared" si="207"/>
        <v>0</v>
      </c>
      <c r="AU119" s="928">
        <f>+$AO119*'ref.지급기준 (2)'!I168</f>
        <v>0</v>
      </c>
      <c r="AV119" s="928">
        <f t="shared" si="143"/>
        <v>0</v>
      </c>
      <c r="AW119" s="928">
        <f>+$AO119*'ref.지급기준 (2)'!K168</f>
        <v>0</v>
      </c>
      <c r="AX119" s="928"/>
      <c r="AY119" s="928">
        <f>+$AO119*'ref.지급기준 (2)'!M168</f>
        <v>0</v>
      </c>
      <c r="AZ119" s="928"/>
      <c r="BA119" s="928">
        <f>+$AO119*'ref.지급기준 (2)'!O168</f>
        <v>0</v>
      </c>
      <c r="BB119" s="997"/>
      <c r="BC119" s="2720"/>
      <c r="BD119" s="393"/>
      <c r="BE119" s="393"/>
      <c r="BF119" s="393"/>
      <c r="BG119" s="393"/>
      <c r="BH119" s="393"/>
      <c r="BI119" s="393"/>
      <c r="BJ119" s="393"/>
      <c r="BK119" s="393"/>
      <c r="BL119" s="393"/>
      <c r="BM119" s="393"/>
      <c r="BN119" s="393"/>
      <c r="BO119" s="408"/>
      <c r="BP119" s="408"/>
    </row>
    <row r="120" spans="1:68" ht="16.5" customHeight="1">
      <c r="A120" s="394"/>
      <c r="B120" s="2517"/>
      <c r="C120" s="2744"/>
      <c r="D120" s="2747"/>
      <c r="E120" s="2768"/>
      <c r="F120" s="2693"/>
      <c r="G120" s="2747"/>
      <c r="H120" s="2747"/>
      <c r="I120" s="2732" t="s">
        <v>1295</v>
      </c>
      <c r="J120" s="2747" t="s">
        <v>1296</v>
      </c>
      <c r="K120" s="2649">
        <f>+'ref.지급기준 (2)'!D174</f>
        <v>138.43</v>
      </c>
      <c r="L120" s="2652">
        <f>+'DG-PV Organic'!H8</f>
        <v>9.1700000000000004E-2</v>
      </c>
      <c r="M120" s="2654">
        <f>+'DG-PV Organic'!J8</f>
        <v>9.2999999999999999E-2</v>
      </c>
      <c r="N120" s="2654" t="s">
        <v>1213</v>
      </c>
      <c r="O120" s="891" t="s">
        <v>125</v>
      </c>
      <c r="P120" s="902">
        <f>+'DG-PV Organic'!AL8</f>
        <v>145351500</v>
      </c>
      <c r="Q120" s="902">
        <f>+P120*10%</f>
        <v>14535150</v>
      </c>
      <c r="R120" s="903">
        <f t="shared" si="140"/>
        <v>159886650</v>
      </c>
      <c r="S120" s="874" t="b">
        <f t="shared" si="204"/>
        <v>1</v>
      </c>
      <c r="T120" s="906">
        <f>+IFERROR(U120/R120,"-")</f>
        <v>0</v>
      </c>
      <c r="U120" s="907">
        <f>+IFERROR(X120+AA120+AD120+AG120+AJ120+AM120,"-")</f>
        <v>0</v>
      </c>
      <c r="V120" s="877">
        <f t="shared" si="205"/>
        <v>0</v>
      </c>
      <c r="W120" s="883">
        <f>AE121</f>
        <v>45838</v>
      </c>
      <c r="X120" s="876"/>
      <c r="Y120" s="877"/>
      <c r="Z120" s="877">
        <f t="shared" si="144"/>
        <v>0</v>
      </c>
      <c r="AA120" s="877"/>
      <c r="AB120" s="883">
        <f>+EDATE(W120,1)</f>
        <v>45868</v>
      </c>
      <c r="AC120" s="877">
        <f t="shared" si="145"/>
        <v>0</v>
      </c>
      <c r="AD120" s="877"/>
      <c r="AE120" s="883">
        <f t="shared" ref="AE120" si="228">+EDATE(AB120,3)</f>
        <v>45960</v>
      </c>
      <c r="AF120" s="877">
        <f t="shared" si="146"/>
        <v>0</v>
      </c>
      <c r="AG120" s="877"/>
      <c r="AH120" s="883">
        <f t="shared" ref="AH120" si="229">+EDATE(AB120,4)</f>
        <v>45991</v>
      </c>
      <c r="AI120" s="877" t="str">
        <f>+IFERROR(AJ120/#REF!,"-")</f>
        <v>-</v>
      </c>
      <c r="AJ120" s="877"/>
      <c r="AK120" s="883">
        <f>+EDATE(AB120,6)+1</f>
        <v>46053</v>
      </c>
      <c r="AL120" s="877" t="str">
        <f>+IFERROR(AM120/#REF!,"-")</f>
        <v>-</v>
      </c>
      <c r="AM120" s="877"/>
      <c r="AN120" s="877"/>
      <c r="AO120" s="884">
        <f t="shared" si="206"/>
        <v>159886650</v>
      </c>
      <c r="AP120" s="884">
        <f>+AO120*'ref.지급기준 (2)'!G174</f>
        <v>15988665</v>
      </c>
      <c r="AQ120" s="885">
        <f>+W120</f>
        <v>45838</v>
      </c>
      <c r="AR120" s="407"/>
      <c r="AS120" s="945">
        <f>+$AO120*'ref.지급기준 (2)'!G174</f>
        <v>15988665</v>
      </c>
      <c r="AT120" s="884">
        <f t="shared" si="207"/>
        <v>0</v>
      </c>
      <c r="AU120" s="884">
        <f>+$AO120*'ref.지급기준 (2)'!I174</f>
        <v>31977330</v>
      </c>
      <c r="AV120" s="884">
        <f t="shared" si="143"/>
        <v>0</v>
      </c>
      <c r="AW120" s="884">
        <f>+$AO120*'ref.지급기준 (2)'!K174</f>
        <v>63954660</v>
      </c>
      <c r="AX120" s="884"/>
      <c r="AY120" s="884">
        <f>+$AO120*'ref.지급기준 (2)'!M174</f>
        <v>39971662.5</v>
      </c>
      <c r="AZ120" s="884"/>
      <c r="BA120" s="884">
        <f>+$AO120*'ref.지급기준 (2)'!O174</f>
        <v>7994332.5</v>
      </c>
      <c r="BB120" s="890"/>
      <c r="BC120" s="2718" t="s">
        <v>1292</v>
      </c>
      <c r="BD120" s="393"/>
      <c r="BE120" s="393" t="b">
        <f>+(BA120+AY120+AW120+AU120+AS120)=R120</f>
        <v>1</v>
      </c>
      <c r="BF120" s="393"/>
      <c r="BG120" s="393"/>
      <c r="BH120" s="393"/>
      <c r="BI120" s="393"/>
      <c r="BJ120" s="393"/>
      <c r="BK120" s="393"/>
      <c r="BL120" s="393"/>
      <c r="BM120" s="393"/>
      <c r="BN120" s="393"/>
      <c r="BO120" s="408"/>
      <c r="BP120" s="408"/>
    </row>
    <row r="121" spans="1:68" ht="16.5" customHeight="1">
      <c r="A121" s="394"/>
      <c r="B121" s="2517"/>
      <c r="C121" s="2744"/>
      <c r="D121" s="2747"/>
      <c r="E121" s="2768"/>
      <c r="F121" s="2693"/>
      <c r="G121" s="2747"/>
      <c r="H121" s="2747"/>
      <c r="I121" s="2732"/>
      <c r="J121" s="2747"/>
      <c r="K121" s="2649"/>
      <c r="L121" s="2652"/>
      <c r="M121" s="2654"/>
      <c r="N121" s="2654"/>
      <c r="O121" s="875" t="s">
        <v>126</v>
      </c>
      <c r="P121" s="896">
        <f>+'DG-PV Organic'!AK8</f>
        <v>41529000</v>
      </c>
      <c r="Q121" s="896">
        <f>+P121*10%</f>
        <v>4152900</v>
      </c>
      <c r="R121" s="897">
        <f t="shared" si="140"/>
        <v>45681900</v>
      </c>
      <c r="S121" s="874" t="b">
        <f t="shared" si="204"/>
        <v>1</v>
      </c>
      <c r="T121" s="908">
        <f>+IFERROR(U121/R121,"-")</f>
        <v>0.2</v>
      </c>
      <c r="U121" s="909">
        <f>+IFERROR(X121+AA121+AD121+AG121+AJ121+AM121,"-")</f>
        <v>9136380</v>
      </c>
      <c r="V121" s="879">
        <f t="shared" si="205"/>
        <v>0.2</v>
      </c>
      <c r="W121" s="889">
        <v>45631</v>
      </c>
      <c r="X121" s="880">
        <f>+'ref.지급기준 (2)'!G175*$R121</f>
        <v>9136380</v>
      </c>
      <c r="Y121" s="879"/>
      <c r="Z121" s="877">
        <f t="shared" si="144"/>
        <v>0</v>
      </c>
      <c r="AA121" s="886"/>
      <c r="AB121" s="883">
        <v>45777</v>
      </c>
      <c r="AC121" s="877">
        <f t="shared" si="145"/>
        <v>0</v>
      </c>
      <c r="AD121" s="877"/>
      <c r="AE121" s="883">
        <f>EDATE(AB121,2)</f>
        <v>45838</v>
      </c>
      <c r="AF121" s="877">
        <f t="shared" si="146"/>
        <v>0</v>
      </c>
      <c r="AG121" s="877"/>
      <c r="AH121" s="883">
        <f>+EDATE(AB120,5)+1</f>
        <v>46022</v>
      </c>
      <c r="AI121" s="877" t="str">
        <f>+IFERROR(AJ121/#REF!,"-")</f>
        <v>-</v>
      </c>
      <c r="AJ121" s="877"/>
      <c r="AK121" s="877"/>
      <c r="AL121" s="877" t="str">
        <f>+IFERROR(AM121/#REF!,"-")</f>
        <v>-</v>
      </c>
      <c r="AM121" s="877"/>
      <c r="AN121" s="877"/>
      <c r="AO121" s="884">
        <f t="shared" si="206"/>
        <v>45681900</v>
      </c>
      <c r="AP121" s="884">
        <f>+AO121*'ref.지급기준 (2)'!G175</f>
        <v>9136380</v>
      </c>
      <c r="AQ121" s="885">
        <f>+AB121</f>
        <v>45777</v>
      </c>
      <c r="AR121" s="407"/>
      <c r="AS121" s="945">
        <f>+$AO121*'ref.지급기준 (2)'!G175</f>
        <v>9136380</v>
      </c>
      <c r="AT121" s="884">
        <f t="shared" si="207"/>
        <v>9136380</v>
      </c>
      <c r="AU121" s="884">
        <f>+$AO121*'ref.지급기준 (2)'!I175</f>
        <v>9136380</v>
      </c>
      <c r="AV121" s="884">
        <f t="shared" si="143"/>
        <v>0</v>
      </c>
      <c r="AW121" s="884">
        <f>+$AO121*'ref.지급기준 (2)'!K175</f>
        <v>22840950</v>
      </c>
      <c r="AX121" s="884"/>
      <c r="AY121" s="884">
        <f>+$AO121*'ref.지급기준 (2)'!M175</f>
        <v>4568190</v>
      </c>
      <c r="AZ121" s="884"/>
      <c r="BA121" s="884">
        <f>+$AO121*'ref.지급기준 (2)'!O175</f>
        <v>0</v>
      </c>
      <c r="BB121" s="890"/>
      <c r="BC121" s="2719"/>
      <c r="BD121" s="393"/>
      <c r="BE121" s="393" t="b">
        <f>+(BA121+AY121+AW121+AU121+AS121)=R121</f>
        <v>1</v>
      </c>
      <c r="BF121" s="393"/>
      <c r="BG121" s="393"/>
      <c r="BH121" s="393"/>
      <c r="BI121" s="393"/>
      <c r="BJ121" s="393"/>
      <c r="BK121" s="393"/>
      <c r="BL121" s="393"/>
      <c r="BM121" s="393"/>
      <c r="BN121" s="393"/>
      <c r="BO121" s="408"/>
      <c r="BP121" s="408"/>
    </row>
    <row r="122" spans="1:68" ht="16.5" customHeight="1">
      <c r="A122" s="394"/>
      <c r="B122" s="2517"/>
      <c r="C122" s="2744"/>
      <c r="D122" s="2747"/>
      <c r="E122" s="2768"/>
      <c r="F122" s="2693"/>
      <c r="G122" s="2747"/>
      <c r="H122" s="2747"/>
      <c r="I122" s="2732"/>
      <c r="J122" s="2747"/>
      <c r="K122" s="2649"/>
      <c r="L122" s="2652"/>
      <c r="M122" s="2654"/>
      <c r="N122" s="2654"/>
      <c r="O122" s="875" t="s">
        <v>127</v>
      </c>
      <c r="P122" s="896">
        <f>+'ref.지급기준 (2)'!F176*'ref.지급기준 (2)'!D176/'ref.지급기준 (2)'!$Q$2</f>
        <v>0</v>
      </c>
      <c r="Q122" s="896"/>
      <c r="R122" s="897">
        <f t="shared" si="140"/>
        <v>0</v>
      </c>
      <c r="S122" s="874" t="b">
        <f t="shared" si="204"/>
        <v>1</v>
      </c>
      <c r="T122" s="908" t="str">
        <f>+IFERROR(U122/R122,"-")</f>
        <v>-</v>
      </c>
      <c r="U122" s="909">
        <f>+IFERROR(X122+AA122+AD122+AG122+AJ122+AM122,"-")</f>
        <v>0</v>
      </c>
      <c r="V122" s="877" t="str">
        <f t="shared" si="205"/>
        <v>-</v>
      </c>
      <c r="W122" s="887"/>
      <c r="X122" s="876"/>
      <c r="Y122" s="877"/>
      <c r="Z122" s="877" t="str">
        <f t="shared" si="144"/>
        <v>-</v>
      </c>
      <c r="AA122" s="877"/>
      <c r="AB122" s="883"/>
      <c r="AC122" s="877" t="str">
        <f t="shared" si="145"/>
        <v>-</v>
      </c>
      <c r="AD122" s="877"/>
      <c r="AE122" s="883"/>
      <c r="AF122" s="877" t="str">
        <f t="shared" si="146"/>
        <v>-</v>
      </c>
      <c r="AG122" s="877"/>
      <c r="AH122" s="883"/>
      <c r="AI122" s="877" t="str">
        <f>+IFERROR(AJ122/#REF!,"-")</f>
        <v>-</v>
      </c>
      <c r="AJ122" s="877"/>
      <c r="AK122" s="877"/>
      <c r="AL122" s="877" t="str">
        <f>+IFERROR(AM122/#REF!,"-")</f>
        <v>-</v>
      </c>
      <c r="AM122" s="877"/>
      <c r="AN122" s="877"/>
      <c r="AO122" s="884">
        <f t="shared" si="206"/>
        <v>0</v>
      </c>
      <c r="AP122" s="884">
        <f>+AO122*'ref.지급기준 (2)'!G176</f>
        <v>0</v>
      </c>
      <c r="AQ122" s="885"/>
      <c r="AR122" s="407"/>
      <c r="AS122" s="945">
        <f>+$AO122*'ref.지급기준 (2)'!G176</f>
        <v>0</v>
      </c>
      <c r="AT122" s="884">
        <f t="shared" si="207"/>
        <v>0</v>
      </c>
      <c r="AU122" s="884">
        <f>+$AO122*'ref.지급기준 (2)'!I176</f>
        <v>0</v>
      </c>
      <c r="AV122" s="884">
        <f t="shared" si="143"/>
        <v>0</v>
      </c>
      <c r="AW122" s="884">
        <f>+$AO122*'ref.지급기준 (2)'!K176</f>
        <v>0</v>
      </c>
      <c r="AX122" s="884"/>
      <c r="AY122" s="884">
        <f>+$AO122*'ref.지급기준 (2)'!M176</f>
        <v>0</v>
      </c>
      <c r="AZ122" s="884"/>
      <c r="BA122" s="884">
        <f>+$AO122*'ref.지급기준 (2)'!O176</f>
        <v>0</v>
      </c>
      <c r="BB122" s="890"/>
      <c r="BC122" s="2719"/>
      <c r="BD122" s="393"/>
      <c r="BE122" s="393" t="b">
        <f>+(BA122+AY122+AW122+AU122+AS122)=R122</f>
        <v>1</v>
      </c>
      <c r="BF122" s="393"/>
      <c r="BG122" s="393"/>
      <c r="BH122" s="393"/>
      <c r="BI122" s="393"/>
      <c r="BJ122" s="393"/>
      <c r="BK122" s="393"/>
      <c r="BL122" s="393"/>
      <c r="BM122" s="393"/>
      <c r="BN122" s="393"/>
      <c r="BO122" s="408"/>
      <c r="BP122" s="408"/>
    </row>
    <row r="123" spans="1:68" ht="16.5" customHeight="1">
      <c r="A123" s="394"/>
      <c r="B123" s="2517"/>
      <c r="C123" s="2744"/>
      <c r="D123" s="2747"/>
      <c r="E123" s="2768"/>
      <c r="F123" s="2693"/>
      <c r="G123" s="2747"/>
      <c r="H123" s="2747"/>
      <c r="I123" s="2732"/>
      <c r="J123" s="2747"/>
      <c r="K123" s="2649"/>
      <c r="L123" s="2652"/>
      <c r="M123" s="2654"/>
      <c r="N123" s="2654"/>
      <c r="O123" s="875" t="s">
        <v>128</v>
      </c>
      <c r="P123" s="896">
        <f>+'DG-PV Organic'!AJ8</f>
        <v>27686000</v>
      </c>
      <c r="Q123" s="896">
        <f t="shared" ref="Q123" si="230">+P123*10%</f>
        <v>2768600</v>
      </c>
      <c r="R123" s="897">
        <f t="shared" si="140"/>
        <v>30454600</v>
      </c>
      <c r="S123" s="874" t="b">
        <f t="shared" si="204"/>
        <v>1</v>
      </c>
      <c r="T123" s="908">
        <f>+IFERROR(U123/R123,"-")</f>
        <v>0.2</v>
      </c>
      <c r="U123" s="909">
        <f>+IFERROR(X123+AA123+AD123+AG123+AJ123+AM123,"-")</f>
        <v>6090920</v>
      </c>
      <c r="V123" s="879">
        <f t="shared" si="205"/>
        <v>0.2</v>
      </c>
      <c r="W123" s="881">
        <v>45631</v>
      </c>
      <c r="X123" s="880">
        <f>+'ref.지급기준 (2)'!G177*$R123</f>
        <v>6090920</v>
      </c>
      <c r="Y123" s="879"/>
      <c r="Z123" s="877">
        <v>0</v>
      </c>
      <c r="AA123" s="877"/>
      <c r="AB123" s="883">
        <f>AB121</f>
        <v>45777</v>
      </c>
      <c r="AC123" s="877">
        <f t="shared" si="145"/>
        <v>0</v>
      </c>
      <c r="AD123" s="877"/>
      <c r="AE123" s="883">
        <f>AE121</f>
        <v>45838</v>
      </c>
      <c r="AF123" s="877">
        <f t="shared" si="146"/>
        <v>0</v>
      </c>
      <c r="AG123" s="877"/>
      <c r="AH123" s="883">
        <f>AH121</f>
        <v>46022</v>
      </c>
      <c r="AI123" s="877" t="str">
        <f>+IFERROR(AJ123/#REF!,"-")</f>
        <v>-</v>
      </c>
      <c r="AJ123" s="877"/>
      <c r="AK123" s="877"/>
      <c r="AL123" s="877" t="str">
        <f>+IFERROR(AM123/#REF!,"-")</f>
        <v>-</v>
      </c>
      <c r="AM123" s="877"/>
      <c r="AN123" s="877"/>
      <c r="AO123" s="884">
        <f t="shared" si="206"/>
        <v>30454600</v>
      </c>
      <c r="AP123" s="884">
        <f>+AO123*'ref.지급기준 (2)'!G177</f>
        <v>6090920</v>
      </c>
      <c r="AQ123" s="885">
        <f>+AB123</f>
        <v>45777</v>
      </c>
      <c r="AR123" s="407"/>
      <c r="AS123" s="945">
        <f>+$AO123*'ref.지급기준 (2)'!G177</f>
        <v>6090920</v>
      </c>
      <c r="AT123" s="884">
        <f t="shared" si="207"/>
        <v>6090920</v>
      </c>
      <c r="AU123" s="884">
        <f>+$AO123*'ref.지급기준 (2)'!I177</f>
        <v>6090920</v>
      </c>
      <c r="AV123" s="884">
        <f t="shared" si="143"/>
        <v>0</v>
      </c>
      <c r="AW123" s="884">
        <f>+$AO123*'ref.지급기준 (2)'!K177</f>
        <v>15227300</v>
      </c>
      <c r="AX123" s="884"/>
      <c r="AY123" s="884">
        <f>+$AO123*'ref.지급기준 (2)'!M177</f>
        <v>3045460</v>
      </c>
      <c r="AZ123" s="884"/>
      <c r="BA123" s="884">
        <f>+$AO123*'ref.지급기준 (2)'!O177</f>
        <v>0</v>
      </c>
      <c r="BB123" s="890"/>
      <c r="BC123" s="2719"/>
      <c r="BD123" s="393"/>
      <c r="BE123" s="393" t="b">
        <f>+(BA123+AY123+AW123+AU123+AS123)=R123</f>
        <v>1</v>
      </c>
      <c r="BF123" s="393"/>
      <c r="BG123" s="393"/>
      <c r="BH123" s="393"/>
      <c r="BI123" s="393"/>
      <c r="BJ123" s="393"/>
      <c r="BK123" s="393"/>
      <c r="BL123" s="393"/>
      <c r="BM123" s="393"/>
      <c r="BN123" s="393"/>
      <c r="BO123" s="408"/>
      <c r="BP123" s="408"/>
    </row>
    <row r="124" spans="1:68" ht="16.5" customHeight="1" thickBot="1">
      <c r="A124" s="394"/>
      <c r="B124" s="2517"/>
      <c r="C124" s="2744"/>
      <c r="D124" s="2747"/>
      <c r="E124" s="2768"/>
      <c r="F124" s="2693"/>
      <c r="G124" s="2747"/>
      <c r="H124" s="2747"/>
      <c r="I124" s="2732"/>
      <c r="J124" s="2747"/>
      <c r="K124" s="2803"/>
      <c r="L124" s="2653"/>
      <c r="M124" s="2655"/>
      <c r="N124" s="2655"/>
      <c r="O124" s="999" t="s">
        <v>129</v>
      </c>
      <c r="P124" s="900">
        <f>+'DG-PV Organic'!AI8</f>
        <v>27686000</v>
      </c>
      <c r="Q124" s="901">
        <f>+P124*0.1</f>
        <v>2768600</v>
      </c>
      <c r="R124" s="901">
        <f>SUM(P124:Q124)</f>
        <v>30454600</v>
      </c>
      <c r="S124" s="411" t="b">
        <f t="shared" si="204"/>
        <v>1</v>
      </c>
      <c r="T124" s="936"/>
      <c r="U124" s="995"/>
      <c r="V124" s="936">
        <f t="shared" si="205"/>
        <v>0</v>
      </c>
      <c r="W124" s="937"/>
      <c r="X124" s="937"/>
      <c r="Y124" s="937"/>
      <c r="Z124" s="937">
        <f t="shared" ref="Z124:Z127" si="231">+IFERROR(AA124/$R124,"-")</f>
        <v>0</v>
      </c>
      <c r="AA124" s="937"/>
      <c r="AB124" s="938"/>
      <c r="AC124" s="937">
        <f t="shared" si="145"/>
        <v>0</v>
      </c>
      <c r="AD124" s="937"/>
      <c r="AE124" s="938"/>
      <c r="AF124" s="937">
        <f t="shared" si="146"/>
        <v>0</v>
      </c>
      <c r="AG124" s="937"/>
      <c r="AH124" s="938"/>
      <c r="AI124" s="937" t="str">
        <f>+IFERROR(AJ124/#REF!,"-")</f>
        <v>-</v>
      </c>
      <c r="AJ124" s="937"/>
      <c r="AK124" s="937"/>
      <c r="AL124" s="937"/>
      <c r="AM124" s="937"/>
      <c r="AN124" s="937"/>
      <c r="AO124" s="939">
        <f t="shared" si="206"/>
        <v>30454600</v>
      </c>
      <c r="AP124" s="939">
        <f>+AS124+AU124</f>
        <v>30454600</v>
      </c>
      <c r="AQ124" s="940"/>
      <c r="AR124" s="407"/>
      <c r="AS124" s="947">
        <f>+$AO124*'ref.지급기준 (2)'!G173</f>
        <v>30454600</v>
      </c>
      <c r="AT124" s="928">
        <f t="shared" si="207"/>
        <v>0</v>
      </c>
      <c r="AU124" s="928">
        <f>+$AO124*'ref.지급기준 (2)'!I173</f>
        <v>0</v>
      </c>
      <c r="AV124" s="928">
        <f t="shared" si="143"/>
        <v>0</v>
      </c>
      <c r="AW124" s="928">
        <f>+$AO124*'ref.지급기준 (2)'!K173</f>
        <v>0</v>
      </c>
      <c r="AX124" s="928"/>
      <c r="AY124" s="928">
        <f>+$AO124*'ref.지급기준 (2)'!M173</f>
        <v>0</v>
      </c>
      <c r="AZ124" s="928"/>
      <c r="BA124" s="928">
        <f>+$AO124*'ref.지급기준 (2)'!O173</f>
        <v>0</v>
      </c>
      <c r="BB124" s="997"/>
      <c r="BC124" s="2720"/>
      <c r="BD124" s="393"/>
      <c r="BE124" s="393"/>
      <c r="BF124" s="393"/>
      <c r="BG124" s="393"/>
      <c r="BH124" s="393"/>
      <c r="BI124" s="393"/>
      <c r="BJ124" s="393"/>
      <c r="BK124" s="393"/>
      <c r="BL124" s="393"/>
      <c r="BM124" s="393"/>
      <c r="BN124" s="393"/>
      <c r="BO124" s="408"/>
      <c r="BP124" s="408"/>
    </row>
    <row r="125" spans="1:68" ht="16.5" customHeight="1" outlineLevel="1">
      <c r="A125" s="394"/>
      <c r="B125" s="2517"/>
      <c r="C125" s="2744"/>
      <c r="D125" s="2747"/>
      <c r="E125" s="2768"/>
      <c r="F125" s="2693"/>
      <c r="G125" s="2747"/>
      <c r="H125" s="2747"/>
      <c r="I125" s="2732"/>
      <c r="J125" s="2747"/>
      <c r="K125" s="2649"/>
      <c r="L125" s="2652">
        <f>+'DG-PV Organic'!H13</f>
        <v>9.0700000000000003E-2</v>
      </c>
      <c r="M125" s="2654">
        <f>+'DG-PV Organic'!J13</f>
        <v>9.2999999999999999E-2</v>
      </c>
      <c r="N125" s="2654" t="s">
        <v>1213</v>
      </c>
      <c r="O125" s="891" t="s">
        <v>125</v>
      </c>
      <c r="P125" s="902">
        <f>+'ref.지급기준 (2)'!F179*'ref.지급기준 (2)'!D179/'ref.지급기준 (2)'!$Q$2</f>
        <v>335160000</v>
      </c>
      <c r="Q125" s="902">
        <f>+P125*10%</f>
        <v>33516000</v>
      </c>
      <c r="R125" s="903">
        <f t="shared" ref="R125:R128" si="232">SUM(P125:Q125)</f>
        <v>368676000</v>
      </c>
      <c r="S125" s="874" t="b">
        <f t="shared" si="204"/>
        <v>1</v>
      </c>
      <c r="T125" s="906">
        <f>+IFERROR(U125/R125,"-")</f>
        <v>0</v>
      </c>
      <c r="U125" s="907">
        <f>+IFERROR(X125+AA125+AD125+AG125+AJ125+AM125,"-")</f>
        <v>0</v>
      </c>
      <c r="V125" s="877">
        <f t="shared" si="205"/>
        <v>0</v>
      </c>
      <c r="W125" s="883">
        <f>AE126</f>
        <v>45808</v>
      </c>
      <c r="X125" s="876"/>
      <c r="Y125" s="877"/>
      <c r="Z125" s="877">
        <f t="shared" si="231"/>
        <v>0</v>
      </c>
      <c r="AA125" s="877"/>
      <c r="AB125" s="883">
        <f>+EDATE(W125,1)</f>
        <v>45838</v>
      </c>
      <c r="AC125" s="877">
        <f t="shared" ref="AC125:AC129" si="233">+IFERROR(AD125/$R125,"-")</f>
        <v>0</v>
      </c>
      <c r="AD125" s="877"/>
      <c r="AE125" s="883">
        <f t="shared" ref="AE125" si="234">+EDATE(AB125,3)</f>
        <v>45930</v>
      </c>
      <c r="AF125" s="877">
        <f t="shared" ref="AF125:AF129" si="235">+IFERROR(AG125/$R125,"-")</f>
        <v>0</v>
      </c>
      <c r="AG125" s="877"/>
      <c r="AH125" s="883">
        <f t="shared" ref="AH125" si="236">+EDATE(AB125,4)</f>
        <v>45960</v>
      </c>
      <c r="AI125" s="877" t="str">
        <f>+IFERROR(AJ125/#REF!,"-")</f>
        <v>-</v>
      </c>
      <c r="AJ125" s="877"/>
      <c r="AK125" s="883">
        <f>+EDATE(AB125,6)+1</f>
        <v>46022</v>
      </c>
      <c r="AL125" s="877" t="str">
        <f>+IFERROR(AM125/#REF!,"-")</f>
        <v>-</v>
      </c>
      <c r="AM125" s="877"/>
      <c r="AN125" s="877"/>
      <c r="AO125" s="884">
        <f t="shared" si="206"/>
        <v>368676000</v>
      </c>
      <c r="AP125" s="884">
        <f>+AO125*'ref.지급기준 (2)'!G179</f>
        <v>36867600</v>
      </c>
      <c r="AQ125" s="885">
        <f>+W125</f>
        <v>45808</v>
      </c>
      <c r="AR125" s="407"/>
      <c r="AS125" s="945">
        <f>+$AO125*'ref.지급기준 (2)'!G179</f>
        <v>36867600</v>
      </c>
      <c r="AT125" s="884">
        <f t="shared" si="207"/>
        <v>0</v>
      </c>
      <c r="AU125" s="884">
        <f>+$AO125*'ref.지급기준 (2)'!I179</f>
        <v>73735200</v>
      </c>
      <c r="AV125" s="884">
        <f t="shared" ref="AV125:AV129" si="237">+AA125</f>
        <v>0</v>
      </c>
      <c r="AW125" s="884">
        <f>+$AO125*'ref.지급기준 (2)'!K179</f>
        <v>147470400</v>
      </c>
      <c r="AX125" s="884"/>
      <c r="AY125" s="884">
        <f>+$AO125*'ref.지급기준 (2)'!M179</f>
        <v>92169000</v>
      </c>
      <c r="AZ125" s="884"/>
      <c r="BA125" s="884">
        <f>+$AO125*'ref.지급기준 (2)'!O179</f>
        <v>18433800</v>
      </c>
      <c r="BB125" s="890"/>
      <c r="BC125" s="2718" t="s">
        <v>1292</v>
      </c>
      <c r="BD125" s="393"/>
      <c r="BE125" s="393" t="b">
        <f>+(BA125+AY125+AW125+AU125+AS125)=R125</f>
        <v>1</v>
      </c>
      <c r="BF125" s="393"/>
      <c r="BG125" s="393"/>
      <c r="BH125" s="393"/>
      <c r="BI125" s="393"/>
      <c r="BJ125" s="393"/>
      <c r="BK125" s="393"/>
      <c r="BL125" s="393"/>
      <c r="BM125" s="393"/>
      <c r="BN125" s="393"/>
      <c r="BO125" s="408"/>
      <c r="BP125" s="408"/>
    </row>
    <row r="126" spans="1:68" ht="16.5" customHeight="1" outlineLevel="1">
      <c r="A126" s="394"/>
      <c r="B126" s="2517"/>
      <c r="C126" s="2744"/>
      <c r="D126" s="2747"/>
      <c r="E126" s="2768"/>
      <c r="F126" s="2693"/>
      <c r="G126" s="2747"/>
      <c r="H126" s="2747"/>
      <c r="I126" s="2732"/>
      <c r="J126" s="2747"/>
      <c r="K126" s="2649"/>
      <c r="L126" s="2652"/>
      <c r="M126" s="2654"/>
      <c r="N126" s="2654"/>
      <c r="O126" s="875" t="s">
        <v>126</v>
      </c>
      <c r="P126" s="896">
        <f>+'ref.지급기준 (2)'!F180*'ref.지급기준 (2)'!D180/'ref.지급기준 (2)'!$Q$2</f>
        <v>95760000</v>
      </c>
      <c r="Q126" s="896">
        <f>+P126*10%</f>
        <v>9576000</v>
      </c>
      <c r="R126" s="897">
        <f t="shared" si="232"/>
        <v>105336000</v>
      </c>
      <c r="S126" s="874" t="b">
        <f t="shared" si="204"/>
        <v>1</v>
      </c>
      <c r="T126" s="908">
        <f>+IFERROR(U126/R126,"-")</f>
        <v>0</v>
      </c>
      <c r="U126" s="909">
        <f>+IFERROR(X126+AA126+AD126+AG126+AJ126+AM126,"-")</f>
        <v>0</v>
      </c>
      <c r="V126" s="877">
        <f t="shared" si="205"/>
        <v>0</v>
      </c>
      <c r="W126" s="887">
        <v>45631</v>
      </c>
      <c r="X126" s="1484"/>
      <c r="Y126" s="877"/>
      <c r="Z126" s="877">
        <f t="shared" si="231"/>
        <v>0</v>
      </c>
      <c r="AA126" s="886"/>
      <c r="AB126" s="883">
        <v>45777</v>
      </c>
      <c r="AC126" s="877">
        <f t="shared" si="233"/>
        <v>0</v>
      </c>
      <c r="AD126" s="877"/>
      <c r="AE126" s="883">
        <f>+EDATE(AB126,1)+1</f>
        <v>45808</v>
      </c>
      <c r="AF126" s="877">
        <f t="shared" si="235"/>
        <v>0</v>
      </c>
      <c r="AG126" s="877"/>
      <c r="AH126" s="883">
        <v>46022</v>
      </c>
      <c r="AI126" s="877" t="str">
        <f>+IFERROR(AJ126/#REF!,"-")</f>
        <v>-</v>
      </c>
      <c r="AJ126" s="877"/>
      <c r="AK126" s="877"/>
      <c r="AL126" s="877" t="str">
        <f>+IFERROR(AM126/#REF!,"-")</f>
        <v>-</v>
      </c>
      <c r="AM126" s="877"/>
      <c r="AN126" s="877"/>
      <c r="AO126" s="884">
        <f t="shared" si="206"/>
        <v>105336000</v>
      </c>
      <c r="AP126" s="884">
        <f>+AO126*'ref.지급기준 (2)'!G180</f>
        <v>21067200</v>
      </c>
      <c r="AQ126" s="885">
        <f>+AB126</f>
        <v>45777</v>
      </c>
      <c r="AR126" s="407"/>
      <c r="AS126" s="945">
        <f>+$AO126*'ref.지급기준 (2)'!G180</f>
        <v>21067200</v>
      </c>
      <c r="AT126" s="884">
        <f t="shared" si="207"/>
        <v>0</v>
      </c>
      <c r="AU126" s="884">
        <f>+$AO126*'ref.지급기준 (2)'!I180</f>
        <v>21067200</v>
      </c>
      <c r="AV126" s="884">
        <f t="shared" si="237"/>
        <v>0</v>
      </c>
      <c r="AW126" s="884">
        <f>+$AO126*'ref.지급기준 (2)'!K180</f>
        <v>52668000</v>
      </c>
      <c r="AX126" s="884"/>
      <c r="AY126" s="884">
        <f>+$AO126*'ref.지급기준 (2)'!M180</f>
        <v>10533600</v>
      </c>
      <c r="AZ126" s="884"/>
      <c r="BA126" s="884">
        <f>+$AO126*'ref.지급기준 (2)'!O180</f>
        <v>0</v>
      </c>
      <c r="BB126" s="890"/>
      <c r="BC126" s="2719"/>
      <c r="BD126" s="393"/>
      <c r="BE126" s="393" t="b">
        <f>+(BA126+AY126+AW126+AU126+AS126)=R126</f>
        <v>1</v>
      </c>
      <c r="BF126" s="393"/>
      <c r="BG126" s="393"/>
      <c r="BH126" s="393"/>
      <c r="BI126" s="393"/>
      <c r="BJ126" s="393"/>
      <c r="BK126" s="393"/>
      <c r="BL126" s="393"/>
      <c r="BM126" s="393"/>
      <c r="BN126" s="393"/>
      <c r="BO126" s="408"/>
      <c r="BP126" s="408"/>
    </row>
    <row r="127" spans="1:68" ht="16.5" customHeight="1" outlineLevel="1">
      <c r="A127" s="394"/>
      <c r="B127" s="2517"/>
      <c r="C127" s="2744"/>
      <c r="D127" s="2747"/>
      <c r="E127" s="2768"/>
      <c r="F127" s="2693"/>
      <c r="G127" s="2747"/>
      <c r="H127" s="2747"/>
      <c r="I127" s="2732"/>
      <c r="J127" s="2747"/>
      <c r="K127" s="2649"/>
      <c r="L127" s="2652"/>
      <c r="M127" s="2654"/>
      <c r="N127" s="2654"/>
      <c r="O127" s="875" t="s">
        <v>127</v>
      </c>
      <c r="P127" s="896">
        <f>+'ref.지급기준 (2)'!F181*'ref.지급기준 (2)'!D181/'ref.지급기준 (2)'!$Q$2</f>
        <v>0</v>
      </c>
      <c r="Q127" s="896"/>
      <c r="R127" s="897">
        <f t="shared" si="232"/>
        <v>0</v>
      </c>
      <c r="S127" s="874" t="b">
        <f t="shared" si="204"/>
        <v>1</v>
      </c>
      <c r="T127" s="908" t="str">
        <f>+IFERROR(U127/R127,"-")</f>
        <v>-</v>
      </c>
      <c r="U127" s="909">
        <f>+IFERROR(X127+AA127+AD127+AG127+AJ127+AM127,"-")</f>
        <v>0</v>
      </c>
      <c r="V127" s="877" t="str">
        <f t="shared" si="205"/>
        <v>-</v>
      </c>
      <c r="W127" s="887"/>
      <c r="X127" s="1484"/>
      <c r="Y127" s="877"/>
      <c r="Z127" s="877" t="str">
        <f t="shared" si="231"/>
        <v>-</v>
      </c>
      <c r="AA127" s="877"/>
      <c r="AB127" s="883"/>
      <c r="AC127" s="877" t="str">
        <f t="shared" si="233"/>
        <v>-</v>
      </c>
      <c r="AD127" s="877"/>
      <c r="AE127" s="883"/>
      <c r="AF127" s="877" t="str">
        <f t="shared" si="235"/>
        <v>-</v>
      </c>
      <c r="AG127" s="877"/>
      <c r="AH127" s="883"/>
      <c r="AI127" s="877" t="str">
        <f>+IFERROR(AJ127/#REF!,"-")</f>
        <v>-</v>
      </c>
      <c r="AJ127" s="877"/>
      <c r="AK127" s="877"/>
      <c r="AL127" s="877" t="str">
        <f>+IFERROR(AM127/#REF!,"-")</f>
        <v>-</v>
      </c>
      <c r="AM127" s="877"/>
      <c r="AN127" s="877"/>
      <c r="AO127" s="884">
        <f t="shared" si="206"/>
        <v>0</v>
      </c>
      <c r="AP127" s="884">
        <f>+AO127*'ref.지급기준 (2)'!G181</f>
        <v>0</v>
      </c>
      <c r="AQ127" s="885"/>
      <c r="AR127" s="407"/>
      <c r="AS127" s="945">
        <f>+$AO127*'ref.지급기준 (2)'!G181</f>
        <v>0</v>
      </c>
      <c r="AT127" s="884">
        <f t="shared" si="207"/>
        <v>0</v>
      </c>
      <c r="AU127" s="884">
        <f>+$AO127*'ref.지급기준 (2)'!I181</f>
        <v>0</v>
      </c>
      <c r="AV127" s="884">
        <f t="shared" si="237"/>
        <v>0</v>
      </c>
      <c r="AW127" s="884">
        <f>+$AO127*'ref.지급기준 (2)'!K181</f>
        <v>0</v>
      </c>
      <c r="AX127" s="884"/>
      <c r="AY127" s="884">
        <f>+$AO127*'ref.지급기준 (2)'!M181</f>
        <v>0</v>
      </c>
      <c r="AZ127" s="884"/>
      <c r="BA127" s="884">
        <f>+$AO127*'ref.지급기준 (2)'!O181</f>
        <v>0</v>
      </c>
      <c r="BB127" s="890"/>
      <c r="BC127" s="2719"/>
      <c r="BD127" s="393"/>
      <c r="BE127" s="393" t="b">
        <f>+(BA127+AY127+AW127+AU127+AS127)=R127</f>
        <v>1</v>
      </c>
      <c r="BF127" s="393"/>
      <c r="BG127" s="393"/>
      <c r="BH127" s="393"/>
      <c r="BI127" s="393"/>
      <c r="BJ127" s="393"/>
      <c r="BK127" s="393"/>
      <c r="BL127" s="393"/>
      <c r="BM127" s="393"/>
      <c r="BN127" s="393"/>
      <c r="BO127" s="408"/>
      <c r="BP127" s="408"/>
    </row>
    <row r="128" spans="1:68" ht="16.5" customHeight="1" outlineLevel="1">
      <c r="A128" s="394"/>
      <c r="B128" s="2517"/>
      <c r="C128" s="2744"/>
      <c r="D128" s="2747"/>
      <c r="E128" s="2768"/>
      <c r="F128" s="2693"/>
      <c r="G128" s="2747"/>
      <c r="H128" s="2747"/>
      <c r="I128" s="2732"/>
      <c r="J128" s="2747"/>
      <c r="K128" s="2649"/>
      <c r="L128" s="2652"/>
      <c r="M128" s="2654"/>
      <c r="N128" s="2654"/>
      <c r="O128" s="875" t="s">
        <v>128</v>
      </c>
      <c r="P128" s="896">
        <f>+'ref.지급기준 (2)'!F182*'ref.지급기준 (2)'!D182/'ref.지급기준 (2)'!$Q$2</f>
        <v>63840000</v>
      </c>
      <c r="Q128" s="896">
        <f t="shared" ref="Q128" si="238">+P128*10%</f>
        <v>6384000</v>
      </c>
      <c r="R128" s="897">
        <f t="shared" si="232"/>
        <v>70224000</v>
      </c>
      <c r="S128" s="874" t="b">
        <f t="shared" si="204"/>
        <v>1</v>
      </c>
      <c r="T128" s="908">
        <f>+IFERROR(U128/R128,"-")</f>
        <v>0</v>
      </c>
      <c r="U128" s="909">
        <f>+IFERROR(X128+AA128+AD128+AG128+AJ128+AM128,"-")</f>
        <v>0</v>
      </c>
      <c r="V128" s="877">
        <f t="shared" si="205"/>
        <v>0</v>
      </c>
      <c r="W128" s="883">
        <v>45631</v>
      </c>
      <c r="X128" s="1484"/>
      <c r="Y128" s="877"/>
      <c r="Z128" s="877">
        <v>0</v>
      </c>
      <c r="AA128" s="877"/>
      <c r="AB128" s="883">
        <f>AB126</f>
        <v>45777</v>
      </c>
      <c r="AC128" s="877">
        <f t="shared" si="233"/>
        <v>0</v>
      </c>
      <c r="AD128" s="877"/>
      <c r="AE128" s="883">
        <f>AE126</f>
        <v>45808</v>
      </c>
      <c r="AF128" s="877">
        <f t="shared" si="235"/>
        <v>0</v>
      </c>
      <c r="AG128" s="877"/>
      <c r="AH128" s="883">
        <f>AH126</f>
        <v>46022</v>
      </c>
      <c r="AI128" s="877" t="str">
        <f>+IFERROR(AJ128/#REF!,"-")</f>
        <v>-</v>
      </c>
      <c r="AJ128" s="877"/>
      <c r="AK128" s="877"/>
      <c r="AL128" s="877" t="str">
        <f>+IFERROR(AM128/#REF!,"-")</f>
        <v>-</v>
      </c>
      <c r="AM128" s="877"/>
      <c r="AN128" s="877"/>
      <c r="AO128" s="884">
        <f t="shared" si="206"/>
        <v>70224000</v>
      </c>
      <c r="AP128" s="884">
        <f>+AO128*'ref.지급기준 (2)'!G182</f>
        <v>14044800</v>
      </c>
      <c r="AQ128" s="885">
        <f>+AB128</f>
        <v>45777</v>
      </c>
      <c r="AR128" s="407"/>
      <c r="AS128" s="945">
        <f>+$AO128*'ref.지급기준 (2)'!G182</f>
        <v>14044800</v>
      </c>
      <c r="AT128" s="884">
        <f t="shared" si="207"/>
        <v>0</v>
      </c>
      <c r="AU128" s="884">
        <f>+$AO128*'ref.지급기준 (2)'!I182</f>
        <v>14044800</v>
      </c>
      <c r="AV128" s="884">
        <f t="shared" si="237"/>
        <v>0</v>
      </c>
      <c r="AW128" s="884">
        <f>+$AO128*'ref.지급기준 (2)'!K182</f>
        <v>35112000</v>
      </c>
      <c r="AX128" s="884"/>
      <c r="AY128" s="884">
        <f>+$AO128*'ref.지급기준 (2)'!M182</f>
        <v>7022400</v>
      </c>
      <c r="AZ128" s="884"/>
      <c r="BA128" s="884">
        <f>+$AO128*'ref.지급기준 (2)'!O182</f>
        <v>0</v>
      </c>
      <c r="BB128" s="890"/>
      <c r="BC128" s="2719"/>
      <c r="BD128" s="393"/>
      <c r="BE128" s="393" t="b">
        <f>+(BA128+AY128+AW128+AU128+AS128)=R128</f>
        <v>1</v>
      </c>
      <c r="BF128" s="393"/>
      <c r="BG128" s="393"/>
      <c r="BH128" s="393"/>
      <c r="BI128" s="393"/>
      <c r="BJ128" s="393"/>
      <c r="BK128" s="393"/>
      <c r="BL128" s="393"/>
      <c r="BM128" s="393"/>
      <c r="BN128" s="393"/>
      <c r="BO128" s="408"/>
      <c r="BP128" s="408"/>
    </row>
    <row r="129" spans="1:68" ht="16.5" customHeight="1" outlineLevel="1" thickBot="1">
      <c r="A129" s="394"/>
      <c r="B129" s="2623"/>
      <c r="C129" s="2758"/>
      <c r="D129" s="2737"/>
      <c r="E129" s="2759"/>
      <c r="F129" s="2762"/>
      <c r="G129" s="2737"/>
      <c r="H129" s="2737"/>
      <c r="I129" s="2630"/>
      <c r="J129" s="2737"/>
      <c r="K129" s="2649"/>
      <c r="L129" s="2652"/>
      <c r="M129" s="2654"/>
      <c r="N129" s="2654"/>
      <c r="O129" s="892" t="s">
        <v>129</v>
      </c>
      <c r="P129" s="898">
        <f>+'DG-PV Organic'!AI13</f>
        <v>613060000</v>
      </c>
      <c r="Q129" s="899">
        <f>+P129*0.1</f>
        <v>61306000</v>
      </c>
      <c r="R129" s="899">
        <f>SUM(P129:Q129)</f>
        <v>674366000</v>
      </c>
      <c r="S129" s="874" t="b">
        <f t="shared" si="204"/>
        <v>1</v>
      </c>
      <c r="T129" s="1270"/>
      <c r="U129" s="1271"/>
      <c r="V129" s="1270">
        <f t="shared" si="205"/>
        <v>0</v>
      </c>
      <c r="W129" s="1266"/>
      <c r="X129" s="1266"/>
      <c r="Y129" s="1266"/>
      <c r="Z129" s="1266">
        <f t="shared" ref="Z129" si="239">+IFERROR(AA129/$R129,"-")</f>
        <v>0</v>
      </c>
      <c r="AA129" s="1266"/>
      <c r="AB129" s="1267"/>
      <c r="AC129" s="1266">
        <f t="shared" si="233"/>
        <v>0</v>
      </c>
      <c r="AD129" s="1266"/>
      <c r="AE129" s="1267"/>
      <c r="AF129" s="1266">
        <f t="shared" si="235"/>
        <v>0</v>
      </c>
      <c r="AG129" s="1266"/>
      <c r="AH129" s="1267"/>
      <c r="AI129" s="1266" t="str">
        <f>+IFERROR(AJ129/#REF!,"-")</f>
        <v>-</v>
      </c>
      <c r="AJ129" s="1266"/>
      <c r="AK129" s="1266"/>
      <c r="AL129" s="1266"/>
      <c r="AM129" s="1266"/>
      <c r="AN129" s="1266"/>
      <c r="AO129" s="1268">
        <f t="shared" si="206"/>
        <v>674366000</v>
      </c>
      <c r="AP129" s="1268">
        <f>+AS129+AU129</f>
        <v>674366000</v>
      </c>
      <c r="AQ129" s="1269"/>
      <c r="AR129" s="407"/>
      <c r="AS129" s="947">
        <f>+$AO129*'ref.지급기준 (2)'!G178</f>
        <v>674366000</v>
      </c>
      <c r="AT129" s="928">
        <f t="shared" si="207"/>
        <v>0</v>
      </c>
      <c r="AU129" s="928">
        <f>+$AO129*'ref.지급기준 (2)'!I178</f>
        <v>0</v>
      </c>
      <c r="AV129" s="928">
        <f t="shared" si="237"/>
        <v>0</v>
      </c>
      <c r="AW129" s="928">
        <f>+$AO129*'ref.지급기준 (2)'!K178</f>
        <v>0</v>
      </c>
      <c r="AX129" s="928"/>
      <c r="AY129" s="928">
        <f>+$AO129*'ref.지급기준 (2)'!M178</f>
        <v>0</v>
      </c>
      <c r="AZ129" s="928"/>
      <c r="BA129" s="928">
        <f>+$AO129*'ref.지급기준 (2)'!O178</f>
        <v>0</v>
      </c>
      <c r="BB129" s="997"/>
      <c r="BC129" s="2720"/>
      <c r="BD129" s="393"/>
      <c r="BE129" s="393"/>
      <c r="BF129" s="393"/>
      <c r="BG129" s="393"/>
      <c r="BH129" s="393"/>
      <c r="BI129" s="393"/>
      <c r="BJ129" s="393"/>
      <c r="BK129" s="393"/>
      <c r="BL129" s="393"/>
      <c r="BM129" s="393"/>
      <c r="BN129" s="393"/>
      <c r="BO129" s="408"/>
      <c r="BP129" s="408"/>
    </row>
    <row r="130" spans="1:68" ht="16.5" customHeight="1">
      <c r="A130" s="929"/>
      <c r="B130" s="2740">
        <v>5</v>
      </c>
      <c r="C130" s="2743" t="s">
        <v>1297</v>
      </c>
      <c r="D130" s="2746" t="s">
        <v>1298</v>
      </c>
      <c r="E130" s="2746" t="s">
        <v>1299</v>
      </c>
      <c r="F130" s="2749" t="s">
        <v>1300</v>
      </c>
      <c r="G130" s="2746">
        <f>SUBTOTAL(103,I130:I159)</f>
        <v>5</v>
      </c>
      <c r="H130" s="2746" t="s">
        <v>1249</v>
      </c>
      <c r="I130" s="2798" t="s">
        <v>1301</v>
      </c>
      <c r="J130" s="2746" t="s">
        <v>1302</v>
      </c>
      <c r="K130" s="2795">
        <f>+'ref.지급기준 (2)'!D179</f>
        <v>319.2</v>
      </c>
      <c r="L130" s="2796">
        <f>+'DG-PV Organic'!H3</f>
        <v>8.9700000000000002E-2</v>
      </c>
      <c r="M130" s="2794">
        <f>+'DG-PV Organic'!J3</f>
        <v>9.2999999999999999E-2</v>
      </c>
      <c r="N130" s="2794" t="s">
        <v>1213</v>
      </c>
      <c r="O130" s="1522" t="s">
        <v>125</v>
      </c>
      <c r="P130" s="1523">
        <f>+'DG-PV Organic'!AL3</f>
        <v>335160000</v>
      </c>
      <c r="Q130" s="1523">
        <f>+P130*10%</f>
        <v>33516000</v>
      </c>
      <c r="R130" s="1524">
        <f t="shared" si="140"/>
        <v>368676000</v>
      </c>
      <c r="S130" s="1525" t="b">
        <f t="shared" si="204"/>
        <v>1</v>
      </c>
      <c r="T130" s="1526">
        <f>+IFERROR(U130/R130,"-")</f>
        <v>0</v>
      </c>
      <c r="U130" s="1527">
        <f>+IFERROR(X130+AA130+AD130+AG130+AJ130+AM130,"-")</f>
        <v>0</v>
      </c>
      <c r="V130" s="1528">
        <f t="shared" si="205"/>
        <v>0</v>
      </c>
      <c r="W130" s="1530">
        <f>AE131</f>
        <v>45777</v>
      </c>
      <c r="X130" s="1529"/>
      <c r="Y130" s="1528"/>
      <c r="Z130" s="1528">
        <f t="shared" ref="Z130" si="240">+IFERROR(AA130/$R130,"-")</f>
        <v>0</v>
      </c>
      <c r="AA130" s="1528"/>
      <c r="AB130" s="1531">
        <f>+EDATE(W130,1)</f>
        <v>45807</v>
      </c>
      <c r="AC130" s="1528">
        <f t="shared" si="145"/>
        <v>0</v>
      </c>
      <c r="AD130" s="1528"/>
      <c r="AE130" s="1531">
        <f t="shared" ref="AE130" si="241">+EDATE(AB130,3)</f>
        <v>45899</v>
      </c>
      <c r="AF130" s="1528">
        <f t="shared" si="146"/>
        <v>0</v>
      </c>
      <c r="AG130" s="1528"/>
      <c r="AH130" s="1531">
        <f t="shared" ref="AH130" si="242">+EDATE(AB130,4)</f>
        <v>45930</v>
      </c>
      <c r="AI130" s="1528" t="str">
        <f>+IFERROR(AJ130/#REF!,"-")</f>
        <v>-</v>
      </c>
      <c r="AJ130" s="1528"/>
      <c r="AK130" s="1531">
        <f t="shared" ref="AK130" si="243">+EDATE(AB130,6)</f>
        <v>45991</v>
      </c>
      <c r="AL130" s="1528" t="str">
        <f>+IFERROR(AM130/#REF!,"-")</f>
        <v>-</v>
      </c>
      <c r="AM130" s="1528"/>
      <c r="AN130" s="1528"/>
      <c r="AO130" s="1532">
        <f t="shared" si="206"/>
        <v>368676000</v>
      </c>
      <c r="AP130" s="1532">
        <f>+AO130*'ref.지급기준 (2)'!G179</f>
        <v>36867600</v>
      </c>
      <c r="AQ130" s="1533">
        <f>+W130</f>
        <v>45777</v>
      </c>
      <c r="AR130" s="407"/>
      <c r="AS130" s="945">
        <f>+$AO130*'ref.지급기준 (2)'!G179</f>
        <v>36867600</v>
      </c>
      <c r="AT130" s="884">
        <f t="shared" si="207"/>
        <v>0</v>
      </c>
      <c r="AU130" s="884">
        <f>+$AO130*'ref.지급기준 (2)'!I179</f>
        <v>73735200</v>
      </c>
      <c r="AV130" s="884">
        <f t="shared" si="143"/>
        <v>0</v>
      </c>
      <c r="AW130" s="884">
        <f>+$AO130*'ref.지급기준 (2)'!K179</f>
        <v>147470400</v>
      </c>
      <c r="AX130" s="884"/>
      <c r="AY130" s="884">
        <f>+$AO130*'ref.지급기준 (2)'!M179</f>
        <v>92169000</v>
      </c>
      <c r="AZ130" s="884"/>
      <c r="BA130" s="884">
        <f>+$AO130*'ref.지급기준 (2)'!O179</f>
        <v>18433800</v>
      </c>
      <c r="BB130" s="890"/>
      <c r="BC130" s="2718" t="s">
        <v>1292</v>
      </c>
      <c r="BD130" s="393"/>
      <c r="BE130" s="393" t="b">
        <f>+(BA130+AY130+AW130+AU130+AS130)=R130</f>
        <v>1</v>
      </c>
      <c r="BF130" s="393"/>
      <c r="BG130" s="393"/>
      <c r="BH130" s="393"/>
      <c r="BI130" s="393"/>
      <c r="BJ130" s="393"/>
      <c r="BK130" s="393"/>
      <c r="BL130" s="393"/>
      <c r="BM130" s="393"/>
      <c r="BN130" s="393"/>
      <c r="BO130" s="408"/>
      <c r="BP130" s="408"/>
    </row>
    <row r="131" spans="1:68">
      <c r="A131" s="929"/>
      <c r="B131" s="2741"/>
      <c r="C131" s="2744"/>
      <c r="D131" s="2747"/>
      <c r="E131" s="2747"/>
      <c r="F131" s="2693"/>
      <c r="G131" s="2747"/>
      <c r="H131" s="2747"/>
      <c r="I131" s="2732"/>
      <c r="J131" s="2747"/>
      <c r="K131" s="2649"/>
      <c r="L131" s="2797"/>
      <c r="M131" s="2654"/>
      <c r="N131" s="2654"/>
      <c r="O131" s="875" t="s">
        <v>126</v>
      </c>
      <c r="P131" s="896">
        <f>+'DG-PV Organic'!AK3</f>
        <v>95760000</v>
      </c>
      <c r="Q131" s="896">
        <f>+P131*10%</f>
        <v>9576000</v>
      </c>
      <c r="R131" s="897">
        <f t="shared" si="140"/>
        <v>105336000</v>
      </c>
      <c r="S131" s="874" t="b">
        <f t="shared" si="204"/>
        <v>1</v>
      </c>
      <c r="T131" s="908">
        <f>+IFERROR(U131/R131,"-")</f>
        <v>0.4</v>
      </c>
      <c r="U131" s="909">
        <f>+IFERROR(X131+AA131+AD131+AG131+AJ131+AM131,"-")</f>
        <v>42134400</v>
      </c>
      <c r="V131" s="879">
        <f t="shared" si="205"/>
        <v>0.2</v>
      </c>
      <c r="W131" s="889">
        <v>45650</v>
      </c>
      <c r="X131" s="880">
        <v>21067200</v>
      </c>
      <c r="Y131" s="879"/>
      <c r="Z131" s="1462">
        <f t="shared" si="144"/>
        <v>0.2</v>
      </c>
      <c r="AA131" s="1463">
        <v>21067200</v>
      </c>
      <c r="AB131" s="1464">
        <v>45737</v>
      </c>
      <c r="AC131" s="877">
        <f t="shared" si="145"/>
        <v>0</v>
      </c>
      <c r="AD131" s="877"/>
      <c r="AE131" s="883">
        <v>45777</v>
      </c>
      <c r="AF131" s="877">
        <f t="shared" si="146"/>
        <v>0</v>
      </c>
      <c r="AG131" s="877"/>
      <c r="AH131" s="883">
        <v>46022</v>
      </c>
      <c r="AI131" s="877" t="str">
        <f>+IFERROR(AJ131/#REF!,"-")</f>
        <v>-</v>
      </c>
      <c r="AJ131" s="877"/>
      <c r="AK131" s="877"/>
      <c r="AL131" s="877" t="str">
        <f>+IFERROR(AM131/#REF!,"-")</f>
        <v>-</v>
      </c>
      <c r="AM131" s="877"/>
      <c r="AN131" s="877"/>
      <c r="AO131" s="884">
        <f t="shared" si="206"/>
        <v>105336000</v>
      </c>
      <c r="AP131" s="884">
        <f>+AO131*'ref.지급기준 (2)'!G180</f>
        <v>21067200</v>
      </c>
      <c r="AQ131" s="1534">
        <f>+AB131</f>
        <v>45737</v>
      </c>
      <c r="AR131" s="407"/>
      <c r="AS131" s="945">
        <f>+$AO131*'ref.지급기준 (2)'!G180</f>
        <v>21067200</v>
      </c>
      <c r="AT131" s="884">
        <f t="shared" si="207"/>
        <v>21067200</v>
      </c>
      <c r="AU131" s="884">
        <f>+$AO131*'ref.지급기준 (2)'!I180</f>
        <v>21067200</v>
      </c>
      <c r="AV131" s="884">
        <f t="shared" si="143"/>
        <v>21067200</v>
      </c>
      <c r="AW131" s="884">
        <f>+$AO131*'ref.지급기준 (2)'!K180</f>
        <v>52668000</v>
      </c>
      <c r="AX131" s="884"/>
      <c r="AY131" s="884">
        <f>+$AO131*'ref.지급기준 (2)'!M180</f>
        <v>10533600</v>
      </c>
      <c r="AZ131" s="884"/>
      <c r="BA131" s="884">
        <f>+$AO131*'ref.지급기준 (2)'!O180</f>
        <v>0</v>
      </c>
      <c r="BB131" s="890"/>
      <c r="BC131" s="2719"/>
      <c r="BD131" s="393"/>
      <c r="BE131" s="393" t="b">
        <f>+(BA131+AY131+AW131+AU131+AS131)=R131</f>
        <v>1</v>
      </c>
      <c r="BF131" s="393"/>
      <c r="BG131" s="393"/>
      <c r="BH131" s="393"/>
      <c r="BI131" s="393"/>
      <c r="BJ131" s="393"/>
      <c r="BK131" s="393"/>
      <c r="BL131" s="393"/>
      <c r="BM131" s="393"/>
      <c r="BN131" s="393"/>
      <c r="BO131" s="408"/>
      <c r="BP131" s="408"/>
    </row>
    <row r="132" spans="1:68">
      <c r="A132" s="929"/>
      <c r="B132" s="2741"/>
      <c r="C132" s="2744"/>
      <c r="D132" s="2747"/>
      <c r="E132" s="2747"/>
      <c r="F132" s="2693"/>
      <c r="G132" s="2747"/>
      <c r="H132" s="2747"/>
      <c r="I132" s="2732"/>
      <c r="J132" s="2747"/>
      <c r="K132" s="2649"/>
      <c r="L132" s="2797"/>
      <c r="M132" s="2654"/>
      <c r="N132" s="2654"/>
      <c r="O132" s="875" t="s">
        <v>127</v>
      </c>
      <c r="P132" s="896">
        <f>+'ref.지급기준 (2)'!F181*'ref.지급기준 (2)'!D181/'ref.지급기준 (2)'!$Q$2</f>
        <v>0</v>
      </c>
      <c r="Q132" s="896"/>
      <c r="R132" s="897">
        <f t="shared" si="140"/>
        <v>0</v>
      </c>
      <c r="S132" s="874" t="b">
        <f t="shared" si="204"/>
        <v>1</v>
      </c>
      <c r="T132" s="908" t="str">
        <f>+IFERROR(U132/R132,"-")</f>
        <v>-</v>
      </c>
      <c r="U132" s="909">
        <f>+IFERROR(X132+AA132+AD132+AG132+AJ132+AM132,"-")</f>
        <v>0</v>
      </c>
      <c r="V132" s="877" t="str">
        <f t="shared" si="205"/>
        <v>-</v>
      </c>
      <c r="W132" s="887"/>
      <c r="X132" s="876"/>
      <c r="Y132" s="877"/>
      <c r="Z132" s="877" t="str">
        <f t="shared" si="144"/>
        <v>-</v>
      </c>
      <c r="AA132" s="877"/>
      <c r="AB132" s="883"/>
      <c r="AC132" s="877" t="str">
        <f t="shared" si="145"/>
        <v>-</v>
      </c>
      <c r="AD132" s="877"/>
      <c r="AE132" s="883"/>
      <c r="AF132" s="877" t="str">
        <f t="shared" si="146"/>
        <v>-</v>
      </c>
      <c r="AG132" s="877"/>
      <c r="AH132" s="883"/>
      <c r="AI132" s="877" t="str">
        <f>+IFERROR(AJ132/#REF!,"-")</f>
        <v>-</v>
      </c>
      <c r="AJ132" s="877"/>
      <c r="AK132" s="877"/>
      <c r="AL132" s="877" t="str">
        <f>+IFERROR(AM132/#REF!,"-")</f>
        <v>-</v>
      </c>
      <c r="AM132" s="877"/>
      <c r="AN132" s="877"/>
      <c r="AO132" s="884">
        <f t="shared" si="206"/>
        <v>0</v>
      </c>
      <c r="AP132" s="884">
        <f>+AO132*'ref.지급기준 (2)'!G181</f>
        <v>0</v>
      </c>
      <c r="AQ132" s="1534"/>
      <c r="AR132" s="407"/>
      <c r="AS132" s="945">
        <f>+$AO132*'ref.지급기준 (2)'!G181</f>
        <v>0</v>
      </c>
      <c r="AT132" s="884">
        <f t="shared" si="207"/>
        <v>0</v>
      </c>
      <c r="AU132" s="884">
        <f>+$AO132*'ref.지급기준 (2)'!I181</f>
        <v>0</v>
      </c>
      <c r="AV132" s="884">
        <f t="shared" si="143"/>
        <v>0</v>
      </c>
      <c r="AW132" s="884">
        <f>+$AO132*'ref.지급기준 (2)'!K181</f>
        <v>0</v>
      </c>
      <c r="AX132" s="884"/>
      <c r="AY132" s="884">
        <f>+$AO132*'ref.지급기준 (2)'!M181</f>
        <v>0</v>
      </c>
      <c r="AZ132" s="884"/>
      <c r="BA132" s="884">
        <f>+$AO132*'ref.지급기준 (2)'!O181</f>
        <v>0</v>
      </c>
      <c r="BB132" s="890"/>
      <c r="BC132" s="2719"/>
      <c r="BD132" s="393"/>
      <c r="BE132" s="393" t="b">
        <f>+(BA132+AY132+AW132+AU132+AS132)=R132</f>
        <v>1</v>
      </c>
      <c r="BF132" s="393"/>
      <c r="BG132" s="393"/>
      <c r="BH132" s="393"/>
      <c r="BI132" s="393"/>
      <c r="BJ132" s="393"/>
      <c r="BK132" s="393"/>
      <c r="BL132" s="393"/>
      <c r="BM132" s="393"/>
      <c r="BN132" s="393"/>
      <c r="BO132" s="408"/>
      <c r="BP132" s="408"/>
    </row>
    <row r="133" spans="1:68" ht="17.25" customHeight="1">
      <c r="A133" s="929"/>
      <c r="B133" s="2741"/>
      <c r="C133" s="2744"/>
      <c r="D133" s="2747"/>
      <c r="E133" s="2747"/>
      <c r="F133" s="2693"/>
      <c r="G133" s="2747"/>
      <c r="H133" s="2747"/>
      <c r="I133" s="2732"/>
      <c r="J133" s="2747"/>
      <c r="K133" s="2649"/>
      <c r="L133" s="2797"/>
      <c r="M133" s="2654"/>
      <c r="N133" s="2654"/>
      <c r="O133" s="875" t="s">
        <v>128</v>
      </c>
      <c r="P133" s="896">
        <f>+'DG-PV Organic'!AJ3</f>
        <v>63840000</v>
      </c>
      <c r="Q133" s="896">
        <f t="shared" ref="Q133" si="244">+P133*10%</f>
        <v>6384000</v>
      </c>
      <c r="R133" s="897">
        <f t="shared" si="140"/>
        <v>70224000</v>
      </c>
      <c r="S133" s="874" t="b">
        <f t="shared" ref="S133:S164" si="245">+R133=AO133</f>
        <v>1</v>
      </c>
      <c r="T133" s="908">
        <f>+IFERROR(U133/R133,"-")</f>
        <v>0.4</v>
      </c>
      <c r="U133" s="909">
        <f>+IFERROR(X133+AA133+AD133+AG133+AJ133+AM133,"-")</f>
        <v>28089600</v>
      </c>
      <c r="V133" s="879">
        <f t="shared" ref="V133:V164" si="246">+IFERROR(X133/$R133,"-")</f>
        <v>0.2</v>
      </c>
      <c r="W133" s="881">
        <v>45650</v>
      </c>
      <c r="X133" s="880">
        <v>14044800</v>
      </c>
      <c r="Y133" s="879"/>
      <c r="Z133" s="1462">
        <f t="shared" si="144"/>
        <v>0.2</v>
      </c>
      <c r="AA133" s="1463">
        <v>14044800</v>
      </c>
      <c r="AB133" s="1464">
        <f>AB131</f>
        <v>45737</v>
      </c>
      <c r="AC133" s="877">
        <f t="shared" si="145"/>
        <v>0</v>
      </c>
      <c r="AD133" s="877"/>
      <c r="AE133" s="883">
        <v>45777</v>
      </c>
      <c r="AF133" s="877">
        <f t="shared" si="146"/>
        <v>0</v>
      </c>
      <c r="AG133" s="877"/>
      <c r="AH133" s="883">
        <v>46022</v>
      </c>
      <c r="AI133" s="877" t="str">
        <f>+IFERROR(AJ133/#REF!,"-")</f>
        <v>-</v>
      </c>
      <c r="AJ133" s="877"/>
      <c r="AK133" s="877"/>
      <c r="AL133" s="877" t="str">
        <f>+IFERROR(AM133/#REF!,"-")</f>
        <v>-</v>
      </c>
      <c r="AM133" s="877"/>
      <c r="AN133" s="877"/>
      <c r="AO133" s="884">
        <f t="shared" ref="AO133:AO164" si="247">+R133</f>
        <v>70224000</v>
      </c>
      <c r="AP133" s="884">
        <f>+AO133*'ref.지급기준 (2)'!G182</f>
        <v>14044800</v>
      </c>
      <c r="AQ133" s="1534">
        <f>+AB133</f>
        <v>45737</v>
      </c>
      <c r="AR133" s="407"/>
      <c r="AS133" s="945">
        <f>+$AO133*'ref.지급기준 (2)'!G182</f>
        <v>14044800</v>
      </c>
      <c r="AT133" s="884">
        <f t="shared" ref="AT133:AT164" si="248">+X133</f>
        <v>14044800</v>
      </c>
      <c r="AU133" s="884">
        <f>+$AO133*'ref.지급기준 (2)'!I182</f>
        <v>14044800</v>
      </c>
      <c r="AV133" s="884">
        <f t="shared" si="143"/>
        <v>14044800</v>
      </c>
      <c r="AW133" s="884">
        <f>+$AO133*'ref.지급기준 (2)'!K182</f>
        <v>35112000</v>
      </c>
      <c r="AX133" s="884"/>
      <c r="AY133" s="884">
        <f>+$AO133*'ref.지급기준 (2)'!M182</f>
        <v>7022400</v>
      </c>
      <c r="AZ133" s="884"/>
      <c r="BA133" s="884">
        <f>+$AO133*'ref.지급기준 (2)'!O182</f>
        <v>0</v>
      </c>
      <c r="BB133" s="890"/>
      <c r="BC133" s="2719"/>
      <c r="BD133" s="393"/>
      <c r="BE133" s="393" t="b">
        <f>+(BA133+AY133+AW133+AU133+AS133)=R133</f>
        <v>1</v>
      </c>
      <c r="BF133" s="393"/>
      <c r="BG133" s="393"/>
      <c r="BH133" s="393"/>
      <c r="BI133" s="393"/>
      <c r="BJ133" s="393"/>
      <c r="BK133" s="393"/>
      <c r="BL133" s="393"/>
      <c r="BM133" s="393"/>
      <c r="BN133" s="393"/>
      <c r="BO133" s="408"/>
      <c r="BP133" s="408"/>
    </row>
    <row r="134" spans="1:68" ht="17.25" customHeight="1" thickBot="1">
      <c r="A134" s="929"/>
      <c r="B134" s="2741"/>
      <c r="C134" s="2744"/>
      <c r="D134" s="2747"/>
      <c r="E134" s="2747"/>
      <c r="F134" s="2693"/>
      <c r="G134" s="2747"/>
      <c r="H134" s="2747"/>
      <c r="I134" s="2732"/>
      <c r="J134" s="2747"/>
      <c r="K134" s="2649"/>
      <c r="L134" s="2797"/>
      <c r="M134" s="2654"/>
      <c r="N134" s="2654"/>
      <c r="O134" s="892" t="s">
        <v>129</v>
      </c>
      <c r="P134" s="898">
        <f>+'DG-PV Organic'!AI3</f>
        <v>89376000</v>
      </c>
      <c r="Q134" s="901">
        <f>+P134*0.1</f>
        <v>8937600</v>
      </c>
      <c r="R134" s="901">
        <f>SUM(P134:Q134)</f>
        <v>98313600</v>
      </c>
      <c r="S134" s="874" t="b">
        <f t="shared" si="245"/>
        <v>1</v>
      </c>
      <c r="T134" s="910"/>
      <c r="U134" s="911"/>
      <c r="V134" s="910">
        <f t="shared" si="246"/>
        <v>0</v>
      </c>
      <c r="W134" s="926"/>
      <c r="X134" s="926"/>
      <c r="Y134" s="926"/>
      <c r="Z134" s="926">
        <f t="shared" si="144"/>
        <v>0</v>
      </c>
      <c r="AA134" s="926"/>
      <c r="AB134" s="927"/>
      <c r="AC134" s="926">
        <f t="shared" si="145"/>
        <v>0</v>
      </c>
      <c r="AD134" s="926"/>
      <c r="AE134" s="927"/>
      <c r="AF134" s="926">
        <f t="shared" si="146"/>
        <v>0</v>
      </c>
      <c r="AG134" s="926"/>
      <c r="AH134" s="927"/>
      <c r="AI134" s="926" t="str">
        <f>+IFERROR(AJ134/#REF!,"-")</f>
        <v>-</v>
      </c>
      <c r="AJ134" s="926"/>
      <c r="AK134" s="926"/>
      <c r="AL134" s="926"/>
      <c r="AM134" s="926"/>
      <c r="AN134" s="926"/>
      <c r="AO134" s="928">
        <f t="shared" si="247"/>
        <v>98313600</v>
      </c>
      <c r="AP134" s="928">
        <f>+AS134+AU134</f>
        <v>98313600</v>
      </c>
      <c r="AQ134" s="1535"/>
      <c r="AR134" s="407"/>
      <c r="AS134" s="947">
        <f>+$AO134*'ref.지급기준 (2)'!G178</f>
        <v>98313600</v>
      </c>
      <c r="AT134" s="928">
        <f t="shared" si="248"/>
        <v>0</v>
      </c>
      <c r="AU134" s="928">
        <f>+$AO134*'ref.지급기준 (2)'!I178</f>
        <v>0</v>
      </c>
      <c r="AV134" s="928">
        <f t="shared" si="143"/>
        <v>0</v>
      </c>
      <c r="AW134" s="928">
        <f>+$AO134*'ref.지급기준 (2)'!K178</f>
        <v>0</v>
      </c>
      <c r="AX134" s="928"/>
      <c r="AY134" s="928">
        <f>+$AO134*'ref.지급기준 (2)'!M178</f>
        <v>0</v>
      </c>
      <c r="AZ134" s="928"/>
      <c r="BA134" s="928">
        <f>+$AO134*'ref.지급기준 (2)'!O178</f>
        <v>0</v>
      </c>
      <c r="BB134" s="997"/>
      <c r="BC134" s="2720"/>
      <c r="BD134" s="393"/>
      <c r="BE134" s="393"/>
      <c r="BF134" s="393"/>
      <c r="BG134" s="393"/>
      <c r="BH134" s="393"/>
      <c r="BI134" s="393"/>
      <c r="BJ134" s="393"/>
      <c r="BK134" s="393"/>
      <c r="BL134" s="393"/>
      <c r="BM134" s="393"/>
      <c r="BN134" s="393"/>
      <c r="BO134" s="408"/>
      <c r="BP134" s="408"/>
    </row>
    <row r="135" spans="1:68">
      <c r="A135" s="929"/>
      <c r="B135" s="2741"/>
      <c r="C135" s="2744"/>
      <c r="D135" s="2747"/>
      <c r="E135" s="2747"/>
      <c r="F135" s="2693"/>
      <c r="G135" s="2747"/>
      <c r="H135" s="2747"/>
      <c r="I135" s="2732" t="s">
        <v>1303</v>
      </c>
      <c r="J135" s="2793" t="s">
        <v>1304</v>
      </c>
      <c r="K135" s="2765">
        <f>+'ref.지급기준 (2)'!D184</f>
        <v>545.46</v>
      </c>
      <c r="L135" s="2799">
        <f>+'DG-PV Organic'!H4</f>
        <v>8.9099999999999999E-2</v>
      </c>
      <c r="M135" s="2674">
        <f>+'DG-PV Organic'!J4</f>
        <v>9.2999999999999999E-2</v>
      </c>
      <c r="N135" s="2674" t="s">
        <v>1213</v>
      </c>
      <c r="O135" s="893" t="s">
        <v>125</v>
      </c>
      <c r="P135" s="1012">
        <f>+'DG-PV Organic'!AL4</f>
        <v>541401000</v>
      </c>
      <c r="Q135" s="1000">
        <f>+P135*10%</f>
        <v>54140100</v>
      </c>
      <c r="R135" s="895">
        <f t="shared" si="140"/>
        <v>595541100</v>
      </c>
      <c r="S135" s="874" t="b">
        <f t="shared" si="245"/>
        <v>1</v>
      </c>
      <c r="T135" s="906">
        <f>+IFERROR(U135/R135,"-")</f>
        <v>0</v>
      </c>
      <c r="U135" s="907">
        <f>+IFERROR(X135+AA135+AD135+AG135+AJ135+AM135,"-")</f>
        <v>0</v>
      </c>
      <c r="V135" s="877">
        <f t="shared" si="246"/>
        <v>0</v>
      </c>
      <c r="W135" s="887">
        <f>AE136</f>
        <v>45808</v>
      </c>
      <c r="X135" s="876"/>
      <c r="Y135" s="877"/>
      <c r="Z135" s="877">
        <f t="shared" si="144"/>
        <v>0</v>
      </c>
      <c r="AA135" s="877"/>
      <c r="AB135" s="883">
        <f>+EDATE(W135,1)</f>
        <v>45838</v>
      </c>
      <c r="AC135" s="877">
        <f t="shared" si="145"/>
        <v>0</v>
      </c>
      <c r="AD135" s="877"/>
      <c r="AE135" s="883">
        <f t="shared" ref="AE135" si="249">+EDATE(AB135,3)</f>
        <v>45930</v>
      </c>
      <c r="AF135" s="877">
        <f t="shared" si="146"/>
        <v>0</v>
      </c>
      <c r="AG135" s="877"/>
      <c r="AH135" s="883">
        <f t="shared" ref="AH135" si="250">+EDATE(AB135,4)</f>
        <v>45960</v>
      </c>
      <c r="AI135" s="877" t="str">
        <f>+IFERROR(AJ135/#REF!,"-")</f>
        <v>-</v>
      </c>
      <c r="AJ135" s="877"/>
      <c r="AK135" s="883">
        <f t="shared" ref="AK135" si="251">+EDATE(AB135,6)</f>
        <v>46021</v>
      </c>
      <c r="AL135" s="877" t="str">
        <f>+IFERROR(AM135/#REF!,"-")</f>
        <v>-</v>
      </c>
      <c r="AM135" s="877"/>
      <c r="AN135" s="877"/>
      <c r="AO135" s="884">
        <f t="shared" si="247"/>
        <v>595541100</v>
      </c>
      <c r="AP135" s="884">
        <f>+AO135*'ref.지급기준 (2)'!G184</f>
        <v>59554110</v>
      </c>
      <c r="AQ135" s="1534">
        <f>+W135</f>
        <v>45808</v>
      </c>
      <c r="AR135" s="407"/>
      <c r="AS135" s="945">
        <f>+$AO135*'ref.지급기준 (2)'!G184</f>
        <v>59554110</v>
      </c>
      <c r="AT135" s="884">
        <f t="shared" si="248"/>
        <v>0</v>
      </c>
      <c r="AU135" s="884">
        <f>+$AO135*'ref.지급기준 (2)'!I184</f>
        <v>119108220</v>
      </c>
      <c r="AV135" s="884">
        <f t="shared" si="143"/>
        <v>0</v>
      </c>
      <c r="AW135" s="884">
        <f>+$AO135*'ref.지급기준 (2)'!K184</f>
        <v>238216440</v>
      </c>
      <c r="AX135" s="884"/>
      <c r="AY135" s="884">
        <f>+$AO135*'ref.지급기준 (2)'!M184</f>
        <v>148885275</v>
      </c>
      <c r="AZ135" s="884"/>
      <c r="BA135" s="884">
        <f>+$AO135*'ref.지급기준 (2)'!O184</f>
        <v>29777055</v>
      </c>
      <c r="BB135" s="890"/>
      <c r="BC135" s="2718" t="s">
        <v>1292</v>
      </c>
      <c r="BD135" s="393"/>
      <c r="BE135" s="393" t="b">
        <f>+(BA135+AY135+AW135+AU135+AS135)=R135</f>
        <v>1</v>
      </c>
      <c r="BF135" s="393"/>
      <c r="BG135" s="393"/>
      <c r="BH135" s="393"/>
      <c r="BI135" s="393"/>
      <c r="BJ135" s="393"/>
      <c r="BK135" s="393"/>
      <c r="BL135" s="393"/>
      <c r="BM135" s="393"/>
      <c r="BN135" s="393"/>
      <c r="BO135" s="408"/>
      <c r="BP135" s="408"/>
    </row>
    <row r="136" spans="1:68">
      <c r="A136" s="929"/>
      <c r="B136" s="2741"/>
      <c r="C136" s="2744"/>
      <c r="D136" s="2747"/>
      <c r="E136" s="2747"/>
      <c r="F136" s="2693"/>
      <c r="G136" s="2747"/>
      <c r="H136" s="2747"/>
      <c r="I136" s="2732"/>
      <c r="J136" s="2793"/>
      <c r="K136" s="2766"/>
      <c r="L136" s="2800"/>
      <c r="M136" s="2675"/>
      <c r="N136" s="2675"/>
      <c r="O136" s="875" t="s">
        <v>126</v>
      </c>
      <c r="P136" s="1002">
        <f>+'DG-PV Organic'!AK4</f>
        <v>154686000</v>
      </c>
      <c r="Q136" s="1001">
        <f>+P136*10%</f>
        <v>15468600</v>
      </c>
      <c r="R136" s="897">
        <f t="shared" si="140"/>
        <v>170154600</v>
      </c>
      <c r="S136" s="874" t="b">
        <f t="shared" si="245"/>
        <v>1</v>
      </c>
      <c r="T136" s="908">
        <f>+IFERROR(U136/R136,"-")</f>
        <v>0.2</v>
      </c>
      <c r="U136" s="909">
        <f>+IFERROR(X136+AA136+AD136+AG136+AJ136+AM136,"-")</f>
        <v>34030920</v>
      </c>
      <c r="V136" s="879">
        <f t="shared" si="246"/>
        <v>0.2</v>
      </c>
      <c r="W136" s="889">
        <v>45679</v>
      </c>
      <c r="X136" s="880">
        <f>+R136*20%</f>
        <v>34030920</v>
      </c>
      <c r="Y136" s="879"/>
      <c r="Z136" s="877">
        <f t="shared" si="144"/>
        <v>0</v>
      </c>
      <c r="AA136" s="886"/>
      <c r="AB136" s="883">
        <v>45777</v>
      </c>
      <c r="AC136" s="877">
        <f t="shared" si="145"/>
        <v>0</v>
      </c>
      <c r="AD136" s="877"/>
      <c r="AE136" s="883">
        <v>45808</v>
      </c>
      <c r="AF136" s="877">
        <f t="shared" si="146"/>
        <v>0</v>
      </c>
      <c r="AG136" s="877"/>
      <c r="AH136" s="883">
        <v>45999</v>
      </c>
      <c r="AI136" s="877" t="str">
        <f>+IFERROR(AJ136/#REF!,"-")</f>
        <v>-</v>
      </c>
      <c r="AJ136" s="877"/>
      <c r="AK136" s="877"/>
      <c r="AL136" s="877" t="str">
        <f>+IFERROR(AM136/#REF!,"-")</f>
        <v>-</v>
      </c>
      <c r="AM136" s="877"/>
      <c r="AN136" s="877"/>
      <c r="AO136" s="884">
        <f t="shared" si="247"/>
        <v>170154600</v>
      </c>
      <c r="AP136" s="884">
        <f>+AO136*'ref.지급기준 (2)'!G185</f>
        <v>34030920</v>
      </c>
      <c r="AQ136" s="1534">
        <f>+AB136</f>
        <v>45777</v>
      </c>
      <c r="AR136" s="407"/>
      <c r="AS136" s="945">
        <f>+$AO136*'ref.지급기준 (2)'!G185</f>
        <v>34030920</v>
      </c>
      <c r="AT136" s="884">
        <f t="shared" si="248"/>
        <v>34030920</v>
      </c>
      <c r="AU136" s="884">
        <f>+$AO136*'ref.지급기준 (2)'!I185</f>
        <v>34030920</v>
      </c>
      <c r="AV136" s="884">
        <f t="shared" si="143"/>
        <v>0</v>
      </c>
      <c r="AW136" s="884">
        <f>+$AO136*'ref.지급기준 (2)'!K185</f>
        <v>85077300</v>
      </c>
      <c r="AX136" s="884"/>
      <c r="AY136" s="884">
        <f>+$AO136*'ref.지급기준 (2)'!M185</f>
        <v>17015460</v>
      </c>
      <c r="AZ136" s="884"/>
      <c r="BA136" s="884">
        <f>+$AO136*'ref.지급기준 (2)'!O185</f>
        <v>0</v>
      </c>
      <c r="BB136" s="890"/>
      <c r="BC136" s="2719"/>
      <c r="BD136" s="393"/>
      <c r="BE136" s="393" t="b">
        <f>+(BA136+AY136+AW136+AU136+AS136)=R136</f>
        <v>1</v>
      </c>
      <c r="BF136" s="393"/>
      <c r="BG136" s="393"/>
      <c r="BH136" s="393"/>
      <c r="BI136" s="393"/>
      <c r="BJ136" s="393"/>
      <c r="BK136" s="393"/>
      <c r="BL136" s="393"/>
      <c r="BM136" s="393"/>
      <c r="BN136" s="393"/>
      <c r="BO136" s="408"/>
      <c r="BP136" s="408"/>
    </row>
    <row r="137" spans="1:68">
      <c r="A137" s="929"/>
      <c r="B137" s="2741"/>
      <c r="C137" s="2744"/>
      <c r="D137" s="2747"/>
      <c r="E137" s="2747"/>
      <c r="F137" s="2693"/>
      <c r="G137" s="2747"/>
      <c r="H137" s="2747"/>
      <c r="I137" s="2732"/>
      <c r="J137" s="2793"/>
      <c r="K137" s="2766"/>
      <c r="L137" s="2800"/>
      <c r="M137" s="2675"/>
      <c r="N137" s="2675"/>
      <c r="O137" s="875" t="s">
        <v>127</v>
      </c>
      <c r="P137" s="1002">
        <f>+'ref.지급기준 (2)'!F186*'ref.지급기준 (2)'!D186/'ref.지급기준 (2)'!$Q$2</f>
        <v>0</v>
      </c>
      <c r="Q137" s="1001"/>
      <c r="R137" s="897">
        <f t="shared" si="140"/>
        <v>0</v>
      </c>
      <c r="S137" s="874" t="b">
        <f t="shared" si="245"/>
        <v>1</v>
      </c>
      <c r="T137" s="908" t="str">
        <f>+IFERROR(U137/R137,"-")</f>
        <v>-</v>
      </c>
      <c r="U137" s="909">
        <f>+IFERROR(X137+AA137+AD137+AG137+AJ137+AM137,"-")</f>
        <v>0</v>
      </c>
      <c r="V137" s="877" t="str">
        <f t="shared" si="246"/>
        <v>-</v>
      </c>
      <c r="W137" s="887"/>
      <c r="X137" s="876"/>
      <c r="Y137" s="877"/>
      <c r="Z137" s="877" t="str">
        <f t="shared" si="144"/>
        <v>-</v>
      </c>
      <c r="AA137" s="877"/>
      <c r="AB137" s="883"/>
      <c r="AC137" s="877" t="str">
        <f t="shared" si="145"/>
        <v>-</v>
      </c>
      <c r="AD137" s="877"/>
      <c r="AE137" s="883"/>
      <c r="AF137" s="877" t="str">
        <f t="shared" si="146"/>
        <v>-</v>
      </c>
      <c r="AG137" s="877"/>
      <c r="AH137" s="883"/>
      <c r="AI137" s="877" t="str">
        <f>+IFERROR(AJ137/#REF!,"-")</f>
        <v>-</v>
      </c>
      <c r="AJ137" s="877"/>
      <c r="AK137" s="877"/>
      <c r="AL137" s="877" t="str">
        <f>+IFERROR(AM137/#REF!,"-")</f>
        <v>-</v>
      </c>
      <c r="AM137" s="877"/>
      <c r="AN137" s="877"/>
      <c r="AO137" s="884">
        <f t="shared" si="247"/>
        <v>0</v>
      </c>
      <c r="AP137" s="884">
        <f>+AO137*'ref.지급기준 (2)'!G186</f>
        <v>0</v>
      </c>
      <c r="AQ137" s="1534"/>
      <c r="AR137" s="407"/>
      <c r="AS137" s="945">
        <f>+$AO137*'ref.지급기준 (2)'!G186</f>
        <v>0</v>
      </c>
      <c r="AT137" s="884">
        <f t="shared" si="248"/>
        <v>0</v>
      </c>
      <c r="AU137" s="884">
        <f>+$AO137*'ref.지급기준 (2)'!I186</f>
        <v>0</v>
      </c>
      <c r="AV137" s="884">
        <f t="shared" si="143"/>
        <v>0</v>
      </c>
      <c r="AW137" s="884">
        <f>+$AO137*'ref.지급기준 (2)'!K186</f>
        <v>0</v>
      </c>
      <c r="AX137" s="884"/>
      <c r="AY137" s="884">
        <f>+$AO137*'ref.지급기준 (2)'!M186</f>
        <v>0</v>
      </c>
      <c r="AZ137" s="884"/>
      <c r="BA137" s="884">
        <f>+$AO137*'ref.지급기준 (2)'!O186</f>
        <v>0</v>
      </c>
      <c r="BB137" s="890"/>
      <c r="BC137" s="2719"/>
      <c r="BD137" s="393"/>
      <c r="BE137" s="393" t="b">
        <f>+(BA137+AY137+AW137+AU137+AS137)=R137</f>
        <v>1</v>
      </c>
      <c r="BF137" s="393"/>
      <c r="BG137" s="393"/>
      <c r="BH137" s="393"/>
      <c r="BI137" s="393"/>
      <c r="BJ137" s="393"/>
      <c r="BK137" s="393"/>
      <c r="BL137" s="393"/>
      <c r="BM137" s="393"/>
      <c r="BN137" s="393"/>
      <c r="BO137" s="408"/>
      <c r="BP137" s="408"/>
    </row>
    <row r="138" spans="1:68" ht="17.25" customHeight="1">
      <c r="A138" s="929"/>
      <c r="B138" s="2741"/>
      <c r="C138" s="2744"/>
      <c r="D138" s="2747"/>
      <c r="E138" s="2747"/>
      <c r="F138" s="2693"/>
      <c r="G138" s="2747"/>
      <c r="H138" s="2747"/>
      <c r="I138" s="2732"/>
      <c r="J138" s="2793"/>
      <c r="K138" s="2766"/>
      <c r="L138" s="2800"/>
      <c r="M138" s="2675"/>
      <c r="N138" s="2675"/>
      <c r="O138" s="875" t="s">
        <v>128</v>
      </c>
      <c r="P138" s="1002">
        <f>+'DG-PV Organic'!AJ4</f>
        <v>103124000</v>
      </c>
      <c r="Q138" s="1001">
        <f t="shared" ref="Q138" si="252">+P138*10%</f>
        <v>10312400</v>
      </c>
      <c r="R138" s="897">
        <f t="shared" si="140"/>
        <v>113436400</v>
      </c>
      <c r="S138" s="874" t="b">
        <f t="shared" si="245"/>
        <v>1</v>
      </c>
      <c r="T138" s="908">
        <f>+IFERROR(U138/R138,"-")</f>
        <v>0.2</v>
      </c>
      <c r="U138" s="909">
        <f>+IFERROR(X138+AA138+AD138+AG138+AJ138+AM138,"-")</f>
        <v>22687280</v>
      </c>
      <c r="V138" s="879">
        <f t="shared" si="246"/>
        <v>0.2</v>
      </c>
      <c r="W138" s="889">
        <v>45679</v>
      </c>
      <c r="X138" s="880">
        <f>+R138*20%</f>
        <v>22687280</v>
      </c>
      <c r="Y138" s="879"/>
      <c r="Z138" s="877">
        <v>0</v>
      </c>
      <c r="AA138" s="877"/>
      <c r="AB138" s="883">
        <f>+AB136</f>
        <v>45777</v>
      </c>
      <c r="AC138" s="877">
        <f t="shared" si="145"/>
        <v>0</v>
      </c>
      <c r="AD138" s="877"/>
      <c r="AE138" s="883">
        <v>45797</v>
      </c>
      <c r="AF138" s="877">
        <f t="shared" si="146"/>
        <v>0</v>
      </c>
      <c r="AG138" s="877"/>
      <c r="AH138" s="883">
        <v>45999</v>
      </c>
      <c r="AI138" s="877" t="str">
        <f>+IFERROR(AJ138/#REF!,"-")</f>
        <v>-</v>
      </c>
      <c r="AJ138" s="877"/>
      <c r="AK138" s="877"/>
      <c r="AL138" s="877" t="str">
        <f>+IFERROR(AM138/#REF!,"-")</f>
        <v>-</v>
      </c>
      <c r="AM138" s="877"/>
      <c r="AN138" s="877"/>
      <c r="AO138" s="884">
        <f t="shared" si="247"/>
        <v>113436400</v>
      </c>
      <c r="AP138" s="884">
        <f>+AO138*'ref.지급기준 (2)'!G187</f>
        <v>22687280</v>
      </c>
      <c r="AQ138" s="1534">
        <f>+AB138</f>
        <v>45777</v>
      </c>
      <c r="AR138" s="407"/>
      <c r="AS138" s="945">
        <f>+$AO138*'ref.지급기준 (2)'!G187</f>
        <v>22687280</v>
      </c>
      <c r="AT138" s="884">
        <f t="shared" si="248"/>
        <v>22687280</v>
      </c>
      <c r="AU138" s="884">
        <f>+$AO138*'ref.지급기준 (2)'!I187</f>
        <v>22687280</v>
      </c>
      <c r="AV138" s="884">
        <f t="shared" si="143"/>
        <v>0</v>
      </c>
      <c r="AW138" s="884">
        <f>+$AO138*'ref.지급기준 (2)'!K187</f>
        <v>56718200</v>
      </c>
      <c r="AX138" s="884"/>
      <c r="AY138" s="884">
        <f>+$AO138*'ref.지급기준 (2)'!M187</f>
        <v>11343640</v>
      </c>
      <c r="AZ138" s="884"/>
      <c r="BA138" s="884">
        <f>+$AO138*'ref.지급기준 (2)'!O187</f>
        <v>0</v>
      </c>
      <c r="BB138" s="890"/>
      <c r="BC138" s="2719"/>
      <c r="BD138" s="393"/>
      <c r="BE138" s="393" t="b">
        <f>+(BA138+AY138+AW138+AU138+AS138)=R138</f>
        <v>1</v>
      </c>
      <c r="BF138" s="393"/>
      <c r="BG138" s="393"/>
      <c r="BH138" s="393"/>
      <c r="BI138" s="393"/>
      <c r="BJ138" s="393"/>
      <c r="BK138" s="393"/>
      <c r="BL138" s="393"/>
      <c r="BM138" s="393"/>
      <c r="BN138" s="393"/>
      <c r="BO138" s="408"/>
      <c r="BP138" s="408"/>
    </row>
    <row r="139" spans="1:68" ht="17.25" customHeight="1">
      <c r="A139" s="929"/>
      <c r="B139" s="2741"/>
      <c r="C139" s="2744"/>
      <c r="D139" s="2747"/>
      <c r="E139" s="2747"/>
      <c r="F139" s="2693"/>
      <c r="G139" s="2747"/>
      <c r="H139" s="2747"/>
      <c r="I139" s="2732"/>
      <c r="J139" s="2793"/>
      <c r="K139" s="2767"/>
      <c r="L139" s="2801"/>
      <c r="M139" s="2676"/>
      <c r="N139" s="2676"/>
      <c r="O139" s="999" t="s">
        <v>129</v>
      </c>
      <c r="P139" s="1003">
        <f>+'DG-PV Organic'!AI4</f>
        <v>103124000</v>
      </c>
      <c r="Q139" s="1019">
        <f>+P139*0.1</f>
        <v>10312400</v>
      </c>
      <c r="R139" s="899">
        <f>SUM(P139:Q139)</f>
        <v>113436400</v>
      </c>
      <c r="S139" s="874" t="b">
        <f t="shared" si="245"/>
        <v>1</v>
      </c>
      <c r="T139" s="910"/>
      <c r="U139" s="911"/>
      <c r="V139" s="910">
        <f t="shared" si="246"/>
        <v>0</v>
      </c>
      <c r="W139" s="926"/>
      <c r="X139" s="926"/>
      <c r="Y139" s="926"/>
      <c r="Z139" s="926">
        <f t="shared" ref="Z139" si="253">+IFERROR(AA139/$R139,"-")</f>
        <v>0</v>
      </c>
      <c r="AA139" s="926"/>
      <c r="AB139" s="927"/>
      <c r="AC139" s="926">
        <f t="shared" si="145"/>
        <v>0</v>
      </c>
      <c r="AD139" s="926"/>
      <c r="AE139" s="927"/>
      <c r="AF139" s="926">
        <f t="shared" si="146"/>
        <v>0</v>
      </c>
      <c r="AG139" s="926"/>
      <c r="AH139" s="927"/>
      <c r="AI139" s="926" t="str">
        <f>+IFERROR(AJ139/#REF!,"-")</f>
        <v>-</v>
      </c>
      <c r="AJ139" s="926"/>
      <c r="AK139" s="926"/>
      <c r="AL139" s="926"/>
      <c r="AM139" s="926"/>
      <c r="AN139" s="926"/>
      <c r="AO139" s="928">
        <f t="shared" si="247"/>
        <v>113436400</v>
      </c>
      <c r="AP139" s="928">
        <f>+AS139+AU139</f>
        <v>113436400</v>
      </c>
      <c r="AQ139" s="1535"/>
      <c r="AR139" s="407"/>
      <c r="AS139" s="947">
        <f>+$AO139*'ref.지급기준 (2)'!G183</f>
        <v>113436400</v>
      </c>
      <c r="AT139" s="928">
        <f t="shared" si="248"/>
        <v>0</v>
      </c>
      <c r="AU139" s="928">
        <f>+$AO139*'ref.지급기준 (2)'!I183</f>
        <v>0</v>
      </c>
      <c r="AV139" s="928">
        <f t="shared" ref="AV139" si="254">+AA139</f>
        <v>0</v>
      </c>
      <c r="AW139" s="928">
        <f>+$AO139*'ref.지급기준 (2)'!K183</f>
        <v>0</v>
      </c>
      <c r="AX139" s="928"/>
      <c r="AY139" s="928">
        <f>+$AO139*'ref.지급기준 (2)'!M183</f>
        <v>0</v>
      </c>
      <c r="AZ139" s="928"/>
      <c r="BA139" s="928">
        <f>+$AO139*'ref.지급기준 (2)'!O183</f>
        <v>0</v>
      </c>
      <c r="BB139" s="997"/>
      <c r="BC139" s="2720"/>
      <c r="BD139" s="393"/>
      <c r="BE139" s="393"/>
      <c r="BF139" s="393"/>
      <c r="BG139" s="393"/>
      <c r="BH139" s="393"/>
      <c r="BI139" s="393"/>
      <c r="BJ139" s="393"/>
      <c r="BK139" s="393"/>
      <c r="BL139" s="393"/>
      <c r="BM139" s="393"/>
      <c r="BN139" s="393"/>
      <c r="BO139" s="408"/>
      <c r="BP139" s="408"/>
    </row>
    <row r="140" spans="1:68" ht="16.5" customHeight="1">
      <c r="A140" s="929"/>
      <c r="B140" s="2741"/>
      <c r="C140" s="2744"/>
      <c r="D140" s="2747"/>
      <c r="E140" s="2747"/>
      <c r="F140" s="2693"/>
      <c r="G140" s="2747"/>
      <c r="H140" s="2747"/>
      <c r="I140" s="2732" t="s">
        <v>1305</v>
      </c>
      <c r="J140" s="2747" t="s">
        <v>1306</v>
      </c>
      <c r="K140" s="2649">
        <f>+'ref.지급기준 (2)'!D189</f>
        <v>148.59</v>
      </c>
      <c r="L140" s="2652">
        <f>+'DG-PV Organic'!H5</f>
        <v>9.6299999999999997E-2</v>
      </c>
      <c r="M140" s="2654">
        <f>+'DG-PV Organic'!J5</f>
        <v>9.2999999999999999E-2</v>
      </c>
      <c r="N140" s="2654" t="s">
        <v>1213</v>
      </c>
      <c r="O140" s="1020" t="s">
        <v>125</v>
      </c>
      <c r="P140" s="1021">
        <f>+'DG-PV Organic'!AL5</f>
        <v>156019500</v>
      </c>
      <c r="Q140" s="904">
        <f>+P140*10%</f>
        <v>15601950</v>
      </c>
      <c r="R140" s="1012">
        <f t="shared" si="140"/>
        <v>171621450</v>
      </c>
      <c r="S140" s="874" t="b">
        <f t="shared" si="245"/>
        <v>1</v>
      </c>
      <c r="T140" s="906">
        <f>+IFERROR(U140/R140,"-")</f>
        <v>0</v>
      </c>
      <c r="U140" s="907">
        <f>+IFERROR(X140+AA140+AD140+AG140+AJ140+AM140,"-")</f>
        <v>0</v>
      </c>
      <c r="V140" s="877">
        <f t="shared" si="246"/>
        <v>0</v>
      </c>
      <c r="W140" s="887">
        <f>AE141</f>
        <v>45807</v>
      </c>
      <c r="X140" s="876"/>
      <c r="Y140" s="877"/>
      <c r="Z140" s="877">
        <f t="shared" ref="Z140" si="255">+IFERROR(AA140/$R140,"-")</f>
        <v>0</v>
      </c>
      <c r="AA140" s="877"/>
      <c r="AB140" s="883">
        <f>+EDATE(W140,1)</f>
        <v>45838</v>
      </c>
      <c r="AC140" s="877">
        <f t="shared" si="145"/>
        <v>0</v>
      </c>
      <c r="AD140" s="877"/>
      <c r="AE140" s="883">
        <f t="shared" ref="AE140" si="256">+EDATE(AB140,3)</f>
        <v>45930</v>
      </c>
      <c r="AF140" s="877">
        <f t="shared" si="146"/>
        <v>0</v>
      </c>
      <c r="AG140" s="877"/>
      <c r="AH140" s="883">
        <f t="shared" ref="AH140" si="257">+EDATE(AB140,4)</f>
        <v>45960</v>
      </c>
      <c r="AI140" s="877" t="str">
        <f>+IFERROR(AJ140/#REF!,"-")</f>
        <v>-</v>
      </c>
      <c r="AJ140" s="877"/>
      <c r="AK140" s="883">
        <f t="shared" ref="AK140" si="258">+EDATE(AB140,6)</f>
        <v>46021</v>
      </c>
      <c r="AL140" s="877" t="str">
        <f>+IFERROR(AM140/#REF!,"-")</f>
        <v>-</v>
      </c>
      <c r="AM140" s="877"/>
      <c r="AN140" s="877"/>
      <c r="AO140" s="884">
        <f t="shared" si="247"/>
        <v>171621450</v>
      </c>
      <c r="AP140" s="884">
        <f>+AO140*'ref.지급기준 (2)'!G189</f>
        <v>17162145</v>
      </c>
      <c r="AQ140" s="1534">
        <f>+W140</f>
        <v>45807</v>
      </c>
      <c r="AR140" s="407"/>
      <c r="AS140" s="945">
        <f>+$AO140*'ref.지급기준 (2)'!G189</f>
        <v>17162145</v>
      </c>
      <c r="AT140" s="884">
        <f t="shared" si="248"/>
        <v>0</v>
      </c>
      <c r="AU140" s="884">
        <f>+$AO140*'ref.지급기준 (2)'!I189</f>
        <v>34324290</v>
      </c>
      <c r="AV140" s="884">
        <f t="shared" si="143"/>
        <v>0</v>
      </c>
      <c r="AW140" s="884">
        <f>+$AO140*'ref.지급기준 (2)'!K189</f>
        <v>68648580</v>
      </c>
      <c r="AX140" s="884"/>
      <c r="AY140" s="884">
        <f>+$AO140*'ref.지급기준 (2)'!M189</f>
        <v>42905362.5</v>
      </c>
      <c r="AZ140" s="884"/>
      <c r="BA140" s="884">
        <f>+$AO140*'ref.지급기준 (2)'!O189</f>
        <v>8581072.5</v>
      </c>
      <c r="BB140" s="890"/>
      <c r="BC140" s="2718" t="s">
        <v>1307</v>
      </c>
      <c r="BD140" s="393"/>
      <c r="BE140" s="393" t="b">
        <f>+(BA140+AY140+AW140+AU140+AS140)=R140</f>
        <v>1</v>
      </c>
      <c r="BF140" s="393"/>
      <c r="BG140" s="393"/>
      <c r="BH140" s="393"/>
      <c r="BI140" s="393"/>
      <c r="BJ140" s="393"/>
      <c r="BK140" s="393"/>
      <c r="BL140" s="393"/>
      <c r="BM140" s="393"/>
      <c r="BN140" s="393"/>
      <c r="BO140" s="408"/>
      <c r="BP140" s="408"/>
    </row>
    <row r="141" spans="1:68">
      <c r="A141" s="929"/>
      <c r="B141" s="2741"/>
      <c r="C141" s="2744"/>
      <c r="D141" s="2747"/>
      <c r="E141" s="2747"/>
      <c r="F141" s="2693"/>
      <c r="G141" s="2747"/>
      <c r="H141" s="2747"/>
      <c r="I141" s="2732"/>
      <c r="J141" s="2747"/>
      <c r="K141" s="2649"/>
      <c r="L141" s="2652"/>
      <c r="M141" s="2654"/>
      <c r="N141" s="2654"/>
      <c r="O141" s="1009" t="s">
        <v>126</v>
      </c>
      <c r="P141" s="1013">
        <f>+'DG-PV Organic'!AK5</f>
        <v>44577000</v>
      </c>
      <c r="Q141" s="896">
        <f>+P141*10%</f>
        <v>4457700</v>
      </c>
      <c r="R141" s="1002">
        <f t="shared" si="140"/>
        <v>49034700</v>
      </c>
      <c r="S141" s="874" t="b">
        <f t="shared" si="245"/>
        <v>1</v>
      </c>
      <c r="T141" s="908">
        <f>+IFERROR(U141/R141,"-")</f>
        <v>0.2056980056980057</v>
      </c>
      <c r="U141" s="909">
        <f>+IFERROR(X141+AA141+AD141+AG141+AJ141+AM141,"-")</f>
        <v>10086340</v>
      </c>
      <c r="V141" s="879">
        <f t="shared" si="246"/>
        <v>0.2056980056980057</v>
      </c>
      <c r="W141" s="889">
        <v>45679</v>
      </c>
      <c r="X141" s="880">
        <f>+R141*20%+279400</f>
        <v>10086340</v>
      </c>
      <c r="Y141" s="879"/>
      <c r="Z141" s="877">
        <f t="shared" si="144"/>
        <v>0</v>
      </c>
      <c r="AA141" s="886"/>
      <c r="AB141" s="883">
        <v>45777</v>
      </c>
      <c r="AC141" s="877">
        <f t="shared" si="145"/>
        <v>0</v>
      </c>
      <c r="AD141" s="877"/>
      <c r="AE141" s="883">
        <f>+EDATE(AB141,1)</f>
        <v>45807</v>
      </c>
      <c r="AF141" s="877">
        <f t="shared" si="146"/>
        <v>0</v>
      </c>
      <c r="AG141" s="877"/>
      <c r="AH141" s="883">
        <f>+EDATE(AB140,5)</f>
        <v>45991</v>
      </c>
      <c r="AI141" s="877" t="str">
        <f>+IFERROR(AJ141/#REF!,"-")</f>
        <v>-</v>
      </c>
      <c r="AJ141" s="877"/>
      <c r="AK141" s="877"/>
      <c r="AL141" s="877" t="str">
        <f>+IFERROR(AM141/#REF!,"-")</f>
        <v>-</v>
      </c>
      <c r="AM141" s="877"/>
      <c r="AN141" s="877"/>
      <c r="AO141" s="884">
        <f t="shared" si="247"/>
        <v>49034700</v>
      </c>
      <c r="AP141" s="884">
        <f>+AO141*'ref.지급기준 (2)'!G190</f>
        <v>9806940</v>
      </c>
      <c r="AQ141" s="1534">
        <f>+AB141</f>
        <v>45777</v>
      </c>
      <c r="AR141" s="407"/>
      <c r="AS141" s="945">
        <f>+$AO141*'ref.지급기준 (2)'!G190</f>
        <v>9806940</v>
      </c>
      <c r="AT141" s="884">
        <f t="shared" si="248"/>
        <v>10086340</v>
      </c>
      <c r="AU141" s="884">
        <f>+$AO141*'ref.지급기준 (2)'!I190</f>
        <v>9806940</v>
      </c>
      <c r="AV141" s="884">
        <f t="shared" si="143"/>
        <v>0</v>
      </c>
      <c r="AW141" s="884">
        <f>+$AO141*'ref.지급기준 (2)'!K190</f>
        <v>24517350</v>
      </c>
      <c r="AX141" s="884"/>
      <c r="AY141" s="884">
        <f>+$AO141*'ref.지급기준 (2)'!M190</f>
        <v>4903470</v>
      </c>
      <c r="AZ141" s="884"/>
      <c r="BA141" s="884">
        <f>+$AO141*'ref.지급기준 (2)'!O190</f>
        <v>0</v>
      </c>
      <c r="BB141" s="890"/>
      <c r="BC141" s="2719"/>
      <c r="BD141" s="393"/>
      <c r="BE141" s="393" t="b">
        <f>+(BA141+AY141+AW141+AU141+AS141)=R141</f>
        <v>1</v>
      </c>
      <c r="BF141" s="393"/>
      <c r="BG141" s="393"/>
      <c r="BH141" s="393"/>
      <c r="BI141" s="393"/>
      <c r="BJ141" s="393"/>
      <c r="BK141" s="393"/>
      <c r="BL141" s="393"/>
      <c r="BM141" s="393"/>
      <c r="BN141" s="393"/>
      <c r="BO141" s="408"/>
      <c r="BP141" s="408"/>
    </row>
    <row r="142" spans="1:68">
      <c r="A142" s="929"/>
      <c r="B142" s="2741"/>
      <c r="C142" s="2744"/>
      <c r="D142" s="2747"/>
      <c r="E142" s="2747"/>
      <c r="F142" s="2693"/>
      <c r="G142" s="2747"/>
      <c r="H142" s="2747"/>
      <c r="I142" s="2732"/>
      <c r="J142" s="2747"/>
      <c r="K142" s="2649"/>
      <c r="L142" s="2652"/>
      <c r="M142" s="2654"/>
      <c r="N142" s="2654"/>
      <c r="O142" s="1009" t="s">
        <v>127</v>
      </c>
      <c r="P142" s="1013">
        <f>+'ref.지급기준 (2)'!F191*'ref.지급기준 (2)'!D191/'ref.지급기준 (2)'!$Q$2</f>
        <v>0</v>
      </c>
      <c r="Q142" s="896"/>
      <c r="R142" s="1002">
        <f t="shared" si="140"/>
        <v>0</v>
      </c>
      <c r="S142" s="874" t="b">
        <f t="shared" si="245"/>
        <v>1</v>
      </c>
      <c r="T142" s="908" t="str">
        <f>+IFERROR(U142/R142,"-")</f>
        <v>-</v>
      </c>
      <c r="U142" s="909">
        <f>+IFERROR(X142+AA142+AD142+AG142+AJ142+AM142,"-")</f>
        <v>0</v>
      </c>
      <c r="V142" s="877" t="str">
        <f t="shared" si="246"/>
        <v>-</v>
      </c>
      <c r="W142" s="887"/>
      <c r="X142" s="876"/>
      <c r="Y142" s="877"/>
      <c r="Z142" s="877" t="str">
        <f t="shared" si="144"/>
        <v>-</v>
      </c>
      <c r="AA142" s="877"/>
      <c r="AB142" s="883"/>
      <c r="AC142" s="877" t="str">
        <f t="shared" si="145"/>
        <v>-</v>
      </c>
      <c r="AD142" s="877"/>
      <c r="AE142" s="883"/>
      <c r="AF142" s="877" t="str">
        <f t="shared" si="146"/>
        <v>-</v>
      </c>
      <c r="AG142" s="877"/>
      <c r="AH142" s="883"/>
      <c r="AI142" s="877" t="str">
        <f>+IFERROR(AJ142/#REF!,"-")</f>
        <v>-</v>
      </c>
      <c r="AJ142" s="877"/>
      <c r="AK142" s="877"/>
      <c r="AL142" s="877" t="str">
        <f>+IFERROR(AM142/#REF!,"-")</f>
        <v>-</v>
      </c>
      <c r="AM142" s="877"/>
      <c r="AN142" s="877"/>
      <c r="AO142" s="884">
        <f t="shared" si="247"/>
        <v>0</v>
      </c>
      <c r="AP142" s="884">
        <f>+AO142*'ref.지급기준 (2)'!G191</f>
        <v>0</v>
      </c>
      <c r="AQ142" s="1534"/>
      <c r="AR142" s="407"/>
      <c r="AS142" s="945">
        <f>+$AO142*'ref.지급기준 (2)'!G191</f>
        <v>0</v>
      </c>
      <c r="AT142" s="884">
        <f t="shared" si="248"/>
        <v>0</v>
      </c>
      <c r="AU142" s="884">
        <f>+$AO142*'ref.지급기준 (2)'!I191</f>
        <v>0</v>
      </c>
      <c r="AV142" s="884">
        <f t="shared" si="143"/>
        <v>0</v>
      </c>
      <c r="AW142" s="884">
        <f>+$AO142*'ref.지급기준 (2)'!K191</f>
        <v>0</v>
      </c>
      <c r="AX142" s="884"/>
      <c r="AY142" s="884">
        <f>+$AO142*'ref.지급기준 (2)'!M191</f>
        <v>0</v>
      </c>
      <c r="AZ142" s="884"/>
      <c r="BA142" s="884">
        <f>+$AO142*'ref.지급기준 (2)'!O191</f>
        <v>0</v>
      </c>
      <c r="BB142" s="890"/>
      <c r="BC142" s="2719"/>
      <c r="BD142" s="393"/>
      <c r="BE142" s="393" t="b">
        <f>+(BA142+AY142+AW142+AU142+AS142)=R142</f>
        <v>1</v>
      </c>
      <c r="BF142" s="393"/>
      <c r="BG142" s="393"/>
      <c r="BH142" s="393"/>
      <c r="BI142" s="393"/>
      <c r="BJ142" s="393"/>
      <c r="BK142" s="393"/>
      <c r="BL142" s="393"/>
      <c r="BM142" s="393"/>
      <c r="BN142" s="393"/>
      <c r="BO142" s="408"/>
      <c r="BP142" s="408"/>
    </row>
    <row r="143" spans="1:68" ht="17.25" customHeight="1">
      <c r="A143" s="929"/>
      <c r="B143" s="2741"/>
      <c r="C143" s="2744"/>
      <c r="D143" s="2747"/>
      <c r="E143" s="2747"/>
      <c r="F143" s="2693"/>
      <c r="G143" s="2747"/>
      <c r="H143" s="2747"/>
      <c r="I143" s="2732"/>
      <c r="J143" s="2747"/>
      <c r="K143" s="2649"/>
      <c r="L143" s="2652"/>
      <c r="M143" s="2654"/>
      <c r="N143" s="2654"/>
      <c r="O143" s="1009" t="s">
        <v>128</v>
      </c>
      <c r="P143" s="1013">
        <f>+'DG-PV Organic'!AJ5</f>
        <v>29718000</v>
      </c>
      <c r="Q143" s="896">
        <f t="shared" ref="Q143" si="259">+P143*10%</f>
        <v>2971800</v>
      </c>
      <c r="R143" s="1002">
        <f t="shared" si="140"/>
        <v>32689800</v>
      </c>
      <c r="S143" s="874" t="b">
        <f t="shared" si="245"/>
        <v>1</v>
      </c>
      <c r="T143" s="908">
        <f>+IFERROR(U143/R143,"-")</f>
        <v>0.2</v>
      </c>
      <c r="U143" s="909">
        <f>+IFERROR(X143+AA143+AD143+AG143+AJ143+AM143,"-")</f>
        <v>6537960</v>
      </c>
      <c r="V143" s="879">
        <f t="shared" si="246"/>
        <v>0.2</v>
      </c>
      <c r="W143" s="889">
        <f>W141</f>
        <v>45679</v>
      </c>
      <c r="X143" s="880">
        <f>+R143*20%</f>
        <v>6537960</v>
      </c>
      <c r="Y143" s="879"/>
      <c r="Z143" s="877">
        <v>0</v>
      </c>
      <c r="AA143" s="877"/>
      <c r="AB143" s="883">
        <f>AB141</f>
        <v>45777</v>
      </c>
      <c r="AC143" s="877">
        <f t="shared" si="145"/>
        <v>0</v>
      </c>
      <c r="AD143" s="877"/>
      <c r="AE143" s="883">
        <f>AE141</f>
        <v>45807</v>
      </c>
      <c r="AF143" s="877">
        <f t="shared" si="146"/>
        <v>0</v>
      </c>
      <c r="AG143" s="877"/>
      <c r="AH143" s="883">
        <f>AH141</f>
        <v>45991</v>
      </c>
      <c r="AI143" s="877" t="str">
        <f>+IFERROR(AJ143/#REF!,"-")</f>
        <v>-</v>
      </c>
      <c r="AJ143" s="877"/>
      <c r="AK143" s="877"/>
      <c r="AL143" s="877" t="str">
        <f>+IFERROR(AM143/#REF!,"-")</f>
        <v>-</v>
      </c>
      <c r="AM143" s="877"/>
      <c r="AN143" s="877"/>
      <c r="AO143" s="884">
        <f t="shared" si="247"/>
        <v>32689800</v>
      </c>
      <c r="AP143" s="884">
        <f>+AO143*'ref.지급기준 (2)'!G192</f>
        <v>6537960</v>
      </c>
      <c r="AQ143" s="1534">
        <f>+AB143</f>
        <v>45777</v>
      </c>
      <c r="AR143" s="407"/>
      <c r="AS143" s="945">
        <f>+$AO143*'ref.지급기준 (2)'!G192</f>
        <v>6537960</v>
      </c>
      <c r="AT143" s="884">
        <f t="shared" si="248"/>
        <v>6537960</v>
      </c>
      <c r="AU143" s="884">
        <f>+$AO143*'ref.지급기준 (2)'!I192</f>
        <v>6537960</v>
      </c>
      <c r="AV143" s="884">
        <f t="shared" si="143"/>
        <v>0</v>
      </c>
      <c r="AW143" s="884">
        <f>+$AO143*'ref.지급기준 (2)'!K192</f>
        <v>16344900</v>
      </c>
      <c r="AX143" s="884"/>
      <c r="AY143" s="884">
        <f>+$AO143*'ref.지급기준 (2)'!M192</f>
        <v>3268980</v>
      </c>
      <c r="AZ143" s="884"/>
      <c r="BA143" s="884">
        <f>+$AO143*'ref.지급기준 (2)'!O192</f>
        <v>0</v>
      </c>
      <c r="BB143" s="890"/>
      <c r="BC143" s="2719"/>
      <c r="BD143" s="393"/>
      <c r="BE143" s="393" t="b">
        <f>+(BA143+AY143+AW143+AU143+AS143)=R143</f>
        <v>1</v>
      </c>
      <c r="BF143" s="393"/>
      <c r="BG143" s="393"/>
      <c r="BH143" s="393"/>
      <c r="BI143" s="393"/>
      <c r="BJ143" s="393"/>
      <c r="BK143" s="393"/>
      <c r="BL143" s="393"/>
      <c r="BM143" s="393"/>
      <c r="BN143" s="393"/>
      <c r="BO143" s="408"/>
      <c r="BP143" s="408"/>
    </row>
    <row r="144" spans="1:68" ht="17.25" customHeight="1">
      <c r="A144" s="929"/>
      <c r="B144" s="2741"/>
      <c r="C144" s="2744"/>
      <c r="D144" s="2747"/>
      <c r="E144" s="2747"/>
      <c r="F144" s="2693"/>
      <c r="G144" s="2747"/>
      <c r="H144" s="2747"/>
      <c r="I144" s="2732"/>
      <c r="J144" s="2747"/>
      <c r="K144" s="2649"/>
      <c r="L144" s="2652"/>
      <c r="M144" s="2654"/>
      <c r="N144" s="2654"/>
      <c r="O144" s="1010" t="s">
        <v>129</v>
      </c>
      <c r="P144" s="1017">
        <f>+'DG-PV Organic'!AI5</f>
        <v>29718000</v>
      </c>
      <c r="Q144" s="899">
        <f>+P144*0.1</f>
        <v>2971800</v>
      </c>
      <c r="R144" s="1006">
        <f>SUM(P144:Q144)</f>
        <v>32689800</v>
      </c>
      <c r="S144" s="874" t="b">
        <f t="shared" si="245"/>
        <v>1</v>
      </c>
      <c r="T144" s="910"/>
      <c r="U144" s="911"/>
      <c r="V144" s="910">
        <f t="shared" si="246"/>
        <v>0</v>
      </c>
      <c r="W144" s="926"/>
      <c r="X144" s="926"/>
      <c r="Y144" s="926"/>
      <c r="Z144" s="926">
        <f t="shared" ref="Z144" si="260">+IFERROR(AA144/$R144,"-")</f>
        <v>0</v>
      </c>
      <c r="AA144" s="926"/>
      <c r="AB144" s="927"/>
      <c r="AC144" s="926">
        <f t="shared" si="145"/>
        <v>0</v>
      </c>
      <c r="AD144" s="926"/>
      <c r="AE144" s="927"/>
      <c r="AF144" s="926">
        <f t="shared" si="146"/>
        <v>0</v>
      </c>
      <c r="AG144" s="926"/>
      <c r="AH144" s="927"/>
      <c r="AI144" s="926" t="str">
        <f>+IFERROR(AJ144/#REF!,"-")</f>
        <v>-</v>
      </c>
      <c r="AJ144" s="926"/>
      <c r="AK144" s="926"/>
      <c r="AL144" s="926"/>
      <c r="AM144" s="926"/>
      <c r="AN144" s="926"/>
      <c r="AO144" s="928">
        <f t="shared" si="247"/>
        <v>32689800</v>
      </c>
      <c r="AP144" s="928">
        <f>+AS144+AU144</f>
        <v>32689800</v>
      </c>
      <c r="AQ144" s="1535"/>
      <c r="AR144" s="407"/>
      <c r="AS144" s="947">
        <f>+$AO144*'ref.지급기준 (2)'!G188</f>
        <v>32689800</v>
      </c>
      <c r="AT144" s="928">
        <f t="shared" si="248"/>
        <v>0</v>
      </c>
      <c r="AU144" s="928">
        <f>+$AO144*'ref.지급기준 (2)'!I188</f>
        <v>0</v>
      </c>
      <c r="AV144" s="928">
        <f t="shared" ref="AV144" si="261">+AA144</f>
        <v>0</v>
      </c>
      <c r="AW144" s="928">
        <f>+$AO144*'ref.지급기준 (2)'!K188</f>
        <v>0</v>
      </c>
      <c r="AX144" s="928"/>
      <c r="AY144" s="928">
        <f>+$AO144*'ref.지급기준 (2)'!M188</f>
        <v>0</v>
      </c>
      <c r="AZ144" s="928"/>
      <c r="BA144" s="928">
        <f>+$AO144*'ref.지급기준 (2)'!O188</f>
        <v>0</v>
      </c>
      <c r="BB144" s="997"/>
      <c r="BC144" s="2720"/>
      <c r="BD144" s="393"/>
      <c r="BE144" s="393"/>
      <c r="BF144" s="393"/>
      <c r="BG144" s="393"/>
      <c r="BH144" s="393"/>
      <c r="BI144" s="393"/>
      <c r="BJ144" s="393"/>
      <c r="BK144" s="393"/>
      <c r="BL144" s="393"/>
      <c r="BM144" s="393"/>
      <c r="BN144" s="393"/>
      <c r="BO144" s="408"/>
      <c r="BP144" s="408"/>
    </row>
    <row r="145" spans="1:68" ht="16.5" customHeight="1">
      <c r="A145" s="929"/>
      <c r="B145" s="2741"/>
      <c r="C145" s="2744"/>
      <c r="D145" s="2747"/>
      <c r="E145" s="2747"/>
      <c r="F145" s="2693"/>
      <c r="G145" s="2747"/>
      <c r="H145" s="2747"/>
      <c r="I145" s="2732" t="s">
        <v>1308</v>
      </c>
      <c r="J145" s="2793" t="s">
        <v>1309</v>
      </c>
      <c r="K145" s="2519">
        <f>+'ref.지급기준 (2)'!D194</f>
        <v>71.680000000000007</v>
      </c>
      <c r="L145" s="2802">
        <f>+'DG-PV Organic'!H6</f>
        <v>8.6499999999999994E-2</v>
      </c>
      <c r="M145" s="2756">
        <f>+'DG-PV Organic'!J6</f>
        <v>9.2999999999999999E-2</v>
      </c>
      <c r="N145" s="2805" t="s">
        <v>1213</v>
      </c>
      <c r="O145" s="1018" t="s">
        <v>125</v>
      </c>
      <c r="P145" s="1011">
        <f>+'ref.지급기준 (2)'!F194*'ref.지급기준 (2)'!D194/'ref.지급기준 (2)'!$Q$2</f>
        <v>75264000</v>
      </c>
      <c r="Q145" s="905">
        <f>+P145*10%</f>
        <v>7526400</v>
      </c>
      <c r="R145" s="1012">
        <f t="shared" ref="R145:R148" si="262">SUM(P145:Q145)</f>
        <v>82790400</v>
      </c>
      <c r="S145" s="874" t="b">
        <f t="shared" si="245"/>
        <v>1</v>
      </c>
      <c r="T145" s="906">
        <f>+IFERROR(U145/R145,"-")</f>
        <v>0</v>
      </c>
      <c r="U145" s="907">
        <f>+IFERROR(X145+AA145+AD145+AG145+AJ145+AM145,"-")</f>
        <v>0</v>
      </c>
      <c r="V145" s="877">
        <f t="shared" si="246"/>
        <v>0</v>
      </c>
      <c r="W145" s="887">
        <f>AE146</f>
        <v>45838</v>
      </c>
      <c r="X145" s="876"/>
      <c r="Y145" s="877"/>
      <c r="Z145" s="877">
        <f t="shared" ref="Z145:Z147" si="263">+IFERROR(AA145/$R145,"-")</f>
        <v>0</v>
      </c>
      <c r="AA145" s="877"/>
      <c r="AB145" s="883">
        <f>+EDATE(W145,1)</f>
        <v>45868</v>
      </c>
      <c r="AC145" s="877">
        <f t="shared" ref="AC145:AC149" si="264">+IFERROR(AD145/$R145,"-")</f>
        <v>0</v>
      </c>
      <c r="AD145" s="877"/>
      <c r="AE145" s="883">
        <f t="shared" ref="AE145" si="265">+EDATE(AB145,3)</f>
        <v>45960</v>
      </c>
      <c r="AF145" s="877">
        <f t="shared" ref="AF145:AF149" si="266">+IFERROR(AG145/$R145,"-")</f>
        <v>0</v>
      </c>
      <c r="AG145" s="877"/>
      <c r="AH145" s="883">
        <f t="shared" ref="AH145" si="267">+EDATE(AB145,4)</f>
        <v>45991</v>
      </c>
      <c r="AI145" s="877" t="str">
        <f>+IFERROR(AJ145/#REF!,"-")</f>
        <v>-</v>
      </c>
      <c r="AJ145" s="877"/>
      <c r="AK145" s="883">
        <f t="shared" ref="AK145" si="268">+EDATE(AB145,6)</f>
        <v>46052</v>
      </c>
      <c r="AL145" s="877" t="str">
        <f>+IFERROR(AM145/#REF!,"-")</f>
        <v>-</v>
      </c>
      <c r="AM145" s="877"/>
      <c r="AN145" s="877"/>
      <c r="AO145" s="884">
        <f t="shared" si="247"/>
        <v>82790400</v>
      </c>
      <c r="AP145" s="884">
        <f>+AO145*'ref.지급기준 (2)'!G194</f>
        <v>8279040</v>
      </c>
      <c r="AQ145" s="1534">
        <f>+W145</f>
        <v>45838</v>
      </c>
      <c r="AR145" s="407"/>
      <c r="AS145" s="945">
        <f>+$AO145*'ref.지급기준 (2)'!G194</f>
        <v>8279040</v>
      </c>
      <c r="AT145" s="884">
        <f t="shared" si="248"/>
        <v>0</v>
      </c>
      <c r="AU145" s="884">
        <f>+$AO145*'ref.지급기준 (2)'!I194</f>
        <v>16558080</v>
      </c>
      <c r="AV145" s="884">
        <f t="shared" ref="AV145:AV159" si="269">+AA145</f>
        <v>0</v>
      </c>
      <c r="AW145" s="884">
        <f>+$AO145*'ref.지급기준 (2)'!K194</f>
        <v>33116160</v>
      </c>
      <c r="AX145" s="884"/>
      <c r="AY145" s="884">
        <f>+$AO145*'ref.지급기준 (2)'!M194</f>
        <v>20697600</v>
      </c>
      <c r="AZ145" s="884"/>
      <c r="BA145" s="884">
        <f>+$AO145*'ref.지급기준 (2)'!O194</f>
        <v>4139520</v>
      </c>
      <c r="BB145" s="890"/>
      <c r="BC145" s="2718" t="s">
        <v>1307</v>
      </c>
      <c r="BD145" s="393"/>
      <c r="BE145" s="393" t="b">
        <f>+(BA145+AY145+AW145+AU145+AS145)=R145</f>
        <v>1</v>
      </c>
      <c r="BF145" s="393"/>
      <c r="BG145" s="393"/>
      <c r="BH145" s="393"/>
      <c r="BI145" s="393"/>
      <c r="BJ145" s="393"/>
      <c r="BK145" s="393"/>
      <c r="BL145" s="393"/>
      <c r="BM145" s="393"/>
      <c r="BN145" s="393"/>
      <c r="BO145" s="408"/>
      <c r="BP145" s="408"/>
    </row>
    <row r="146" spans="1:68">
      <c r="A146" s="929"/>
      <c r="B146" s="2741"/>
      <c r="C146" s="2744"/>
      <c r="D146" s="2747"/>
      <c r="E146" s="2747"/>
      <c r="F146" s="2693"/>
      <c r="G146" s="2747"/>
      <c r="H146" s="2747"/>
      <c r="I146" s="2732"/>
      <c r="J146" s="2793"/>
      <c r="K146" s="2519"/>
      <c r="L146" s="2802"/>
      <c r="M146" s="2756"/>
      <c r="N146" s="2805"/>
      <c r="O146" s="1015" t="s">
        <v>126</v>
      </c>
      <c r="P146" s="1013">
        <f>+'ref.지급기준 (2)'!F195*'ref.지급기준 (2)'!D195/'ref.지급기준 (2)'!$Q$2</f>
        <v>21504000.000000004</v>
      </c>
      <c r="Q146" s="897">
        <f>+P146*10%</f>
        <v>2150400.0000000005</v>
      </c>
      <c r="R146" s="1002">
        <f t="shared" si="262"/>
        <v>23654400.000000004</v>
      </c>
      <c r="S146" s="874" t="b">
        <f t="shared" si="245"/>
        <v>1</v>
      </c>
      <c r="T146" s="908">
        <f>+IFERROR(U146/R146,"-")</f>
        <v>0.2</v>
      </c>
      <c r="U146" s="909">
        <f>+IFERROR(X146+AA146+AD146+AG146+AJ146+AM146,"-")</f>
        <v>4730880.0000000009</v>
      </c>
      <c r="V146" s="879">
        <f t="shared" si="246"/>
        <v>0.2</v>
      </c>
      <c r="W146" s="889">
        <v>45705</v>
      </c>
      <c r="X146" s="880">
        <f>+R146*20%</f>
        <v>4730880.0000000009</v>
      </c>
      <c r="Y146" s="879"/>
      <c r="Z146" s="877">
        <f t="shared" si="263"/>
        <v>0</v>
      </c>
      <c r="AA146" s="886"/>
      <c r="AB146" s="883">
        <v>45777</v>
      </c>
      <c r="AC146" s="877">
        <f t="shared" si="264"/>
        <v>0</v>
      </c>
      <c r="AD146" s="877"/>
      <c r="AE146" s="883">
        <f>+EDATE(AB146,2)</f>
        <v>45838</v>
      </c>
      <c r="AF146" s="877">
        <f t="shared" si="266"/>
        <v>0</v>
      </c>
      <c r="AG146" s="877"/>
      <c r="AH146" s="883">
        <f>+EDATE(AB145,5)</f>
        <v>46021</v>
      </c>
      <c r="AI146" s="877" t="str">
        <f>+IFERROR(AJ146/#REF!,"-")</f>
        <v>-</v>
      </c>
      <c r="AJ146" s="877"/>
      <c r="AK146" s="877"/>
      <c r="AL146" s="877" t="str">
        <f>+IFERROR(AM146/#REF!,"-")</f>
        <v>-</v>
      </c>
      <c r="AM146" s="877"/>
      <c r="AN146" s="877"/>
      <c r="AO146" s="884">
        <f t="shared" si="247"/>
        <v>23654400.000000004</v>
      </c>
      <c r="AP146" s="884">
        <f>+AO146*'ref.지급기준 (2)'!G195</f>
        <v>4730880.0000000009</v>
      </c>
      <c r="AQ146" s="1534">
        <f>+AB146</f>
        <v>45777</v>
      </c>
      <c r="AR146" s="407"/>
      <c r="AS146" s="945">
        <f>+$AO146*'ref.지급기준 (2)'!G195</f>
        <v>4730880.0000000009</v>
      </c>
      <c r="AT146" s="884">
        <f t="shared" si="248"/>
        <v>4730880.0000000009</v>
      </c>
      <c r="AU146" s="884">
        <f>+$AO146*'ref.지급기준 (2)'!I195</f>
        <v>4730880.0000000009</v>
      </c>
      <c r="AV146" s="884">
        <f t="shared" si="269"/>
        <v>0</v>
      </c>
      <c r="AW146" s="884">
        <f>+$AO146*'ref.지급기준 (2)'!K195</f>
        <v>11827200.000000002</v>
      </c>
      <c r="AX146" s="884"/>
      <c r="AY146" s="884">
        <f>+$AO146*'ref.지급기준 (2)'!M195</f>
        <v>2365440.0000000005</v>
      </c>
      <c r="AZ146" s="884"/>
      <c r="BA146" s="884">
        <f>+$AO146*'ref.지급기준 (2)'!O195</f>
        <v>0</v>
      </c>
      <c r="BB146" s="890"/>
      <c r="BC146" s="2719"/>
      <c r="BD146" s="393"/>
      <c r="BE146" s="393" t="b">
        <f>+(BA146+AY146+AW146+AU146+AS146)=R146</f>
        <v>1</v>
      </c>
      <c r="BF146" s="393"/>
      <c r="BG146" s="393"/>
      <c r="BH146" s="393"/>
      <c r="BI146" s="393"/>
      <c r="BJ146" s="393"/>
      <c r="BK146" s="393"/>
      <c r="BL146" s="393"/>
      <c r="BM146" s="393"/>
      <c r="BN146" s="393"/>
      <c r="BO146" s="408"/>
      <c r="BP146" s="408"/>
    </row>
    <row r="147" spans="1:68">
      <c r="A147" s="929"/>
      <c r="B147" s="2741"/>
      <c r="C147" s="2744"/>
      <c r="D147" s="2747"/>
      <c r="E147" s="2747"/>
      <c r="F147" s="2693"/>
      <c r="G147" s="2747"/>
      <c r="H147" s="2747"/>
      <c r="I147" s="2732"/>
      <c r="J147" s="2793"/>
      <c r="K147" s="2519"/>
      <c r="L147" s="2802"/>
      <c r="M147" s="2756"/>
      <c r="N147" s="2805"/>
      <c r="O147" s="1015" t="s">
        <v>127</v>
      </c>
      <c r="P147" s="1013">
        <f>+'ref.지급기준 (2)'!F196*'ref.지급기준 (2)'!D196/'ref.지급기준 (2)'!$Q$2</f>
        <v>0</v>
      </c>
      <c r="Q147" s="897"/>
      <c r="R147" s="1002">
        <f t="shared" si="262"/>
        <v>0</v>
      </c>
      <c r="S147" s="874" t="b">
        <f t="shared" si="245"/>
        <v>1</v>
      </c>
      <c r="T147" s="908" t="str">
        <f>+IFERROR(U147/R147,"-")</f>
        <v>-</v>
      </c>
      <c r="U147" s="909">
        <f>+IFERROR(X147+AA147+AD147+AG147+AJ147+AM147,"-")</f>
        <v>0</v>
      </c>
      <c r="V147" s="877" t="str">
        <f t="shared" si="246"/>
        <v>-</v>
      </c>
      <c r="W147" s="887"/>
      <c r="X147" s="876"/>
      <c r="Y147" s="877"/>
      <c r="Z147" s="877" t="str">
        <f t="shared" si="263"/>
        <v>-</v>
      </c>
      <c r="AA147" s="877"/>
      <c r="AB147" s="883"/>
      <c r="AC147" s="877" t="str">
        <f t="shared" si="264"/>
        <v>-</v>
      </c>
      <c r="AD147" s="877"/>
      <c r="AE147" s="883"/>
      <c r="AF147" s="877" t="str">
        <f t="shared" si="266"/>
        <v>-</v>
      </c>
      <c r="AG147" s="877"/>
      <c r="AH147" s="883"/>
      <c r="AI147" s="877" t="str">
        <f>+IFERROR(AJ147/#REF!,"-")</f>
        <v>-</v>
      </c>
      <c r="AJ147" s="877"/>
      <c r="AK147" s="877"/>
      <c r="AL147" s="877" t="str">
        <f>+IFERROR(AM147/#REF!,"-")</f>
        <v>-</v>
      </c>
      <c r="AM147" s="877"/>
      <c r="AN147" s="877"/>
      <c r="AO147" s="884">
        <f t="shared" si="247"/>
        <v>0</v>
      </c>
      <c r="AP147" s="884">
        <f>+AO147*'ref.지급기준 (2)'!G196</f>
        <v>0</v>
      </c>
      <c r="AQ147" s="1534"/>
      <c r="AR147" s="407"/>
      <c r="AS147" s="945">
        <f>+$AO147*'ref.지급기준 (2)'!G196</f>
        <v>0</v>
      </c>
      <c r="AT147" s="884">
        <f t="shared" si="248"/>
        <v>0</v>
      </c>
      <c r="AU147" s="884">
        <f>+$AO147*'ref.지급기준 (2)'!I196</f>
        <v>0</v>
      </c>
      <c r="AV147" s="884">
        <f t="shared" si="269"/>
        <v>0</v>
      </c>
      <c r="AW147" s="884">
        <f>+$AO147*'ref.지급기준 (2)'!K196</f>
        <v>0</v>
      </c>
      <c r="AX147" s="884"/>
      <c r="AY147" s="884">
        <f>+$AO147*'ref.지급기준 (2)'!M196</f>
        <v>0</v>
      </c>
      <c r="AZ147" s="884"/>
      <c r="BA147" s="884">
        <f>+$AO147*'ref.지급기준 (2)'!O196</f>
        <v>0</v>
      </c>
      <c r="BB147" s="890"/>
      <c r="BC147" s="2719"/>
      <c r="BD147" s="393"/>
      <c r="BE147" s="393" t="b">
        <f>+(BA147+AY147+AW147+AU147+AS147)=R147</f>
        <v>1</v>
      </c>
      <c r="BF147" s="393"/>
      <c r="BG147" s="393"/>
      <c r="BH147" s="393"/>
      <c r="BI147" s="393"/>
      <c r="BJ147" s="393"/>
      <c r="BK147" s="393"/>
      <c r="BL147" s="393"/>
      <c r="BM147" s="393"/>
      <c r="BN147" s="393"/>
      <c r="BO147" s="408"/>
      <c r="BP147" s="408"/>
    </row>
    <row r="148" spans="1:68" ht="17.25" customHeight="1">
      <c r="A148" s="929"/>
      <c r="B148" s="2741"/>
      <c r="C148" s="2744"/>
      <c r="D148" s="2747"/>
      <c r="E148" s="2747"/>
      <c r="F148" s="2693"/>
      <c r="G148" s="2747"/>
      <c r="H148" s="2747"/>
      <c r="I148" s="2732"/>
      <c r="J148" s="2793"/>
      <c r="K148" s="2519"/>
      <c r="L148" s="2802"/>
      <c r="M148" s="2756"/>
      <c r="N148" s="2805"/>
      <c r="O148" s="1015" t="s">
        <v>128</v>
      </c>
      <c r="P148" s="1013">
        <f>+'ref.지급기준 (2)'!F197*'ref.지급기준 (2)'!D197/'ref.지급기준 (2)'!$Q$2</f>
        <v>14336000.000000002</v>
      </c>
      <c r="Q148" s="897">
        <f t="shared" ref="Q148" si="270">+P148*10%</f>
        <v>1433600.0000000002</v>
      </c>
      <c r="R148" s="1002">
        <f t="shared" si="262"/>
        <v>15769600.000000002</v>
      </c>
      <c r="S148" s="874" t="b">
        <f t="shared" si="245"/>
        <v>1</v>
      </c>
      <c r="T148" s="908">
        <f>+IFERROR(U148/R148,"-")</f>
        <v>0.2</v>
      </c>
      <c r="U148" s="909">
        <f>+IFERROR(X148+AA148+AD148+AG148+AJ148+AM148,"-")</f>
        <v>3153920.0000000005</v>
      </c>
      <c r="V148" s="879">
        <f t="shared" si="246"/>
        <v>0.2</v>
      </c>
      <c r="W148" s="889">
        <f>W146</f>
        <v>45705</v>
      </c>
      <c r="X148" s="880">
        <f>+R148*20%</f>
        <v>3153920.0000000005</v>
      </c>
      <c r="Y148" s="879"/>
      <c r="Z148" s="877">
        <v>0</v>
      </c>
      <c r="AA148" s="877"/>
      <c r="AB148" s="883">
        <f>AB146</f>
        <v>45777</v>
      </c>
      <c r="AC148" s="877">
        <f t="shared" si="264"/>
        <v>0</v>
      </c>
      <c r="AD148" s="877"/>
      <c r="AE148" s="883">
        <f>AE146</f>
        <v>45838</v>
      </c>
      <c r="AF148" s="877">
        <f t="shared" si="266"/>
        <v>0</v>
      </c>
      <c r="AG148" s="877"/>
      <c r="AH148" s="883">
        <f>AH146</f>
        <v>46021</v>
      </c>
      <c r="AI148" s="877" t="str">
        <f>+IFERROR(AJ148/#REF!,"-")</f>
        <v>-</v>
      </c>
      <c r="AJ148" s="877"/>
      <c r="AK148" s="877"/>
      <c r="AL148" s="877" t="str">
        <f>+IFERROR(AM148/#REF!,"-")</f>
        <v>-</v>
      </c>
      <c r="AM148" s="877"/>
      <c r="AN148" s="877"/>
      <c r="AO148" s="884">
        <f t="shared" si="247"/>
        <v>15769600.000000002</v>
      </c>
      <c r="AP148" s="884">
        <f>+AO148*'ref.지급기준 (2)'!G197</f>
        <v>3153920.0000000005</v>
      </c>
      <c r="AQ148" s="1534">
        <f>+AB148</f>
        <v>45777</v>
      </c>
      <c r="AR148" s="407"/>
      <c r="AS148" s="945">
        <f>+$AO148*'ref.지급기준 (2)'!G197</f>
        <v>3153920.0000000005</v>
      </c>
      <c r="AT148" s="884">
        <f t="shared" si="248"/>
        <v>3153920.0000000005</v>
      </c>
      <c r="AU148" s="884">
        <f>+$AO148*'ref.지급기준 (2)'!I197</f>
        <v>3153920.0000000005</v>
      </c>
      <c r="AV148" s="884">
        <f t="shared" si="269"/>
        <v>0</v>
      </c>
      <c r="AW148" s="884">
        <f>+$AO148*'ref.지급기준 (2)'!K197</f>
        <v>7884800.0000000009</v>
      </c>
      <c r="AX148" s="884"/>
      <c r="AY148" s="884">
        <f>+$AO148*'ref.지급기준 (2)'!M197</f>
        <v>1576960.0000000002</v>
      </c>
      <c r="AZ148" s="884"/>
      <c r="BA148" s="884">
        <f>+$AO148*'ref.지급기준 (2)'!O197</f>
        <v>0</v>
      </c>
      <c r="BB148" s="890"/>
      <c r="BC148" s="2719"/>
      <c r="BD148" s="393"/>
      <c r="BE148" s="393" t="b">
        <f>+(BA148+AY148+AW148+AU148+AS148)=R148</f>
        <v>1</v>
      </c>
      <c r="BF148" s="393"/>
      <c r="BG148" s="393"/>
      <c r="BH148" s="393"/>
      <c r="BI148" s="393"/>
      <c r="BJ148" s="393"/>
      <c r="BK148" s="393"/>
      <c r="BL148" s="393"/>
      <c r="BM148" s="393"/>
      <c r="BN148" s="393"/>
      <c r="BO148" s="408"/>
      <c r="BP148" s="408"/>
    </row>
    <row r="149" spans="1:68" ht="17.25" customHeight="1">
      <c r="A149" s="929"/>
      <c r="B149" s="2741"/>
      <c r="C149" s="2744"/>
      <c r="D149" s="2747"/>
      <c r="E149" s="2747"/>
      <c r="F149" s="2693"/>
      <c r="G149" s="2747"/>
      <c r="H149" s="2747"/>
      <c r="I149" s="2732"/>
      <c r="J149" s="2793"/>
      <c r="K149" s="2519"/>
      <c r="L149" s="2802"/>
      <c r="M149" s="2756"/>
      <c r="N149" s="2805"/>
      <c r="O149" s="1016" t="s">
        <v>129</v>
      </c>
      <c r="P149" s="1014">
        <f>40000*K145*5</f>
        <v>14336000.000000002</v>
      </c>
      <c r="Q149" s="901">
        <f>+P149*0.1</f>
        <v>1433600.0000000002</v>
      </c>
      <c r="R149" s="1003">
        <f>SUM(P149:Q149)</f>
        <v>15769600.000000002</v>
      </c>
      <c r="S149" s="874" t="b">
        <f t="shared" si="245"/>
        <v>1</v>
      </c>
      <c r="T149" s="910"/>
      <c r="U149" s="911"/>
      <c r="V149" s="910">
        <f t="shared" si="246"/>
        <v>0</v>
      </c>
      <c r="W149" s="926"/>
      <c r="X149" s="926"/>
      <c r="Y149" s="926"/>
      <c r="Z149" s="926">
        <f t="shared" ref="Z149" si="271">+IFERROR(AA149/$R149,"-")</f>
        <v>0</v>
      </c>
      <c r="AA149" s="926"/>
      <c r="AB149" s="927"/>
      <c r="AC149" s="926">
        <f t="shared" si="264"/>
        <v>0</v>
      </c>
      <c r="AD149" s="926"/>
      <c r="AE149" s="927"/>
      <c r="AF149" s="926">
        <f t="shared" si="266"/>
        <v>0</v>
      </c>
      <c r="AG149" s="926"/>
      <c r="AH149" s="927"/>
      <c r="AI149" s="926" t="str">
        <f>+IFERROR(AJ149/#REF!,"-")</f>
        <v>-</v>
      </c>
      <c r="AJ149" s="926"/>
      <c r="AK149" s="926"/>
      <c r="AL149" s="926"/>
      <c r="AM149" s="926"/>
      <c r="AN149" s="926"/>
      <c r="AO149" s="928">
        <f t="shared" si="247"/>
        <v>15769600.000000002</v>
      </c>
      <c r="AP149" s="928">
        <f>+AS149+AU149</f>
        <v>15769600.000000002</v>
      </c>
      <c r="AQ149" s="1535"/>
      <c r="AR149" s="407"/>
      <c r="AS149" s="947">
        <f>+$AO149*'ref.지급기준 (2)'!G193</f>
        <v>15769600.000000002</v>
      </c>
      <c r="AT149" s="928">
        <f t="shared" si="248"/>
        <v>0</v>
      </c>
      <c r="AU149" s="928">
        <f>+$AO149*'ref.지급기준 (2)'!I193</f>
        <v>0</v>
      </c>
      <c r="AV149" s="928">
        <f t="shared" si="269"/>
        <v>0</v>
      </c>
      <c r="AW149" s="928">
        <f>+$AO149*'ref.지급기준 (2)'!K193</f>
        <v>0</v>
      </c>
      <c r="AX149" s="928"/>
      <c r="AY149" s="928">
        <f>+$AO149*'ref.지급기준 (2)'!M193</f>
        <v>0</v>
      </c>
      <c r="AZ149" s="928"/>
      <c r="BA149" s="928">
        <f>+$AO149*'ref.지급기준 (2)'!O193</f>
        <v>0</v>
      </c>
      <c r="BB149" s="997"/>
      <c r="BC149" s="2720"/>
      <c r="BD149" s="393"/>
      <c r="BE149" s="393"/>
      <c r="BF149" s="393"/>
      <c r="BG149" s="393"/>
      <c r="BH149" s="393"/>
      <c r="BI149" s="393"/>
      <c r="BJ149" s="393"/>
      <c r="BK149" s="393"/>
      <c r="BL149" s="393"/>
      <c r="BM149" s="393"/>
      <c r="BN149" s="393"/>
      <c r="BO149" s="408"/>
      <c r="BP149" s="408"/>
    </row>
    <row r="150" spans="1:68" ht="17.25" customHeight="1">
      <c r="A150" s="929"/>
      <c r="B150" s="2741"/>
      <c r="C150" s="2744"/>
      <c r="D150" s="2747"/>
      <c r="E150" s="2747"/>
      <c r="F150" s="2693"/>
      <c r="G150" s="2747"/>
      <c r="H150" s="2747"/>
      <c r="I150" s="2732"/>
      <c r="J150" s="2793" t="s">
        <v>1310</v>
      </c>
      <c r="K150" s="2519">
        <f>+'ref.지급기준 (2)'!D199</f>
        <v>38.4</v>
      </c>
      <c r="L150" s="2802"/>
      <c r="M150" s="2756"/>
      <c r="N150" s="2805" t="s">
        <v>1213</v>
      </c>
      <c r="O150" s="906" t="s">
        <v>125</v>
      </c>
      <c r="P150" s="904">
        <f>+'ref.지급기준 (2)'!F199*'ref.지급기준 (2)'!D199/'ref.지급기준 (2)'!$Q$2</f>
        <v>40320000</v>
      </c>
      <c r="Q150" s="905">
        <f>+P150*10%</f>
        <v>4032000</v>
      </c>
      <c r="R150" s="1012">
        <f t="shared" ref="R150:R153" si="272">SUM(P150:Q150)</f>
        <v>44352000</v>
      </c>
      <c r="S150" s="874" t="b">
        <f t="shared" si="245"/>
        <v>1</v>
      </c>
      <c r="T150" s="906">
        <f>+IFERROR(U150/R150,"-")</f>
        <v>0</v>
      </c>
      <c r="U150" s="907">
        <f>+IFERROR(X150+AA150+AD150+AG150+AJ150+AM150,"-")</f>
        <v>0</v>
      </c>
      <c r="V150" s="877">
        <f t="shared" si="246"/>
        <v>0</v>
      </c>
      <c r="W150" s="887">
        <f>AE151</f>
        <v>45838</v>
      </c>
      <c r="X150" s="876"/>
      <c r="Y150" s="877"/>
      <c r="Z150" s="877">
        <f t="shared" ref="Z150:Z152" si="273">+IFERROR(AA150/$R150,"-")</f>
        <v>0</v>
      </c>
      <c r="AA150" s="877"/>
      <c r="AB150" s="883">
        <f>+EDATE(W150,1)</f>
        <v>45868</v>
      </c>
      <c r="AC150" s="877">
        <f>+IFERROR(AD150/$R150,"-")</f>
        <v>0</v>
      </c>
      <c r="AD150" s="877"/>
      <c r="AE150" s="883">
        <f>+EDATE(AB150,3)</f>
        <v>45960</v>
      </c>
      <c r="AF150" s="877">
        <f>+IFERROR(AG150/$R150,"-")</f>
        <v>0</v>
      </c>
      <c r="AG150" s="877"/>
      <c r="AH150" s="883">
        <f>+EDATE(AB150,4)</f>
        <v>45991</v>
      </c>
      <c r="AI150" s="877" t="str">
        <f>+IFERROR(AJ150/#REF!,"-")</f>
        <v>-</v>
      </c>
      <c r="AJ150" s="877"/>
      <c r="AK150" s="883">
        <f>+EDATE(AB150,6)</f>
        <v>46052</v>
      </c>
      <c r="AL150" s="877"/>
      <c r="AM150" s="877"/>
      <c r="AN150" s="877"/>
      <c r="AO150" s="884">
        <f t="shared" si="247"/>
        <v>44352000</v>
      </c>
      <c r="AP150" s="884">
        <f>+AO150*'ref.지급기준 (2)'!G199</f>
        <v>4435200</v>
      </c>
      <c r="AQ150" s="1534">
        <f>+W150</f>
        <v>45838</v>
      </c>
      <c r="AR150" s="407"/>
      <c r="AS150" s="945">
        <f>+$AO150*'ref.지급기준 (2)'!G199</f>
        <v>4435200</v>
      </c>
      <c r="AT150" s="884">
        <f t="shared" si="248"/>
        <v>0</v>
      </c>
      <c r="AU150" s="884">
        <f>+$AO150*'ref.지급기준 (2)'!I199</f>
        <v>8870400</v>
      </c>
      <c r="AV150" s="884">
        <f>+AA150</f>
        <v>0</v>
      </c>
      <c r="AW150" s="884">
        <f>+$AO150*'ref.지급기준 (2)'!K199</f>
        <v>17740800</v>
      </c>
      <c r="AX150" s="884"/>
      <c r="AY150" s="884">
        <f>+$AO150*'ref.지급기준 (2)'!M199</f>
        <v>11088000</v>
      </c>
      <c r="AZ150" s="884"/>
      <c r="BA150" s="884">
        <f>+$AO150*'ref.지급기준 (2)'!O199</f>
        <v>2217600</v>
      </c>
      <c r="BB150" s="890"/>
      <c r="BC150" s="2718" t="s">
        <v>1307</v>
      </c>
      <c r="BD150" s="393"/>
      <c r="BE150" s="393" t="b">
        <f>+(BA150+AY150+AW150+AU150+AS150)=R150</f>
        <v>1</v>
      </c>
      <c r="BF150" s="393"/>
      <c r="BG150" s="393"/>
      <c r="BH150" s="393"/>
      <c r="BI150" s="393"/>
      <c r="BJ150" s="393"/>
      <c r="BK150" s="393"/>
      <c r="BL150" s="393"/>
      <c r="BM150" s="393"/>
      <c r="BN150" s="393"/>
      <c r="BO150" s="408"/>
      <c r="BP150" s="408"/>
    </row>
    <row r="151" spans="1:68" ht="17.25" customHeight="1">
      <c r="A151" s="929"/>
      <c r="B151" s="2741"/>
      <c r="C151" s="2744"/>
      <c r="D151" s="2747"/>
      <c r="E151" s="2747"/>
      <c r="F151" s="2693"/>
      <c r="G151" s="2747"/>
      <c r="H151" s="2747"/>
      <c r="I151" s="2732"/>
      <c r="J151" s="2793"/>
      <c r="K151" s="2519"/>
      <c r="L151" s="2802"/>
      <c r="M151" s="2756"/>
      <c r="N151" s="2805"/>
      <c r="O151" s="908" t="s">
        <v>126</v>
      </c>
      <c r="P151" s="896">
        <f>+'ref.지급기준 (2)'!F200*'ref.지급기준 (2)'!D200/'ref.지급기준 (2)'!$Q$2</f>
        <v>11520000</v>
      </c>
      <c r="Q151" s="897">
        <f>+P151*10%</f>
        <v>1152000</v>
      </c>
      <c r="R151" s="1002">
        <f t="shared" si="272"/>
        <v>12672000</v>
      </c>
      <c r="S151" s="874" t="b">
        <f t="shared" si="245"/>
        <v>1</v>
      </c>
      <c r="T151" s="908">
        <f>+IFERROR(U151/R151,"-")</f>
        <v>0.2</v>
      </c>
      <c r="U151" s="909">
        <f>+IFERROR(X151+AA151+AD151+AG151+AJ151+AM151,"-")</f>
        <v>2534400</v>
      </c>
      <c r="V151" s="879">
        <f t="shared" si="246"/>
        <v>0.2</v>
      </c>
      <c r="W151" s="889">
        <v>45705</v>
      </c>
      <c r="X151" s="880">
        <f>+R151*20%</f>
        <v>2534400</v>
      </c>
      <c r="Y151" s="879"/>
      <c r="Z151" s="877">
        <f t="shared" si="273"/>
        <v>0</v>
      </c>
      <c r="AA151" s="886"/>
      <c r="AB151" s="883">
        <v>45777</v>
      </c>
      <c r="AC151" s="877">
        <f>+IFERROR(AD151/$R151,"-")</f>
        <v>0</v>
      </c>
      <c r="AD151" s="877"/>
      <c r="AE151" s="883">
        <f>+EDATE(AB151,2)</f>
        <v>45838</v>
      </c>
      <c r="AF151" s="877">
        <f>+IFERROR(AG151/$R151,"-")</f>
        <v>0</v>
      </c>
      <c r="AG151" s="877"/>
      <c r="AH151" s="883">
        <f>+EDATE(AB150,5)</f>
        <v>46021</v>
      </c>
      <c r="AI151" s="877" t="str">
        <f>+IFERROR(AJ151/#REF!,"-")</f>
        <v>-</v>
      </c>
      <c r="AJ151" s="877"/>
      <c r="AK151" s="877"/>
      <c r="AL151" s="877"/>
      <c r="AM151" s="877"/>
      <c r="AN151" s="877"/>
      <c r="AO151" s="884">
        <f t="shared" si="247"/>
        <v>12672000</v>
      </c>
      <c r="AP151" s="884">
        <f>+AO151*'ref.지급기준 (2)'!G200</f>
        <v>2534400</v>
      </c>
      <c r="AQ151" s="1534">
        <f>+AB151</f>
        <v>45777</v>
      </c>
      <c r="AR151" s="407"/>
      <c r="AS151" s="945">
        <f>+$AO151*'ref.지급기준 (2)'!G200</f>
        <v>2534400</v>
      </c>
      <c r="AT151" s="884">
        <f t="shared" si="248"/>
        <v>2534400</v>
      </c>
      <c r="AU151" s="884">
        <f>+$AO151*'ref.지급기준 (2)'!I200</f>
        <v>2534400</v>
      </c>
      <c r="AV151" s="884">
        <f>+AA151</f>
        <v>0</v>
      </c>
      <c r="AW151" s="884">
        <f>+$AO151*'ref.지급기준 (2)'!K200</f>
        <v>6336000</v>
      </c>
      <c r="AX151" s="884"/>
      <c r="AY151" s="884">
        <f>+$AO151*'ref.지급기준 (2)'!M200</f>
        <v>1267200</v>
      </c>
      <c r="AZ151" s="884"/>
      <c r="BA151" s="884">
        <f>+$AO151*'ref.지급기준 (2)'!O200</f>
        <v>0</v>
      </c>
      <c r="BB151" s="890"/>
      <c r="BC151" s="2719"/>
      <c r="BD151" s="393"/>
      <c r="BE151" s="393" t="b">
        <f>+(BA151+AY151+AW151+AU151+AS151)=R151</f>
        <v>1</v>
      </c>
      <c r="BF151" s="393"/>
      <c r="BG151" s="393"/>
      <c r="BH151" s="393"/>
      <c r="BI151" s="393"/>
      <c r="BJ151" s="393"/>
      <c r="BK151" s="393"/>
      <c r="BL151" s="393"/>
      <c r="BM151" s="393"/>
      <c r="BN151" s="393"/>
      <c r="BO151" s="408"/>
      <c r="BP151" s="408"/>
    </row>
    <row r="152" spans="1:68" ht="17.25" customHeight="1">
      <c r="A152" s="929"/>
      <c r="B152" s="2741"/>
      <c r="C152" s="2744"/>
      <c r="D152" s="2747"/>
      <c r="E152" s="2747"/>
      <c r="F152" s="2693"/>
      <c r="G152" s="2747"/>
      <c r="H152" s="2747"/>
      <c r="I152" s="2732"/>
      <c r="J152" s="2793"/>
      <c r="K152" s="2519"/>
      <c r="L152" s="2802"/>
      <c r="M152" s="2756"/>
      <c r="N152" s="2805"/>
      <c r="O152" s="908" t="s">
        <v>127</v>
      </c>
      <c r="P152" s="896">
        <f>+'ref.지급기준 (2)'!F201*'ref.지급기준 (2)'!D201/'ref.지급기준 (2)'!$Q$2</f>
        <v>0</v>
      </c>
      <c r="Q152" s="897"/>
      <c r="R152" s="1002">
        <f t="shared" si="272"/>
        <v>0</v>
      </c>
      <c r="S152" s="874" t="b">
        <f t="shared" si="245"/>
        <v>1</v>
      </c>
      <c r="T152" s="908" t="str">
        <f>+IFERROR(U152/R152,"-")</f>
        <v>-</v>
      </c>
      <c r="U152" s="909">
        <f>+IFERROR(X152+AA152+AD152+AG152+AJ152+AM152,"-")</f>
        <v>0</v>
      </c>
      <c r="V152" s="877" t="str">
        <f t="shared" si="246"/>
        <v>-</v>
      </c>
      <c r="W152" s="887"/>
      <c r="X152" s="876"/>
      <c r="Y152" s="877"/>
      <c r="Z152" s="877" t="str">
        <f t="shared" si="273"/>
        <v>-</v>
      </c>
      <c r="AA152" s="877"/>
      <c r="AB152" s="883"/>
      <c r="AC152" s="877" t="str">
        <f>+IFERROR(AD152/$R152,"-")</f>
        <v>-</v>
      </c>
      <c r="AD152" s="877"/>
      <c r="AE152" s="883"/>
      <c r="AF152" s="877" t="str">
        <f>+IFERROR(AG152/$R152,"-")</f>
        <v>-</v>
      </c>
      <c r="AG152" s="877"/>
      <c r="AH152" s="883"/>
      <c r="AI152" s="877" t="str">
        <f>+IFERROR(AJ152/#REF!,"-")</f>
        <v>-</v>
      </c>
      <c r="AJ152" s="877"/>
      <c r="AK152" s="877"/>
      <c r="AL152" s="877"/>
      <c r="AM152" s="877"/>
      <c r="AN152" s="877"/>
      <c r="AO152" s="884">
        <f t="shared" si="247"/>
        <v>0</v>
      </c>
      <c r="AP152" s="884">
        <f>+AO152*'ref.지급기준 (2)'!G201</f>
        <v>0</v>
      </c>
      <c r="AQ152" s="1534"/>
      <c r="AR152" s="407"/>
      <c r="AS152" s="945">
        <f>+$AO152*'ref.지급기준 (2)'!G201</f>
        <v>0</v>
      </c>
      <c r="AT152" s="884">
        <f t="shared" si="248"/>
        <v>0</v>
      </c>
      <c r="AU152" s="884">
        <f>+$AO152*'ref.지급기준 (2)'!I201</f>
        <v>0</v>
      </c>
      <c r="AV152" s="884">
        <f>+AA152</f>
        <v>0</v>
      </c>
      <c r="AW152" s="884">
        <f>+$AO152*'ref.지급기준 (2)'!K201</f>
        <v>0</v>
      </c>
      <c r="AX152" s="884"/>
      <c r="AY152" s="884">
        <f>+$AO152*'ref.지급기준 (2)'!M201</f>
        <v>0</v>
      </c>
      <c r="AZ152" s="884"/>
      <c r="BA152" s="884">
        <f>+$AO152*'ref.지급기준 (2)'!O201</f>
        <v>0</v>
      </c>
      <c r="BB152" s="890"/>
      <c r="BC152" s="2719"/>
      <c r="BD152" s="393"/>
      <c r="BE152" s="393" t="b">
        <f>+(BA152+AY152+AW152+AU152+AS152)=R152</f>
        <v>1</v>
      </c>
      <c r="BF152" s="393"/>
      <c r="BG152" s="393"/>
      <c r="BH152" s="393"/>
      <c r="BI152" s="393"/>
      <c r="BJ152" s="393"/>
      <c r="BK152" s="393"/>
      <c r="BL152" s="393"/>
      <c r="BM152" s="393"/>
      <c r="BN152" s="393"/>
      <c r="BO152" s="408"/>
      <c r="BP152" s="408"/>
    </row>
    <row r="153" spans="1:68" ht="17.25" customHeight="1">
      <c r="A153" s="929"/>
      <c r="B153" s="2741"/>
      <c r="C153" s="2744"/>
      <c r="D153" s="2747"/>
      <c r="E153" s="2747"/>
      <c r="F153" s="2693"/>
      <c r="G153" s="2747"/>
      <c r="H153" s="2747"/>
      <c r="I153" s="2732"/>
      <c r="J153" s="2793"/>
      <c r="K153" s="2519"/>
      <c r="L153" s="2802"/>
      <c r="M153" s="2756"/>
      <c r="N153" s="2805"/>
      <c r="O153" s="908" t="s">
        <v>128</v>
      </c>
      <c r="P153" s="896">
        <f>+'ref.지급기준 (2)'!F202*'ref.지급기준 (2)'!D202/'ref.지급기준 (2)'!$Q$2</f>
        <v>7680000</v>
      </c>
      <c r="Q153" s="897">
        <f t="shared" ref="Q153" si="274">+P153*10%</f>
        <v>768000</v>
      </c>
      <c r="R153" s="1002">
        <f t="shared" si="272"/>
        <v>8448000</v>
      </c>
      <c r="S153" s="874" t="b">
        <f t="shared" si="245"/>
        <v>1</v>
      </c>
      <c r="T153" s="908">
        <f>+IFERROR(U153/R153,"-")</f>
        <v>0.2</v>
      </c>
      <c r="U153" s="909">
        <f>+IFERROR(X153+AA153+AD153+AG153+AJ153+AM153,"-")</f>
        <v>1689600</v>
      </c>
      <c r="V153" s="879">
        <f t="shared" si="246"/>
        <v>0.2</v>
      </c>
      <c r="W153" s="889">
        <f>W151</f>
        <v>45705</v>
      </c>
      <c r="X153" s="880">
        <f>+R153*20%</f>
        <v>1689600</v>
      </c>
      <c r="Y153" s="879"/>
      <c r="Z153" s="877">
        <v>0</v>
      </c>
      <c r="AA153" s="877"/>
      <c r="AB153" s="883">
        <f>AB151</f>
        <v>45777</v>
      </c>
      <c r="AC153" s="877">
        <f>+IFERROR(AD153/$R153,"-")</f>
        <v>0</v>
      </c>
      <c r="AD153" s="877"/>
      <c r="AE153" s="883">
        <f>AE151</f>
        <v>45838</v>
      </c>
      <c r="AF153" s="877">
        <f>+IFERROR(AG153/$R153,"-")</f>
        <v>0</v>
      </c>
      <c r="AG153" s="877"/>
      <c r="AH153" s="883">
        <f>AH151</f>
        <v>46021</v>
      </c>
      <c r="AI153" s="877" t="str">
        <f>+IFERROR(AJ153/#REF!,"-")</f>
        <v>-</v>
      </c>
      <c r="AJ153" s="877"/>
      <c r="AK153" s="877"/>
      <c r="AL153" s="877"/>
      <c r="AM153" s="877"/>
      <c r="AN153" s="877"/>
      <c r="AO153" s="884">
        <f t="shared" si="247"/>
        <v>8448000</v>
      </c>
      <c r="AP153" s="884">
        <f>+AO153*'ref.지급기준 (2)'!G202</f>
        <v>1689600</v>
      </c>
      <c r="AQ153" s="1534">
        <f>+AB153</f>
        <v>45777</v>
      </c>
      <c r="AR153" s="407"/>
      <c r="AS153" s="945">
        <f>+$AO153*'ref.지급기준 (2)'!G202</f>
        <v>1689600</v>
      </c>
      <c r="AT153" s="884">
        <f t="shared" si="248"/>
        <v>1689600</v>
      </c>
      <c r="AU153" s="884">
        <f>+$AO153*'ref.지급기준 (2)'!I202</f>
        <v>1689600</v>
      </c>
      <c r="AV153" s="884">
        <f>+AA153</f>
        <v>0</v>
      </c>
      <c r="AW153" s="884">
        <f>+$AO153*'ref.지급기준 (2)'!K202</f>
        <v>4224000</v>
      </c>
      <c r="AX153" s="884"/>
      <c r="AY153" s="884">
        <f>+$AO153*'ref.지급기준 (2)'!M202</f>
        <v>844800</v>
      </c>
      <c r="AZ153" s="884"/>
      <c r="BA153" s="884">
        <f>+$AO153*'ref.지급기준 (2)'!O202</f>
        <v>0</v>
      </c>
      <c r="BB153" s="890"/>
      <c r="BC153" s="2719"/>
      <c r="BD153" s="393"/>
      <c r="BE153" s="393" t="b">
        <f>+(BA153+AY153+AW153+AU153+AS153)=R153</f>
        <v>1</v>
      </c>
      <c r="BF153" s="393"/>
      <c r="BG153" s="393"/>
      <c r="BH153" s="393"/>
      <c r="BI153" s="393"/>
      <c r="BJ153" s="393"/>
      <c r="BK153" s="393"/>
      <c r="BL153" s="393"/>
      <c r="BM153" s="393"/>
      <c r="BN153" s="393"/>
      <c r="BO153" s="408"/>
      <c r="BP153" s="408"/>
    </row>
    <row r="154" spans="1:68" ht="17.25" customHeight="1">
      <c r="A154" s="929"/>
      <c r="B154" s="2741"/>
      <c r="C154" s="2744"/>
      <c r="D154" s="2747"/>
      <c r="E154" s="2747"/>
      <c r="F154" s="2693"/>
      <c r="G154" s="2747"/>
      <c r="H154" s="2747"/>
      <c r="I154" s="2732"/>
      <c r="J154" s="2793"/>
      <c r="K154" s="2519"/>
      <c r="L154" s="2802"/>
      <c r="M154" s="2756"/>
      <c r="N154" s="2805"/>
      <c r="O154" s="910" t="s">
        <v>129</v>
      </c>
      <c r="P154" s="1014">
        <f>40000*K150*5</f>
        <v>7680000</v>
      </c>
      <c r="Q154" s="901">
        <f>+P154*0.1</f>
        <v>768000</v>
      </c>
      <c r="R154" s="1003">
        <f>SUM(P154:Q154)</f>
        <v>8448000</v>
      </c>
      <c r="S154" s="874" t="b">
        <f t="shared" si="245"/>
        <v>1</v>
      </c>
      <c r="T154" s="910"/>
      <c r="U154" s="911"/>
      <c r="V154" s="910">
        <f t="shared" si="246"/>
        <v>0</v>
      </c>
      <c r="W154" s="926"/>
      <c r="X154" s="926"/>
      <c r="Y154" s="926"/>
      <c r="Z154" s="926">
        <f t="shared" ref="Z154" si="275">+IFERROR(AA154/$R154,"-")</f>
        <v>0</v>
      </c>
      <c r="AA154" s="926"/>
      <c r="AB154" s="927"/>
      <c r="AC154" s="926">
        <f t="shared" ref="AC154" si="276">+IFERROR(AD154/$R154,"-")</f>
        <v>0</v>
      </c>
      <c r="AD154" s="926"/>
      <c r="AE154" s="927"/>
      <c r="AF154" s="926">
        <f t="shared" ref="AF154" si="277">+IFERROR(AG154/$R154,"-")</f>
        <v>0</v>
      </c>
      <c r="AG154" s="926"/>
      <c r="AH154" s="927"/>
      <c r="AI154" s="926" t="str">
        <f>+IFERROR(AJ154/#REF!,"-")</f>
        <v>-</v>
      </c>
      <c r="AJ154" s="926"/>
      <c r="AK154" s="926"/>
      <c r="AL154" s="926"/>
      <c r="AM154" s="926"/>
      <c r="AN154" s="926"/>
      <c r="AO154" s="928">
        <f t="shared" si="247"/>
        <v>8448000</v>
      </c>
      <c r="AP154" s="928">
        <f>+AS154+AU154</f>
        <v>8448000</v>
      </c>
      <c r="AQ154" s="1535"/>
      <c r="AR154" s="407"/>
      <c r="AS154" s="947">
        <f>+$AO154*'ref.지급기준 (2)'!G198</f>
        <v>8448000</v>
      </c>
      <c r="AT154" s="928">
        <f t="shared" si="248"/>
        <v>0</v>
      </c>
      <c r="AU154" s="928">
        <f>+$AO154*'ref.지급기준 (2)'!I198</f>
        <v>0</v>
      </c>
      <c r="AV154" s="928">
        <f t="shared" ref="AV154" si="278">+AA154</f>
        <v>0</v>
      </c>
      <c r="AW154" s="928">
        <f>+$AO154*'ref.지급기준 (2)'!K198</f>
        <v>0</v>
      </c>
      <c r="AX154" s="928"/>
      <c r="AY154" s="928">
        <f>+$AO154*'ref.지급기준 (2)'!M198</f>
        <v>0</v>
      </c>
      <c r="AZ154" s="928"/>
      <c r="BA154" s="928">
        <f>+$AO154*'ref.지급기준 (2)'!O198</f>
        <v>0</v>
      </c>
      <c r="BB154" s="997"/>
      <c r="BC154" s="2720"/>
      <c r="BD154" s="393"/>
      <c r="BE154" s="393"/>
      <c r="BF154" s="393"/>
      <c r="BG154" s="393"/>
      <c r="BH154" s="393"/>
      <c r="BI154" s="393"/>
      <c r="BJ154" s="393"/>
      <c r="BK154" s="393"/>
      <c r="BL154" s="393"/>
      <c r="BM154" s="393"/>
      <c r="BN154" s="393"/>
      <c r="BO154" s="408"/>
      <c r="BP154" s="408"/>
    </row>
    <row r="155" spans="1:68">
      <c r="A155" s="929"/>
      <c r="B155" s="2741"/>
      <c r="C155" s="2744"/>
      <c r="D155" s="2747"/>
      <c r="E155" s="2747"/>
      <c r="F155" s="2693"/>
      <c r="G155" s="2747"/>
      <c r="H155" s="2747"/>
      <c r="I155" s="2732" t="s">
        <v>1311</v>
      </c>
      <c r="J155" s="2747" t="s">
        <v>1312</v>
      </c>
      <c r="K155" s="2806">
        <f>+'ref.지급기준 (2)'!D204</f>
        <v>158.75</v>
      </c>
      <c r="L155" s="2807">
        <f>+'DG-PV Organic'!H12</f>
        <v>9.9900000000000003E-2</v>
      </c>
      <c r="M155" s="2808">
        <f>+'DG-PV Organic'!J12</f>
        <v>9.2999999999999999E-2</v>
      </c>
      <c r="N155" s="2808" t="s">
        <v>1213</v>
      </c>
      <c r="O155" s="1514" t="s">
        <v>125</v>
      </c>
      <c r="P155" s="1515">
        <f>+'DG-PV Organic'!AL12</f>
        <v>166687500</v>
      </c>
      <c r="Q155" s="1516">
        <f t="shared" ref="Q155:Q156" si="279">+P155*10%</f>
        <v>16668750</v>
      </c>
      <c r="R155" s="1515">
        <f t="shared" ref="R155:R158" si="280">SUM(P155:Q155)</f>
        <v>183356250</v>
      </c>
      <c r="S155" s="874" t="b">
        <f t="shared" si="245"/>
        <v>1</v>
      </c>
      <c r="T155" s="906">
        <f>+IFERROR(U155/R155,"-")</f>
        <v>0</v>
      </c>
      <c r="U155" s="907">
        <f>+IFERROR(X155+AA155+AD155+AG155+AJ155+AM155,"-")</f>
        <v>0</v>
      </c>
      <c r="V155" s="877">
        <f t="shared" si="246"/>
        <v>0</v>
      </c>
      <c r="W155" s="887">
        <f>AE156</f>
        <v>45838</v>
      </c>
      <c r="X155" s="876"/>
      <c r="Y155" s="877"/>
      <c r="Z155" s="877">
        <f t="shared" ref="Z155:Z157" si="281">+IFERROR(AA155/$R155,"-")</f>
        <v>0</v>
      </c>
      <c r="AA155" s="877"/>
      <c r="AB155" s="883">
        <f>+EDATE(W155,1)</f>
        <v>45868</v>
      </c>
      <c r="AC155" s="877">
        <f t="shared" ref="AC155:AC159" si="282">+IFERROR(AD155/$R155,"-")</f>
        <v>0</v>
      </c>
      <c r="AD155" s="877"/>
      <c r="AE155" s="883">
        <f t="shared" ref="AE155" si="283">+EDATE(AB155,3)</f>
        <v>45960</v>
      </c>
      <c r="AF155" s="877">
        <f t="shared" ref="AF155:AF159" si="284">+IFERROR(AG155/$R155,"-")</f>
        <v>0</v>
      </c>
      <c r="AG155" s="877"/>
      <c r="AH155" s="883">
        <f t="shared" ref="AH155" si="285">+EDATE(AB155,4)</f>
        <v>45991</v>
      </c>
      <c r="AI155" s="877" t="str">
        <f>+IFERROR(AJ155/#REF!,"-")</f>
        <v>-</v>
      </c>
      <c r="AJ155" s="877"/>
      <c r="AK155" s="883">
        <f t="shared" ref="AK155" si="286">+EDATE(AB155,6)</f>
        <v>46052</v>
      </c>
      <c r="AL155" s="877" t="str">
        <f>+IFERROR(AM155/#REF!,"-")</f>
        <v>-</v>
      </c>
      <c r="AM155" s="877"/>
      <c r="AN155" s="877"/>
      <c r="AO155" s="884">
        <f t="shared" si="247"/>
        <v>183356250</v>
      </c>
      <c r="AP155" s="884">
        <f>+AO155*'ref.지급기준 (2)'!G204</f>
        <v>18335625</v>
      </c>
      <c r="AQ155" s="1534">
        <f>+W155</f>
        <v>45838</v>
      </c>
      <c r="AR155" s="407"/>
      <c r="AS155" s="945">
        <f>+$AO155*'ref.지급기준 (2)'!G204</f>
        <v>18335625</v>
      </c>
      <c r="AT155" s="884">
        <f t="shared" si="248"/>
        <v>0</v>
      </c>
      <c r="AU155" s="884">
        <f>+$AO155*'ref.지급기준 (2)'!I204</f>
        <v>36671250</v>
      </c>
      <c r="AV155" s="884">
        <f t="shared" si="269"/>
        <v>0</v>
      </c>
      <c r="AW155" s="884">
        <f>+$AO155*'ref.지급기준 (2)'!K204</f>
        <v>73342500</v>
      </c>
      <c r="AX155" s="884"/>
      <c r="AY155" s="884">
        <f>+$AO155*'ref.지급기준 (2)'!M204</f>
        <v>45839062.5</v>
      </c>
      <c r="AZ155" s="884"/>
      <c r="BA155" s="884">
        <f>+$AO155*'ref.지급기준 (2)'!O204</f>
        <v>9167812.5</v>
      </c>
      <c r="BB155" s="890"/>
      <c r="BC155" s="2718" t="s">
        <v>1307</v>
      </c>
      <c r="BD155" s="393"/>
      <c r="BE155" s="393" t="b">
        <f>+(BA155+AY155+AW155+AU155+AS155)=R155</f>
        <v>1</v>
      </c>
      <c r="BF155" s="393"/>
      <c r="BG155" s="393"/>
      <c r="BH155" s="393"/>
      <c r="BI155" s="393"/>
      <c r="BJ155" s="393"/>
      <c r="BK155" s="393"/>
      <c r="BL155" s="393"/>
      <c r="BM155" s="393"/>
      <c r="BN155" s="393"/>
      <c r="BO155" s="408"/>
      <c r="BP155" s="408"/>
    </row>
    <row r="156" spans="1:68">
      <c r="A156" s="929"/>
      <c r="B156" s="2741"/>
      <c r="C156" s="2744"/>
      <c r="D156" s="2747"/>
      <c r="E156" s="2747"/>
      <c r="F156" s="2693"/>
      <c r="G156" s="2747"/>
      <c r="H156" s="2747"/>
      <c r="I156" s="2732"/>
      <c r="J156" s="2747"/>
      <c r="K156" s="2806"/>
      <c r="L156" s="2807"/>
      <c r="M156" s="2808"/>
      <c r="N156" s="2808"/>
      <c r="O156" s="1514" t="s">
        <v>126</v>
      </c>
      <c r="P156" s="1515">
        <f>+'DG-PV Organic'!AK12</f>
        <v>47625000</v>
      </c>
      <c r="Q156" s="1516">
        <f t="shared" si="279"/>
        <v>4762500</v>
      </c>
      <c r="R156" s="1515">
        <f t="shared" si="280"/>
        <v>52387500</v>
      </c>
      <c r="S156" s="874" t="b">
        <f t="shared" si="245"/>
        <v>1</v>
      </c>
      <c r="T156" s="908">
        <f>+IFERROR(U156/R156,"-")</f>
        <v>0.2</v>
      </c>
      <c r="U156" s="909">
        <f>+IFERROR(X156+AA156+AD156+AG156+AJ156+AM156,"-")</f>
        <v>10477500</v>
      </c>
      <c r="V156" s="879">
        <f t="shared" si="246"/>
        <v>0.2</v>
      </c>
      <c r="W156" s="889">
        <v>45705</v>
      </c>
      <c r="X156" s="880">
        <f>+R156*20%</f>
        <v>10477500</v>
      </c>
      <c r="Y156" s="879"/>
      <c r="Z156" s="877">
        <f t="shared" si="281"/>
        <v>0</v>
      </c>
      <c r="AA156" s="886"/>
      <c r="AB156" s="883">
        <v>45777</v>
      </c>
      <c r="AC156" s="877">
        <f t="shared" si="282"/>
        <v>0</v>
      </c>
      <c r="AD156" s="877"/>
      <c r="AE156" s="883">
        <f>+EDATE(AB156,2)</f>
        <v>45838</v>
      </c>
      <c r="AF156" s="877">
        <f t="shared" si="284"/>
        <v>0</v>
      </c>
      <c r="AG156" s="877"/>
      <c r="AH156" s="883">
        <f>+EDATE(AB155,5)</f>
        <v>46021</v>
      </c>
      <c r="AI156" s="877" t="str">
        <f>+IFERROR(AJ156/#REF!,"-")</f>
        <v>-</v>
      </c>
      <c r="AJ156" s="877"/>
      <c r="AK156" s="877"/>
      <c r="AL156" s="877" t="str">
        <f>+IFERROR(AM156/#REF!,"-")</f>
        <v>-</v>
      </c>
      <c r="AM156" s="877"/>
      <c r="AN156" s="877"/>
      <c r="AO156" s="884">
        <f t="shared" si="247"/>
        <v>52387500</v>
      </c>
      <c r="AP156" s="884">
        <f>+AO156*'ref.지급기준 (2)'!G205</f>
        <v>10477500</v>
      </c>
      <c r="AQ156" s="1534">
        <f>+AB156</f>
        <v>45777</v>
      </c>
      <c r="AR156" s="407"/>
      <c r="AS156" s="945">
        <f>+$AO156*'ref.지급기준 (2)'!G205</f>
        <v>10477500</v>
      </c>
      <c r="AT156" s="884">
        <f t="shared" si="248"/>
        <v>10477500</v>
      </c>
      <c r="AU156" s="884">
        <f>+$AO156*'ref.지급기준 (2)'!I205</f>
        <v>10477500</v>
      </c>
      <c r="AV156" s="884">
        <f t="shared" si="269"/>
        <v>0</v>
      </c>
      <c r="AW156" s="884">
        <f>+$AO156*'ref.지급기준 (2)'!K205</f>
        <v>26193750</v>
      </c>
      <c r="AX156" s="884"/>
      <c r="AY156" s="884">
        <f>+$AO156*'ref.지급기준 (2)'!M205</f>
        <v>5238750</v>
      </c>
      <c r="AZ156" s="884"/>
      <c r="BA156" s="884">
        <f>+$AO156*'ref.지급기준 (2)'!O205</f>
        <v>0</v>
      </c>
      <c r="BB156" s="890"/>
      <c r="BC156" s="2719"/>
      <c r="BD156" s="393"/>
      <c r="BE156" s="393" t="b">
        <f>+(BA156+AY156+AW156+AU156+AS156)=R156</f>
        <v>1</v>
      </c>
      <c r="BF156" s="393"/>
      <c r="BG156" s="393"/>
      <c r="BH156" s="393"/>
      <c r="BI156" s="393"/>
      <c r="BJ156" s="393"/>
      <c r="BK156" s="393"/>
      <c r="BL156" s="393"/>
      <c r="BM156" s="393"/>
      <c r="BN156" s="393"/>
      <c r="BO156" s="408"/>
      <c r="BP156" s="408"/>
    </row>
    <row r="157" spans="1:68">
      <c r="A157" s="929"/>
      <c r="B157" s="2741"/>
      <c r="C157" s="2744"/>
      <c r="D157" s="2747"/>
      <c r="E157" s="2747"/>
      <c r="F157" s="2693"/>
      <c r="G157" s="2747"/>
      <c r="H157" s="2747"/>
      <c r="I157" s="2732"/>
      <c r="J157" s="2747"/>
      <c r="K157" s="2806"/>
      <c r="L157" s="2807"/>
      <c r="M157" s="2808"/>
      <c r="N157" s="2808"/>
      <c r="O157" s="1514" t="s">
        <v>127</v>
      </c>
      <c r="P157" s="1515">
        <f>+'ref.지급기준 (2)'!F206*'ref.지급기준 (2)'!D206/'ref.지급기준 (2)'!$Q$2</f>
        <v>0</v>
      </c>
      <c r="Q157" s="1516"/>
      <c r="R157" s="1515">
        <f t="shared" si="280"/>
        <v>0</v>
      </c>
      <c r="S157" s="874" t="b">
        <f t="shared" si="245"/>
        <v>1</v>
      </c>
      <c r="T157" s="908" t="str">
        <f>+IFERROR(U157/R157,"-")</f>
        <v>-</v>
      </c>
      <c r="U157" s="909">
        <f>+IFERROR(X157+AA157+AD157+AG157+AJ157+AM157,"-")</f>
        <v>0</v>
      </c>
      <c r="V157" s="877" t="str">
        <f t="shared" si="246"/>
        <v>-</v>
      </c>
      <c r="W157" s="887"/>
      <c r="X157" s="876"/>
      <c r="Y157" s="877"/>
      <c r="Z157" s="877" t="str">
        <f t="shared" si="281"/>
        <v>-</v>
      </c>
      <c r="AA157" s="877"/>
      <c r="AB157" s="883"/>
      <c r="AC157" s="877" t="str">
        <f t="shared" si="282"/>
        <v>-</v>
      </c>
      <c r="AD157" s="877"/>
      <c r="AE157" s="883"/>
      <c r="AF157" s="877" t="str">
        <f t="shared" si="284"/>
        <v>-</v>
      </c>
      <c r="AG157" s="877"/>
      <c r="AH157" s="883"/>
      <c r="AI157" s="877" t="str">
        <f>+IFERROR(AJ157/#REF!,"-")</f>
        <v>-</v>
      </c>
      <c r="AJ157" s="877"/>
      <c r="AK157" s="877"/>
      <c r="AL157" s="877" t="str">
        <f>+IFERROR(AM157/#REF!,"-")</f>
        <v>-</v>
      </c>
      <c r="AM157" s="877"/>
      <c r="AN157" s="877"/>
      <c r="AO157" s="884">
        <f t="shared" si="247"/>
        <v>0</v>
      </c>
      <c r="AP157" s="884">
        <f>+AO157*'ref.지급기준 (2)'!G206</f>
        <v>0</v>
      </c>
      <c r="AQ157" s="1534"/>
      <c r="AR157" s="407"/>
      <c r="AS157" s="945">
        <f>+$AO157*'ref.지급기준 (2)'!G206</f>
        <v>0</v>
      </c>
      <c r="AT157" s="884">
        <f t="shared" si="248"/>
        <v>0</v>
      </c>
      <c r="AU157" s="884">
        <f>+$AO157*'ref.지급기준 (2)'!I206</f>
        <v>0</v>
      </c>
      <c r="AV157" s="884">
        <f t="shared" si="269"/>
        <v>0</v>
      </c>
      <c r="AW157" s="884">
        <f>+$AO157*'ref.지급기준 (2)'!K206</f>
        <v>0</v>
      </c>
      <c r="AX157" s="884"/>
      <c r="AY157" s="884">
        <f>+$AO157*'ref.지급기준 (2)'!M206</f>
        <v>0</v>
      </c>
      <c r="AZ157" s="884"/>
      <c r="BA157" s="884">
        <f>+$AO157*'ref.지급기준 (2)'!O206</f>
        <v>0</v>
      </c>
      <c r="BB157" s="890"/>
      <c r="BC157" s="2719"/>
      <c r="BD157" s="393"/>
      <c r="BE157" s="393" t="b">
        <f>+(BA157+AY157+AW157+AU157+AS157)=R157</f>
        <v>1</v>
      </c>
      <c r="BF157" s="393"/>
      <c r="BG157" s="393"/>
      <c r="BH157" s="393"/>
      <c r="BI157" s="393"/>
      <c r="BJ157" s="393"/>
      <c r="BK157" s="393"/>
      <c r="BL157" s="393"/>
      <c r="BM157" s="393"/>
      <c r="BN157" s="393"/>
      <c r="BO157" s="408"/>
      <c r="BP157" s="408"/>
    </row>
    <row r="158" spans="1:68" ht="17.25" customHeight="1">
      <c r="A158" s="929"/>
      <c r="B158" s="2741"/>
      <c r="C158" s="2744"/>
      <c r="D158" s="2747"/>
      <c r="E158" s="2747"/>
      <c r="F158" s="2693"/>
      <c r="G158" s="2747"/>
      <c r="H158" s="2747"/>
      <c r="I158" s="2732"/>
      <c r="J158" s="2747"/>
      <c r="K158" s="2806"/>
      <c r="L158" s="2807"/>
      <c r="M158" s="2808"/>
      <c r="N158" s="2808"/>
      <c r="O158" s="1514" t="s">
        <v>128</v>
      </c>
      <c r="P158" s="1515">
        <f>+'DG-PV Organic'!AJ12</f>
        <v>31750000</v>
      </c>
      <c r="Q158" s="1516">
        <f t="shared" ref="Q158" si="287">+P158*10%</f>
        <v>3175000</v>
      </c>
      <c r="R158" s="1515">
        <f t="shared" si="280"/>
        <v>34925000</v>
      </c>
      <c r="S158" s="874" t="b">
        <f t="shared" si="245"/>
        <v>1</v>
      </c>
      <c r="T158" s="908">
        <f>+IFERROR(U158/R158,"-")</f>
        <v>0.2</v>
      </c>
      <c r="U158" s="909">
        <f>+IFERROR(X158+AA158+AD158+AG158+AJ158+AM158,"-")</f>
        <v>6985000</v>
      </c>
      <c r="V158" s="879">
        <f t="shared" si="246"/>
        <v>0.2</v>
      </c>
      <c r="W158" s="889">
        <f>W156</f>
        <v>45705</v>
      </c>
      <c r="X158" s="880">
        <f>+R158*20%</f>
        <v>6985000</v>
      </c>
      <c r="Y158" s="879"/>
      <c r="Z158" s="877">
        <v>0</v>
      </c>
      <c r="AA158" s="877"/>
      <c r="AB158" s="883">
        <f>AB156</f>
        <v>45777</v>
      </c>
      <c r="AC158" s="877">
        <f t="shared" si="282"/>
        <v>0</v>
      </c>
      <c r="AD158" s="877"/>
      <c r="AE158" s="883">
        <f>AE156</f>
        <v>45838</v>
      </c>
      <c r="AF158" s="877">
        <f t="shared" si="284"/>
        <v>0</v>
      </c>
      <c r="AG158" s="877"/>
      <c r="AH158" s="883">
        <f>AH156</f>
        <v>46021</v>
      </c>
      <c r="AI158" s="877" t="str">
        <f>+IFERROR(AJ158/#REF!,"-")</f>
        <v>-</v>
      </c>
      <c r="AJ158" s="877"/>
      <c r="AK158" s="877"/>
      <c r="AL158" s="877" t="str">
        <f>+IFERROR(AM158/#REF!,"-")</f>
        <v>-</v>
      </c>
      <c r="AM158" s="877"/>
      <c r="AN158" s="877"/>
      <c r="AO158" s="884">
        <f t="shared" si="247"/>
        <v>34925000</v>
      </c>
      <c r="AP158" s="884">
        <f>+AO158*'ref.지급기준 (2)'!G207</f>
        <v>6985000</v>
      </c>
      <c r="AQ158" s="1534">
        <f>+AB158</f>
        <v>45777</v>
      </c>
      <c r="AR158" s="407"/>
      <c r="AS158" s="945">
        <f>+$AO158*'ref.지급기준 (2)'!G207</f>
        <v>6985000</v>
      </c>
      <c r="AT158" s="884">
        <f t="shared" si="248"/>
        <v>6985000</v>
      </c>
      <c r="AU158" s="884">
        <f>+$AO158*'ref.지급기준 (2)'!I207</f>
        <v>6985000</v>
      </c>
      <c r="AV158" s="884">
        <f t="shared" si="269"/>
        <v>0</v>
      </c>
      <c r="AW158" s="884">
        <f>+$AO158*'ref.지급기준 (2)'!K207</f>
        <v>17462500</v>
      </c>
      <c r="AX158" s="884"/>
      <c r="AY158" s="884">
        <f>+$AO158*'ref.지급기준 (2)'!M207</f>
        <v>3492500</v>
      </c>
      <c r="AZ158" s="884"/>
      <c r="BA158" s="884">
        <f>+$AO158*'ref.지급기준 (2)'!O207</f>
        <v>0</v>
      </c>
      <c r="BB158" s="890"/>
      <c r="BC158" s="2719"/>
      <c r="BD158" s="393"/>
      <c r="BE158" s="393" t="b">
        <f>+(BA158+AY158+AW158+AU158+AS158)=R158</f>
        <v>1</v>
      </c>
      <c r="BF158" s="393"/>
      <c r="BG158" s="393"/>
      <c r="BH158" s="393"/>
      <c r="BI158" s="393"/>
      <c r="BJ158" s="393"/>
      <c r="BK158" s="393"/>
      <c r="BL158" s="393"/>
      <c r="BM158" s="393"/>
      <c r="BN158" s="393"/>
      <c r="BO158" s="408"/>
      <c r="BP158" s="408"/>
    </row>
    <row r="159" spans="1:68" ht="17.25" customHeight="1">
      <c r="A159" s="929"/>
      <c r="B159" s="2741"/>
      <c r="C159" s="2744"/>
      <c r="D159" s="2747"/>
      <c r="E159" s="2747"/>
      <c r="F159" s="2693"/>
      <c r="G159" s="2747"/>
      <c r="H159" s="2747"/>
      <c r="I159" s="2732"/>
      <c r="J159" s="2747"/>
      <c r="K159" s="2806"/>
      <c r="L159" s="2807"/>
      <c r="M159" s="2808"/>
      <c r="N159" s="2809"/>
      <c r="O159" s="1514" t="s">
        <v>129</v>
      </c>
      <c r="P159" s="1517">
        <f>+'DG-PV Organic'!AI12</f>
        <v>31750000</v>
      </c>
      <c r="Q159" s="1516">
        <f>+P159*0.1</f>
        <v>3175000</v>
      </c>
      <c r="R159" s="1515">
        <f>SUM(P159:Q159)</f>
        <v>34925000</v>
      </c>
      <c r="S159" s="874" t="b">
        <f t="shared" si="245"/>
        <v>1</v>
      </c>
      <c r="T159" s="910"/>
      <c r="U159" s="911"/>
      <c r="V159" s="910">
        <f t="shared" si="246"/>
        <v>0</v>
      </c>
      <c r="W159" s="926"/>
      <c r="X159" s="926"/>
      <c r="Y159" s="926"/>
      <c r="Z159" s="926">
        <f t="shared" ref="Z159" si="288">+IFERROR(AA159/$R159,"-")</f>
        <v>0</v>
      </c>
      <c r="AA159" s="926"/>
      <c r="AB159" s="927"/>
      <c r="AC159" s="926">
        <f t="shared" si="282"/>
        <v>0</v>
      </c>
      <c r="AD159" s="926"/>
      <c r="AE159" s="927"/>
      <c r="AF159" s="926">
        <f t="shared" si="284"/>
        <v>0</v>
      </c>
      <c r="AG159" s="926"/>
      <c r="AH159" s="927"/>
      <c r="AI159" s="926" t="str">
        <f>+IFERROR(AJ159/#REF!,"-")</f>
        <v>-</v>
      </c>
      <c r="AJ159" s="926"/>
      <c r="AK159" s="926"/>
      <c r="AL159" s="926"/>
      <c r="AM159" s="926"/>
      <c r="AN159" s="926"/>
      <c r="AO159" s="928">
        <f t="shared" si="247"/>
        <v>34925000</v>
      </c>
      <c r="AP159" s="928">
        <f>+AS159+AU159</f>
        <v>34925000</v>
      </c>
      <c r="AQ159" s="1535"/>
      <c r="AR159" s="407"/>
      <c r="AS159" s="947">
        <f>+$AO159*'ref.지급기준 (2)'!G203</f>
        <v>34925000</v>
      </c>
      <c r="AT159" s="928">
        <f t="shared" si="248"/>
        <v>0</v>
      </c>
      <c r="AU159" s="928">
        <f>+$AO159*'ref.지급기준 (2)'!I203</f>
        <v>0</v>
      </c>
      <c r="AV159" s="928">
        <f t="shared" si="269"/>
        <v>0</v>
      </c>
      <c r="AW159" s="928">
        <f>+$AO159*'ref.지급기준 (2)'!K203</f>
        <v>0</v>
      </c>
      <c r="AX159" s="928"/>
      <c r="AY159" s="928">
        <f>+$AO159*'ref.지급기준 (2)'!M203</f>
        <v>0</v>
      </c>
      <c r="AZ159" s="928"/>
      <c r="BA159" s="928">
        <f>+$AO159*'ref.지급기준 (2)'!O203</f>
        <v>0</v>
      </c>
      <c r="BB159" s="997"/>
      <c r="BC159" s="2720"/>
      <c r="BD159" s="393"/>
      <c r="BE159" s="393"/>
      <c r="BF159" s="393"/>
      <c r="BG159" s="393"/>
      <c r="BH159" s="393"/>
      <c r="BI159" s="393"/>
      <c r="BJ159" s="393"/>
      <c r="BK159" s="393"/>
      <c r="BL159" s="393"/>
      <c r="BM159" s="393"/>
      <c r="BN159" s="393"/>
      <c r="BO159" s="408"/>
      <c r="BP159" s="408"/>
    </row>
    <row r="160" spans="1:68" ht="16.5" customHeight="1">
      <c r="A160" s="929"/>
      <c r="B160" s="2741"/>
      <c r="C160" s="2744"/>
      <c r="D160" s="2747"/>
      <c r="E160" s="2747"/>
      <c r="F160" s="2693"/>
      <c r="G160" s="2747"/>
      <c r="H160" s="2747"/>
      <c r="I160" s="2732" t="s">
        <v>1313</v>
      </c>
      <c r="J160" s="2747" t="str">
        <f>+'DG-PV Organic'!B18</f>
        <v>Seun BNC</v>
      </c>
      <c r="K160" s="2818">
        <f>+'DG-PV Organic'!O18</f>
        <v>351.15499999999997</v>
      </c>
      <c r="L160" s="2819">
        <f>+'DG-PV Organic'!H18</f>
        <v>8.7900000000000006E-2</v>
      </c>
      <c r="M160" s="2808">
        <v>9.2999999999999999E-2</v>
      </c>
      <c r="N160" s="2809" t="s">
        <v>1257</v>
      </c>
      <c r="O160" s="1514" t="s">
        <v>125</v>
      </c>
      <c r="P160" s="1515">
        <f>+'DG-PV Organic'!AL18</f>
        <v>368712750</v>
      </c>
      <c r="Q160" s="1516">
        <f>+P160*10%</f>
        <v>36871275</v>
      </c>
      <c r="R160" s="1515">
        <f t="shared" ref="R160:R164" si="289">SUM(P160:Q160)</f>
        <v>405584025</v>
      </c>
      <c r="S160" s="874" t="b">
        <f t="shared" si="245"/>
        <v>1</v>
      </c>
      <c r="T160" s="906">
        <f>+IFERROR(U160/R160,"-")</f>
        <v>0</v>
      </c>
      <c r="U160" s="907">
        <f>+IFERROR(X160+AA160+AD160+AG160+AJ160+AM160,"-")</f>
        <v>0</v>
      </c>
      <c r="V160" s="877">
        <f t="shared" si="246"/>
        <v>0</v>
      </c>
      <c r="W160" s="887">
        <f>AE161</f>
        <v>45930</v>
      </c>
      <c r="X160" s="876"/>
      <c r="Y160" s="877"/>
      <c r="Z160" s="877">
        <f t="shared" ref="Z160:Z164" si="290">+IFERROR(AA160/$R160,"-")</f>
        <v>0</v>
      </c>
      <c r="AA160" s="877"/>
      <c r="AB160" s="883">
        <f>+EDATE(W160,1)</f>
        <v>45960</v>
      </c>
      <c r="AC160" s="877">
        <f t="shared" ref="AC160:AC164" si="291">+IFERROR(AD160/$R160,"-")</f>
        <v>0</v>
      </c>
      <c r="AD160" s="877"/>
      <c r="AE160" s="883">
        <f>+EDATE(AB160,3)</f>
        <v>46052</v>
      </c>
      <c r="AF160" s="877">
        <f t="shared" ref="AF160:AF164" si="292">+IFERROR(AG160/$R160,"-")</f>
        <v>0</v>
      </c>
      <c r="AG160" s="877"/>
      <c r="AH160" s="883">
        <f>+EDATE(AB160,4)</f>
        <v>46081</v>
      </c>
      <c r="AI160" s="877" t="str">
        <f>+IFERROR(AJ160/#REF!,"-")</f>
        <v>-</v>
      </c>
      <c r="AJ160" s="877"/>
      <c r="AK160" s="883">
        <f>+EDATE(AB160,6)</f>
        <v>46142</v>
      </c>
      <c r="AL160" s="877" t="str">
        <f>+IFERROR(AM160/#REF!,"-")</f>
        <v>-</v>
      </c>
      <c r="AM160" s="877"/>
      <c r="AN160" s="877"/>
      <c r="AO160" s="884">
        <f t="shared" si="247"/>
        <v>405584025</v>
      </c>
      <c r="AP160" s="884">
        <f>+AO160*'ref.지급기준 (2)'!G209</f>
        <v>40558402.5</v>
      </c>
      <c r="AQ160" s="1534">
        <f>+W160</f>
        <v>45930</v>
      </c>
      <c r="AR160" s="407"/>
      <c r="AS160" s="945">
        <f>+$AO160*'ref.지급기준 (2)'!G209</f>
        <v>40558402.5</v>
      </c>
      <c r="AT160" s="884">
        <f t="shared" si="248"/>
        <v>0</v>
      </c>
      <c r="AU160" s="884">
        <f>+$AO160*'ref.지급기준 (2)'!I209</f>
        <v>81116805</v>
      </c>
      <c r="AV160" s="884">
        <f t="shared" ref="AV160:AV164" si="293">+AA160</f>
        <v>0</v>
      </c>
      <c r="AW160" s="884">
        <f>+$AO160*'ref.지급기준 (2)'!K209</f>
        <v>162233610</v>
      </c>
      <c r="AX160" s="884"/>
      <c r="AY160" s="884">
        <f>+$AO160*'ref.지급기준 (2)'!M209</f>
        <v>101396006.25</v>
      </c>
      <c r="AZ160" s="884"/>
      <c r="BA160" s="884">
        <f>+$AO160*'ref.지급기준 (2)'!O209</f>
        <v>20279201.25</v>
      </c>
      <c r="BB160" s="890"/>
      <c r="BC160" s="2718" t="s">
        <v>1307</v>
      </c>
      <c r="BD160" s="393"/>
      <c r="BE160" s="393" t="b">
        <f>+(BA160+AY160+AW160+AU160+AS160)=R160</f>
        <v>1</v>
      </c>
      <c r="BF160" s="393"/>
      <c r="BG160" s="393"/>
      <c r="BH160" s="393"/>
      <c r="BI160" s="393"/>
      <c r="BJ160" s="393"/>
      <c r="BK160" s="393"/>
      <c r="BL160" s="393"/>
      <c r="BM160" s="393"/>
      <c r="BN160" s="393"/>
      <c r="BO160" s="408"/>
      <c r="BP160" s="408"/>
    </row>
    <row r="161" spans="1:68">
      <c r="A161" s="929"/>
      <c r="B161" s="2741"/>
      <c r="C161" s="2744"/>
      <c r="D161" s="2747"/>
      <c r="E161" s="2747"/>
      <c r="F161" s="2693"/>
      <c r="G161" s="2747"/>
      <c r="H161" s="2747"/>
      <c r="I161" s="2732"/>
      <c r="J161" s="2747"/>
      <c r="K161" s="2818"/>
      <c r="L161" s="2819"/>
      <c r="M161" s="2808"/>
      <c r="N161" s="2809"/>
      <c r="O161" s="1514" t="s">
        <v>126</v>
      </c>
      <c r="P161" s="1515">
        <f>+'DG-PV Organic'!AK18</f>
        <v>105346499.99999999</v>
      </c>
      <c r="Q161" s="1516">
        <f>+P161*10%</f>
        <v>10534650</v>
      </c>
      <c r="R161" s="1515">
        <f t="shared" si="289"/>
        <v>115881149.99999999</v>
      </c>
      <c r="S161" s="874" t="b">
        <f t="shared" si="245"/>
        <v>1</v>
      </c>
      <c r="T161" s="908">
        <f>+IFERROR(U161/R161,"-")</f>
        <v>0</v>
      </c>
      <c r="U161" s="909">
        <f>+IFERROR(X161+AA161+AD161+AG161+AJ161+AM161,"-")</f>
        <v>0</v>
      </c>
      <c r="V161" s="877">
        <f t="shared" si="246"/>
        <v>0</v>
      </c>
      <c r="W161" s="887">
        <v>45777</v>
      </c>
      <c r="X161" s="876"/>
      <c r="Y161" s="877"/>
      <c r="Z161" s="877">
        <f t="shared" si="290"/>
        <v>0</v>
      </c>
      <c r="AA161" s="886"/>
      <c r="AB161" s="883">
        <v>45869</v>
      </c>
      <c r="AC161" s="877">
        <f t="shared" si="291"/>
        <v>0</v>
      </c>
      <c r="AD161" s="877"/>
      <c r="AE161" s="883">
        <f>+EDATE(AB161,2)</f>
        <v>45930</v>
      </c>
      <c r="AF161" s="877">
        <f t="shared" si="292"/>
        <v>0</v>
      </c>
      <c r="AG161" s="877"/>
      <c r="AH161" s="883">
        <f>+EDATE(AB160,6)</f>
        <v>46142</v>
      </c>
      <c r="AI161" s="877" t="str">
        <f>+IFERROR(AJ161/#REF!,"-")</f>
        <v>-</v>
      </c>
      <c r="AJ161" s="877"/>
      <c r="AK161" s="877"/>
      <c r="AL161" s="877" t="str">
        <f>+IFERROR(AM161/#REF!,"-")</f>
        <v>-</v>
      </c>
      <c r="AM161" s="877"/>
      <c r="AN161" s="877"/>
      <c r="AO161" s="884">
        <f t="shared" si="247"/>
        <v>115881149.99999999</v>
      </c>
      <c r="AP161" s="884">
        <f>+AO161*'ref.지급기준 (2)'!G210</f>
        <v>23176230</v>
      </c>
      <c r="AQ161" s="1534">
        <f>+AB161</f>
        <v>45869</v>
      </c>
      <c r="AR161" s="407"/>
      <c r="AS161" s="945">
        <f>+$AO161*'ref.지급기준 (2)'!G210</f>
        <v>23176230</v>
      </c>
      <c r="AT161" s="884">
        <f t="shared" si="248"/>
        <v>0</v>
      </c>
      <c r="AU161" s="884">
        <f>+$AO161*'ref.지급기준 (2)'!I210</f>
        <v>23176230</v>
      </c>
      <c r="AV161" s="884">
        <f t="shared" si="293"/>
        <v>0</v>
      </c>
      <c r="AW161" s="884">
        <f>+$AO161*'ref.지급기준 (2)'!K210</f>
        <v>57940574.999999993</v>
      </c>
      <c r="AX161" s="884"/>
      <c r="AY161" s="884">
        <f>+$AO161*'ref.지급기준 (2)'!M210</f>
        <v>11588115</v>
      </c>
      <c r="AZ161" s="884"/>
      <c r="BA161" s="884">
        <f>+$AO161*'ref.지급기준 (2)'!O210</f>
        <v>0</v>
      </c>
      <c r="BB161" s="890"/>
      <c r="BC161" s="2719"/>
      <c r="BD161" s="393"/>
      <c r="BE161" s="393" t="b">
        <f>+(BA161+AY161+AW161+AU161+AS161)=R161</f>
        <v>1</v>
      </c>
      <c r="BF161" s="393"/>
      <c r="BG161" s="393"/>
      <c r="BH161" s="393"/>
      <c r="BI161" s="393"/>
      <c r="BJ161" s="393"/>
      <c r="BK161" s="393"/>
      <c r="BL161" s="393"/>
      <c r="BM161" s="393"/>
      <c r="BN161" s="393"/>
      <c r="BO161" s="408"/>
      <c r="BP161" s="408"/>
    </row>
    <row r="162" spans="1:68">
      <c r="A162" s="929"/>
      <c r="B162" s="2741"/>
      <c r="C162" s="2744"/>
      <c r="D162" s="2747"/>
      <c r="E162" s="2747"/>
      <c r="F162" s="2693"/>
      <c r="G162" s="2747"/>
      <c r="H162" s="2747"/>
      <c r="I162" s="2732"/>
      <c r="J162" s="2747"/>
      <c r="K162" s="2818"/>
      <c r="L162" s="2819"/>
      <c r="M162" s="2808"/>
      <c r="N162" s="2809"/>
      <c r="O162" s="1514" t="s">
        <v>127</v>
      </c>
      <c r="P162" s="1515">
        <f>+'ref.지급기준 (2)'!F211*'ref.지급기준 (2)'!D211/'ref.지급기준 (2)'!$Q$2</f>
        <v>0</v>
      </c>
      <c r="Q162" s="1516"/>
      <c r="R162" s="1515">
        <f t="shared" si="289"/>
        <v>0</v>
      </c>
      <c r="S162" s="874" t="b">
        <f t="shared" si="245"/>
        <v>1</v>
      </c>
      <c r="T162" s="908" t="str">
        <f>+IFERROR(U162/R162,"-")</f>
        <v>-</v>
      </c>
      <c r="U162" s="909">
        <f>+IFERROR(X162+AA162+AD162+AG162+AJ162+AM162,"-")</f>
        <v>0</v>
      </c>
      <c r="V162" s="877" t="str">
        <f t="shared" si="246"/>
        <v>-</v>
      </c>
      <c r="W162" s="887"/>
      <c r="X162" s="876"/>
      <c r="Y162" s="877"/>
      <c r="Z162" s="877" t="str">
        <f t="shared" si="290"/>
        <v>-</v>
      </c>
      <c r="AA162" s="877"/>
      <c r="AB162" s="883"/>
      <c r="AC162" s="877" t="str">
        <f t="shared" si="291"/>
        <v>-</v>
      </c>
      <c r="AD162" s="877"/>
      <c r="AE162" s="883"/>
      <c r="AF162" s="877" t="str">
        <f t="shared" si="292"/>
        <v>-</v>
      </c>
      <c r="AG162" s="877"/>
      <c r="AH162" s="883"/>
      <c r="AI162" s="877" t="str">
        <f>+IFERROR(AJ162/#REF!,"-")</f>
        <v>-</v>
      </c>
      <c r="AJ162" s="877"/>
      <c r="AK162" s="877"/>
      <c r="AL162" s="877" t="str">
        <f>+IFERROR(AM162/#REF!,"-")</f>
        <v>-</v>
      </c>
      <c r="AM162" s="877"/>
      <c r="AN162" s="877"/>
      <c r="AO162" s="884">
        <f t="shared" si="247"/>
        <v>0</v>
      </c>
      <c r="AP162" s="884">
        <f>+AO162*'ref.지급기준 (2)'!G211</f>
        <v>0</v>
      </c>
      <c r="AQ162" s="1534"/>
      <c r="AR162" s="407"/>
      <c r="AS162" s="945">
        <f>+$AO162*'ref.지급기준 (2)'!G211</f>
        <v>0</v>
      </c>
      <c r="AT162" s="884">
        <f t="shared" si="248"/>
        <v>0</v>
      </c>
      <c r="AU162" s="884">
        <f>+$AO162*'ref.지급기준 (2)'!I211</f>
        <v>0</v>
      </c>
      <c r="AV162" s="884">
        <f t="shared" si="293"/>
        <v>0</v>
      </c>
      <c r="AW162" s="884">
        <f>+$AO162*'ref.지급기준 (2)'!K211</f>
        <v>0</v>
      </c>
      <c r="AX162" s="884"/>
      <c r="AY162" s="884">
        <f>+$AO162*'ref.지급기준 (2)'!M211</f>
        <v>0</v>
      </c>
      <c r="AZ162" s="884"/>
      <c r="BA162" s="884">
        <f>+$AO162*'ref.지급기준 (2)'!O211</f>
        <v>0</v>
      </c>
      <c r="BB162" s="890"/>
      <c r="BC162" s="2719"/>
      <c r="BD162" s="393"/>
      <c r="BE162" s="393" t="b">
        <f>+(BA162+AY162+AW162+AU162+AS162)=R162</f>
        <v>1</v>
      </c>
      <c r="BF162" s="393"/>
      <c r="BG162" s="393"/>
      <c r="BH162" s="393"/>
      <c r="BI162" s="393"/>
      <c r="BJ162" s="393"/>
      <c r="BK162" s="393"/>
      <c r="BL162" s="393"/>
      <c r="BM162" s="393"/>
      <c r="BN162" s="393"/>
      <c r="BO162" s="408"/>
      <c r="BP162" s="408"/>
    </row>
    <row r="163" spans="1:68">
      <c r="A163" s="929"/>
      <c r="B163" s="2741"/>
      <c r="C163" s="2744"/>
      <c r="D163" s="2747"/>
      <c r="E163" s="2747"/>
      <c r="F163" s="2693"/>
      <c r="G163" s="2747"/>
      <c r="H163" s="2747"/>
      <c r="I163" s="2732"/>
      <c r="J163" s="2747"/>
      <c r="K163" s="2818"/>
      <c r="L163" s="2819"/>
      <c r="M163" s="2808"/>
      <c r="N163" s="2809"/>
      <c r="O163" s="1514" t="s">
        <v>128</v>
      </c>
      <c r="P163" s="1515">
        <f>+'DG-PV Organic'!AJ18</f>
        <v>70231000</v>
      </c>
      <c r="Q163" s="1516">
        <f>+P163*10%</f>
        <v>7023100</v>
      </c>
      <c r="R163" s="1515">
        <f t="shared" si="289"/>
        <v>77254100</v>
      </c>
      <c r="S163" s="874" t="b">
        <f t="shared" si="245"/>
        <v>1</v>
      </c>
      <c r="T163" s="908">
        <f>+IFERROR(U163/R163,"-")</f>
        <v>0</v>
      </c>
      <c r="U163" s="909">
        <f>+IFERROR(X163+AA163+AD163+AG163+AJ163+AM163,"-")</f>
        <v>0</v>
      </c>
      <c r="V163" s="877">
        <f t="shared" si="246"/>
        <v>0</v>
      </c>
      <c r="W163" s="887">
        <f>W161</f>
        <v>45777</v>
      </c>
      <c r="X163" s="876"/>
      <c r="Y163" s="877"/>
      <c r="Z163" s="877">
        <f t="shared" si="290"/>
        <v>0</v>
      </c>
      <c r="AA163" s="877"/>
      <c r="AB163" s="883">
        <f>AB161</f>
        <v>45869</v>
      </c>
      <c r="AC163" s="877">
        <f t="shared" si="291"/>
        <v>0</v>
      </c>
      <c r="AD163" s="877"/>
      <c r="AE163" s="883">
        <f>AE161</f>
        <v>45930</v>
      </c>
      <c r="AF163" s="877">
        <f t="shared" si="292"/>
        <v>0</v>
      </c>
      <c r="AG163" s="877"/>
      <c r="AH163" s="883">
        <f>AH161</f>
        <v>46142</v>
      </c>
      <c r="AI163" s="877" t="str">
        <f>+IFERROR(AJ163/#REF!,"-")</f>
        <v>-</v>
      </c>
      <c r="AJ163" s="877"/>
      <c r="AK163" s="877"/>
      <c r="AL163" s="877" t="str">
        <f>+IFERROR(AM163/#REF!,"-")</f>
        <v>-</v>
      </c>
      <c r="AM163" s="877"/>
      <c r="AN163" s="877"/>
      <c r="AO163" s="884">
        <f t="shared" si="247"/>
        <v>77254100</v>
      </c>
      <c r="AP163" s="884">
        <f>+AO163*'ref.지급기준 (2)'!G212</f>
        <v>15450820</v>
      </c>
      <c r="AQ163" s="1534">
        <f>+AB163</f>
        <v>45869</v>
      </c>
      <c r="AR163" s="407"/>
      <c r="AS163" s="945">
        <f>+$AO163*'ref.지급기준 (2)'!G212</f>
        <v>15450820</v>
      </c>
      <c r="AT163" s="884">
        <f t="shared" si="248"/>
        <v>0</v>
      </c>
      <c r="AU163" s="884">
        <f>+$AO163*'ref.지급기준 (2)'!I212</f>
        <v>15450820</v>
      </c>
      <c r="AV163" s="884">
        <f t="shared" si="293"/>
        <v>0</v>
      </c>
      <c r="AW163" s="884">
        <f>+$AO163*'ref.지급기준 (2)'!K212</f>
        <v>38627050</v>
      </c>
      <c r="AX163" s="884"/>
      <c r="AY163" s="884">
        <f>+$AO163*'ref.지급기준 (2)'!M212</f>
        <v>7725410</v>
      </c>
      <c r="AZ163" s="884"/>
      <c r="BA163" s="884">
        <f>+$AO163*'ref.지급기준 (2)'!O212</f>
        <v>0</v>
      </c>
      <c r="BB163" s="890"/>
      <c r="BC163" s="2719"/>
      <c r="BD163" s="393"/>
      <c r="BE163" s="393" t="b">
        <f>+(BA163+AY163+AW163+AU163+AS163)=R163</f>
        <v>1</v>
      </c>
      <c r="BF163" s="393"/>
      <c r="BG163" s="393"/>
      <c r="BH163" s="393"/>
      <c r="BI163" s="393"/>
      <c r="BJ163" s="393"/>
      <c r="BK163" s="393"/>
      <c r="BL163" s="393"/>
      <c r="BM163" s="393"/>
      <c r="BN163" s="393"/>
      <c r="BO163" s="408"/>
      <c r="BP163" s="408"/>
    </row>
    <row r="164" spans="1:68">
      <c r="A164" s="929"/>
      <c r="B164" s="2741"/>
      <c r="C164" s="2744"/>
      <c r="D164" s="2747"/>
      <c r="E164" s="2747"/>
      <c r="F164" s="2693"/>
      <c r="G164" s="2747"/>
      <c r="H164" s="2747"/>
      <c r="I164" s="2732"/>
      <c r="J164" s="2747"/>
      <c r="K164" s="2818"/>
      <c r="L164" s="2819"/>
      <c r="M164" s="2808"/>
      <c r="N164" s="2809"/>
      <c r="O164" s="1514" t="s">
        <v>129</v>
      </c>
      <c r="P164" s="1515">
        <f>+'DG-PV Organic'!AI18</f>
        <v>70230999.999999985</v>
      </c>
      <c r="Q164" s="1516">
        <f>+P164*0.1</f>
        <v>7023099.9999999991</v>
      </c>
      <c r="R164" s="1515">
        <f t="shared" si="289"/>
        <v>77254099.999999985</v>
      </c>
      <c r="S164" s="874" t="b">
        <f t="shared" si="245"/>
        <v>1</v>
      </c>
      <c r="T164" s="910"/>
      <c r="U164" s="911"/>
      <c r="V164" s="910">
        <f t="shared" si="246"/>
        <v>0</v>
      </c>
      <c r="W164" s="926"/>
      <c r="X164" s="926"/>
      <c r="Y164" s="926"/>
      <c r="Z164" s="926">
        <f t="shared" si="290"/>
        <v>0</v>
      </c>
      <c r="AA164" s="926"/>
      <c r="AB164" s="927"/>
      <c r="AC164" s="926">
        <f t="shared" si="291"/>
        <v>0</v>
      </c>
      <c r="AD164" s="926"/>
      <c r="AE164" s="927"/>
      <c r="AF164" s="926">
        <f t="shared" si="292"/>
        <v>0</v>
      </c>
      <c r="AG164" s="926"/>
      <c r="AH164" s="927"/>
      <c r="AI164" s="926" t="str">
        <f>+IFERROR(AJ164/#REF!,"-")</f>
        <v>-</v>
      </c>
      <c r="AJ164" s="926"/>
      <c r="AK164" s="926"/>
      <c r="AL164" s="926"/>
      <c r="AM164" s="926"/>
      <c r="AN164" s="926"/>
      <c r="AO164" s="928">
        <f t="shared" si="247"/>
        <v>77254099.999999985</v>
      </c>
      <c r="AP164" s="928" t="e">
        <f>+AS164+AU164</f>
        <v>#REF!</v>
      </c>
      <c r="AQ164" s="1535"/>
      <c r="AR164" s="407"/>
      <c r="AS164" s="947" t="e">
        <f>+$AO164*'ref.지급기준 (2)'!#REF!</f>
        <v>#REF!</v>
      </c>
      <c r="AT164" s="928">
        <f t="shared" si="248"/>
        <v>0</v>
      </c>
      <c r="AU164" s="928" t="e">
        <f>+$AO164*'ref.지급기준 (2)'!#REF!</f>
        <v>#REF!</v>
      </c>
      <c r="AV164" s="928">
        <f t="shared" si="293"/>
        <v>0</v>
      </c>
      <c r="AW164" s="928" t="e">
        <f>+$AO164*'ref.지급기준 (2)'!#REF!</f>
        <v>#REF!</v>
      </c>
      <c r="AX164" s="928"/>
      <c r="AY164" s="928" t="e">
        <f>+$AO164*'ref.지급기준 (2)'!#REF!</f>
        <v>#REF!</v>
      </c>
      <c r="AZ164" s="928"/>
      <c r="BA164" s="928" t="e">
        <f>+$AO164*'ref.지급기준 (2)'!#REF!</f>
        <v>#REF!</v>
      </c>
      <c r="BB164" s="997"/>
      <c r="BC164" s="2804"/>
      <c r="BD164" s="393"/>
      <c r="BE164" s="393"/>
      <c r="BF164" s="393"/>
      <c r="BG164" s="393"/>
      <c r="BH164" s="393"/>
      <c r="BI164" s="393"/>
      <c r="BJ164" s="393"/>
      <c r="BK164" s="393"/>
      <c r="BL164" s="393"/>
      <c r="BM164" s="393"/>
      <c r="BN164" s="393"/>
      <c r="BO164" s="408"/>
      <c r="BP164" s="408"/>
    </row>
    <row r="165" spans="1:68" ht="16.5" customHeight="1">
      <c r="A165" s="929"/>
      <c r="B165" s="2741"/>
      <c r="C165" s="2744"/>
      <c r="D165" s="2747"/>
      <c r="E165" s="2747"/>
      <c r="F165" s="2693"/>
      <c r="G165" s="2747"/>
      <c r="H165" s="2747"/>
      <c r="I165" s="2751" t="s">
        <v>1314</v>
      </c>
      <c r="J165" s="2747" t="str">
        <f>+'DG-PV Organic'!B21</f>
        <v>MPM Trade</v>
      </c>
      <c r="K165" s="2753">
        <f>+'DG-PV Organic'!O21</f>
        <v>210.82</v>
      </c>
      <c r="L165" s="2754">
        <f>+'DG-PV Organic'!H21</f>
        <v>9.3399999999999997E-2</v>
      </c>
      <c r="M165" s="2756">
        <v>9.2999999999999999E-2</v>
      </c>
      <c r="N165" s="2756" t="s">
        <v>1257</v>
      </c>
      <c r="O165" s="893" t="s">
        <v>125</v>
      </c>
      <c r="P165" s="904">
        <f>+'DG-PV Organic'!AL21</f>
        <v>221361000</v>
      </c>
      <c r="Q165" s="905">
        <f>+P165*10%</f>
        <v>22136100</v>
      </c>
      <c r="R165" s="904">
        <f t="shared" ref="R165:R179" si="294">SUM(P165:Q165)</f>
        <v>243497100</v>
      </c>
      <c r="S165" s="874" t="b">
        <f t="shared" ref="S165:S179" si="295">+R165=AO165</f>
        <v>1</v>
      </c>
      <c r="T165" s="891">
        <f t="shared" ref="T165:T178" si="296">+IFERROR(U165/R165,"-")</f>
        <v>0</v>
      </c>
      <c r="U165" s="984">
        <f t="shared" ref="U165:U178" si="297">+IFERROR(X165+AA165+AD165+AG165+AJ165+AM165,"-")</f>
        <v>0</v>
      </c>
      <c r="V165" s="877">
        <f t="shared" ref="V165:V179" si="298">+IFERROR(X165/$R165,"-")</f>
        <v>0</v>
      </c>
      <c r="W165" s="887">
        <f>AE166</f>
        <v>45899</v>
      </c>
      <c r="X165" s="876"/>
      <c r="Y165" s="877"/>
      <c r="Z165" s="877">
        <f t="shared" ref="Z165:Z179" si="299">+IFERROR(AA165/$R165,"-")</f>
        <v>0</v>
      </c>
      <c r="AA165" s="877"/>
      <c r="AB165" s="883">
        <f>+EDATE(W165,1)</f>
        <v>45930</v>
      </c>
      <c r="AC165" s="877">
        <f t="shared" ref="AC165:AC179" si="300">+IFERROR(AD165/$R165,"-")</f>
        <v>0</v>
      </c>
      <c r="AD165" s="877"/>
      <c r="AE165" s="883">
        <f>+EDATE(AB165,3)</f>
        <v>46021</v>
      </c>
      <c r="AF165" s="877">
        <f t="shared" ref="AF165:AF179" si="301">+IFERROR(AG165/$R165,"-")</f>
        <v>0</v>
      </c>
      <c r="AG165" s="877"/>
      <c r="AH165" s="883">
        <f>+EDATE(AB165,4)</f>
        <v>46052</v>
      </c>
      <c r="AI165" s="877" t="str">
        <f>+IFERROR(AJ165/#REF!,"-")</f>
        <v>-</v>
      </c>
      <c r="AJ165" s="877"/>
      <c r="AK165" s="883">
        <f>+EDATE(AB165,6)</f>
        <v>46111</v>
      </c>
      <c r="AL165" s="877" t="str">
        <f>+IFERROR(AM165/#REF!,"-")</f>
        <v>-</v>
      </c>
      <c r="AM165" s="877"/>
      <c r="AN165" s="877"/>
      <c r="AO165" s="884">
        <f t="shared" ref="AO165:AO179" si="302">+R165</f>
        <v>243497100</v>
      </c>
      <c r="AP165" s="884">
        <f>+AO165*'ref.지급기준 (2)'!G224</f>
        <v>24349710</v>
      </c>
      <c r="AQ165" s="1534">
        <f>+W165</f>
        <v>45899</v>
      </c>
      <c r="AR165" s="407"/>
      <c r="AS165" s="945">
        <f>+$AO165*'ref.지급기준 (2)'!G224</f>
        <v>24349710</v>
      </c>
      <c r="AT165" s="884">
        <f t="shared" ref="AT165:AT179" si="303">+X165</f>
        <v>0</v>
      </c>
      <c r="AU165" s="884">
        <f>+$AO165*'ref.지급기준 (2)'!I224</f>
        <v>48699420</v>
      </c>
      <c r="AV165" s="884">
        <f t="shared" ref="AV165:AV179" si="304">+AA165</f>
        <v>0</v>
      </c>
      <c r="AW165" s="884">
        <f>+$AO165*'ref.지급기준 (2)'!K224</f>
        <v>97398840</v>
      </c>
      <c r="AX165" s="884"/>
      <c r="AY165" s="884">
        <f>+$AO165*'ref.지급기준 (2)'!M224</f>
        <v>60874275</v>
      </c>
      <c r="AZ165" s="884"/>
      <c r="BA165" s="884">
        <f>+$AO165*'ref.지급기준 (2)'!O224</f>
        <v>12174855</v>
      </c>
      <c r="BB165" s="890"/>
      <c r="BC165" s="2719" t="s">
        <v>1307</v>
      </c>
      <c r="BD165" s="393"/>
      <c r="BE165" s="393" t="b">
        <f>+(BA165+AY165+AW165+AU165+AS165)=R165</f>
        <v>1</v>
      </c>
      <c r="BF165" s="393"/>
      <c r="BG165" s="393"/>
      <c r="BH165" s="393"/>
      <c r="BI165" s="393"/>
      <c r="BJ165" s="393"/>
      <c r="BK165" s="393"/>
      <c r="BL165" s="393"/>
      <c r="BM165" s="393"/>
      <c r="BN165" s="393"/>
      <c r="BO165" s="408"/>
      <c r="BP165" s="408"/>
    </row>
    <row r="166" spans="1:68">
      <c r="A166" s="929"/>
      <c r="B166" s="2741"/>
      <c r="C166" s="2744"/>
      <c r="D166" s="2747"/>
      <c r="E166" s="2747"/>
      <c r="F166" s="2693"/>
      <c r="G166" s="2747"/>
      <c r="H166" s="2747"/>
      <c r="I166" s="2751"/>
      <c r="J166" s="2747"/>
      <c r="K166" s="2747"/>
      <c r="L166" s="2754"/>
      <c r="M166" s="2756"/>
      <c r="N166" s="2756"/>
      <c r="O166" s="875" t="s">
        <v>126</v>
      </c>
      <c r="P166" s="896">
        <f>+'DG-PV Organic'!AK21</f>
        <v>63246000</v>
      </c>
      <c r="Q166" s="897">
        <f>+P166*10%</f>
        <v>6324600</v>
      </c>
      <c r="R166" s="896">
        <f t="shared" si="294"/>
        <v>69570600</v>
      </c>
      <c r="S166" s="874" t="b">
        <f t="shared" si="295"/>
        <v>1</v>
      </c>
      <c r="T166" s="875">
        <f t="shared" si="296"/>
        <v>0.2</v>
      </c>
      <c r="U166" s="909">
        <f t="shared" si="297"/>
        <v>13914120</v>
      </c>
      <c r="V166" s="879">
        <f t="shared" si="298"/>
        <v>0.2</v>
      </c>
      <c r="W166" s="889">
        <v>45737</v>
      </c>
      <c r="X166" s="880">
        <f>+R166*'ref.지급기준 (2)'!G225</f>
        <v>13914120</v>
      </c>
      <c r="Y166" s="879"/>
      <c r="Z166" s="877">
        <f t="shared" si="299"/>
        <v>0</v>
      </c>
      <c r="AA166" s="886"/>
      <c r="AB166" s="883">
        <v>45838</v>
      </c>
      <c r="AC166" s="877">
        <f t="shared" si="300"/>
        <v>0</v>
      </c>
      <c r="AD166" s="877"/>
      <c r="AE166" s="883">
        <f>+EDATE(AB166,2)</f>
        <v>45899</v>
      </c>
      <c r="AF166" s="877">
        <f t="shared" si="301"/>
        <v>0</v>
      </c>
      <c r="AG166" s="877"/>
      <c r="AH166" s="883">
        <f>+EDATE(AB165,5)</f>
        <v>46081</v>
      </c>
      <c r="AI166" s="877" t="str">
        <f>+IFERROR(AJ166/#REF!,"-")</f>
        <v>-</v>
      </c>
      <c r="AJ166" s="877"/>
      <c r="AK166" s="877"/>
      <c r="AL166" s="877" t="str">
        <f>+IFERROR(AM166/#REF!,"-")</f>
        <v>-</v>
      </c>
      <c r="AM166" s="877"/>
      <c r="AN166" s="877"/>
      <c r="AO166" s="884">
        <f t="shared" si="302"/>
        <v>69570600</v>
      </c>
      <c r="AP166" s="884">
        <f>+AO166*'ref.지급기준 (2)'!G225</f>
        <v>13914120</v>
      </c>
      <c r="AQ166" s="1534">
        <f>+AB166</f>
        <v>45838</v>
      </c>
      <c r="AR166" s="407"/>
      <c r="AS166" s="945">
        <f>+$AO166*'ref.지급기준 (2)'!G225</f>
        <v>13914120</v>
      </c>
      <c r="AT166" s="884">
        <f t="shared" si="303"/>
        <v>13914120</v>
      </c>
      <c r="AU166" s="884">
        <f>+$AO166*'ref.지급기준 (2)'!I225</f>
        <v>13914120</v>
      </c>
      <c r="AV166" s="884">
        <f t="shared" si="304"/>
        <v>0</v>
      </c>
      <c r="AW166" s="884">
        <f>+$AO166*'ref.지급기준 (2)'!K225</f>
        <v>34785300</v>
      </c>
      <c r="AX166" s="884"/>
      <c r="AY166" s="884">
        <f>+$AO166*'ref.지급기준 (2)'!M225</f>
        <v>6957060</v>
      </c>
      <c r="AZ166" s="884"/>
      <c r="BA166" s="884">
        <f>+$AO166*'ref.지급기준 (2)'!O225</f>
        <v>0</v>
      </c>
      <c r="BB166" s="890"/>
      <c r="BC166" s="2719"/>
      <c r="BD166" s="393"/>
      <c r="BE166" s="393" t="b">
        <f>+(BA166+AY166+AW166+AU166+AS166)=R166</f>
        <v>1</v>
      </c>
      <c r="BF166" s="393"/>
      <c r="BG166" s="393"/>
      <c r="BH166" s="393"/>
      <c r="BI166" s="393"/>
      <c r="BJ166" s="393"/>
      <c r="BK166" s="393"/>
      <c r="BL166" s="393"/>
      <c r="BM166" s="393"/>
      <c r="BN166" s="393"/>
      <c r="BO166" s="408"/>
      <c r="BP166" s="408"/>
    </row>
    <row r="167" spans="1:68">
      <c r="A167" s="929"/>
      <c r="B167" s="2741"/>
      <c r="C167" s="2744"/>
      <c r="D167" s="2747"/>
      <c r="E167" s="2747"/>
      <c r="F167" s="2693"/>
      <c r="G167" s="2747"/>
      <c r="H167" s="2747"/>
      <c r="I167" s="2751"/>
      <c r="J167" s="2747"/>
      <c r="K167" s="2747"/>
      <c r="L167" s="2754"/>
      <c r="M167" s="2756"/>
      <c r="N167" s="2756"/>
      <c r="O167" s="875" t="s">
        <v>127</v>
      </c>
      <c r="P167" s="896">
        <f>+'ref.지급기준 (2)'!F226*'ref.지급기준 (2)'!D226/'ref.지급기준 (2)'!$Q$2</f>
        <v>0</v>
      </c>
      <c r="Q167" s="897"/>
      <c r="R167" s="896">
        <f t="shared" si="294"/>
        <v>0</v>
      </c>
      <c r="S167" s="874" t="b">
        <f t="shared" si="295"/>
        <v>1</v>
      </c>
      <c r="T167" s="875" t="str">
        <f t="shared" si="296"/>
        <v>-</v>
      </c>
      <c r="U167" s="909">
        <f t="shared" si="297"/>
        <v>0</v>
      </c>
      <c r="V167" s="877" t="str">
        <f t="shared" si="298"/>
        <v>-</v>
      </c>
      <c r="W167" s="887"/>
      <c r="X167" s="876"/>
      <c r="Y167" s="877"/>
      <c r="Z167" s="877" t="str">
        <f t="shared" si="299"/>
        <v>-</v>
      </c>
      <c r="AA167" s="877"/>
      <c r="AB167" s="883"/>
      <c r="AC167" s="877" t="str">
        <f t="shared" si="300"/>
        <v>-</v>
      </c>
      <c r="AD167" s="877"/>
      <c r="AE167" s="883"/>
      <c r="AF167" s="877" t="str">
        <f t="shared" si="301"/>
        <v>-</v>
      </c>
      <c r="AG167" s="877"/>
      <c r="AH167" s="883"/>
      <c r="AI167" s="877" t="str">
        <f>+IFERROR(AJ167/#REF!,"-")</f>
        <v>-</v>
      </c>
      <c r="AJ167" s="877"/>
      <c r="AK167" s="877"/>
      <c r="AL167" s="877" t="str">
        <f>+IFERROR(AM167/#REF!,"-")</f>
        <v>-</v>
      </c>
      <c r="AM167" s="877"/>
      <c r="AN167" s="877"/>
      <c r="AO167" s="884">
        <f t="shared" si="302"/>
        <v>0</v>
      </c>
      <c r="AP167" s="884">
        <f>+AO167*'ref.지급기준 (2)'!G226</f>
        <v>0</v>
      </c>
      <c r="AQ167" s="1534"/>
      <c r="AR167" s="407"/>
      <c r="AS167" s="945">
        <f>+$AO167*'ref.지급기준 (2)'!G226</f>
        <v>0</v>
      </c>
      <c r="AT167" s="884">
        <f t="shared" si="303"/>
        <v>0</v>
      </c>
      <c r="AU167" s="884">
        <f>+$AO167*'ref.지급기준 (2)'!I226</f>
        <v>0</v>
      </c>
      <c r="AV167" s="884">
        <f t="shared" si="304"/>
        <v>0</v>
      </c>
      <c r="AW167" s="884">
        <f>+$AO167*'ref.지급기준 (2)'!K226</f>
        <v>0</v>
      </c>
      <c r="AX167" s="884"/>
      <c r="AY167" s="884">
        <f>+$AO167*'ref.지급기준 (2)'!M226</f>
        <v>0</v>
      </c>
      <c r="AZ167" s="884"/>
      <c r="BA167" s="884">
        <f>+$AO167*'ref.지급기준 (2)'!O226</f>
        <v>0</v>
      </c>
      <c r="BB167" s="890"/>
      <c r="BC167" s="2719"/>
      <c r="BD167" s="393"/>
      <c r="BE167" s="393" t="b">
        <f>+(BA167+AY167+AW167+AU167+AS167)=R167</f>
        <v>1</v>
      </c>
      <c r="BF167" s="393"/>
      <c r="BG167" s="393"/>
      <c r="BH167" s="393"/>
      <c r="BI167" s="393"/>
      <c r="BJ167" s="393"/>
      <c r="BK167" s="393"/>
      <c r="BL167" s="393"/>
      <c r="BM167" s="393"/>
      <c r="BN167" s="393"/>
      <c r="BO167" s="408"/>
      <c r="BP167" s="408"/>
    </row>
    <row r="168" spans="1:68">
      <c r="A168" s="929"/>
      <c r="B168" s="2741"/>
      <c r="C168" s="2744"/>
      <c r="D168" s="2747"/>
      <c r="E168" s="2747"/>
      <c r="F168" s="2693"/>
      <c r="G168" s="2747"/>
      <c r="H168" s="2747"/>
      <c r="I168" s="2751"/>
      <c r="J168" s="2747"/>
      <c r="K168" s="2747"/>
      <c r="L168" s="2754"/>
      <c r="M168" s="2756"/>
      <c r="N168" s="2756"/>
      <c r="O168" s="875" t="s">
        <v>128</v>
      </c>
      <c r="P168" s="896">
        <f>+'DG-PV Organic'!AJ21</f>
        <v>42164000</v>
      </c>
      <c r="Q168" s="897">
        <f>+P168*10%</f>
        <v>4216400</v>
      </c>
      <c r="R168" s="896">
        <f t="shared" si="294"/>
        <v>46380400</v>
      </c>
      <c r="S168" s="874" t="b">
        <f t="shared" si="295"/>
        <v>1</v>
      </c>
      <c r="T168" s="875">
        <f t="shared" si="296"/>
        <v>0.2</v>
      </c>
      <c r="U168" s="909">
        <f t="shared" si="297"/>
        <v>9276080</v>
      </c>
      <c r="V168" s="879">
        <f t="shared" si="298"/>
        <v>0.2</v>
      </c>
      <c r="W168" s="889">
        <f>W166</f>
        <v>45737</v>
      </c>
      <c r="X168" s="880">
        <f>+R168*'ref.지급기준 (2)'!G232</f>
        <v>9276080</v>
      </c>
      <c r="Y168" s="879"/>
      <c r="Z168" s="877">
        <f t="shared" si="299"/>
        <v>0</v>
      </c>
      <c r="AA168" s="877"/>
      <c r="AB168" s="883">
        <f>AB166</f>
        <v>45838</v>
      </c>
      <c r="AC168" s="877">
        <f t="shared" si="300"/>
        <v>0</v>
      </c>
      <c r="AD168" s="877"/>
      <c r="AE168" s="883">
        <f>AE166</f>
        <v>45899</v>
      </c>
      <c r="AF168" s="877">
        <f t="shared" si="301"/>
        <v>0</v>
      </c>
      <c r="AG168" s="877"/>
      <c r="AH168" s="883">
        <f>AH166</f>
        <v>46081</v>
      </c>
      <c r="AI168" s="877" t="str">
        <f>+IFERROR(AJ168/#REF!,"-")</f>
        <v>-</v>
      </c>
      <c r="AJ168" s="877"/>
      <c r="AK168" s="877"/>
      <c r="AL168" s="877" t="str">
        <f>+IFERROR(AM168/#REF!,"-")</f>
        <v>-</v>
      </c>
      <c r="AM168" s="877"/>
      <c r="AN168" s="877"/>
      <c r="AO168" s="884">
        <f t="shared" si="302"/>
        <v>46380400</v>
      </c>
      <c r="AP168" s="884">
        <f>+AO168*'ref.지급기준 (2)'!G227</f>
        <v>9276080</v>
      </c>
      <c r="AQ168" s="1534">
        <f>+AB168</f>
        <v>45838</v>
      </c>
      <c r="AR168" s="407"/>
      <c r="AS168" s="945">
        <f>+$AO168*'ref.지급기준 (2)'!G227</f>
        <v>9276080</v>
      </c>
      <c r="AT168" s="884">
        <f t="shared" si="303"/>
        <v>9276080</v>
      </c>
      <c r="AU168" s="884">
        <f>+$AO168*'ref.지급기준 (2)'!I227</f>
        <v>9276080</v>
      </c>
      <c r="AV168" s="884">
        <f t="shared" si="304"/>
        <v>0</v>
      </c>
      <c r="AW168" s="884">
        <f>+$AO168*'ref.지급기준 (2)'!K227</f>
        <v>23190200</v>
      </c>
      <c r="AX168" s="884"/>
      <c r="AY168" s="884">
        <f>+$AO168*'ref.지급기준 (2)'!M227</f>
        <v>4638040</v>
      </c>
      <c r="AZ168" s="884"/>
      <c r="BA168" s="884">
        <f>+$AO168*'ref.지급기준 (2)'!O227</f>
        <v>0</v>
      </c>
      <c r="BB168" s="890"/>
      <c r="BC168" s="2719"/>
      <c r="BD168" s="393"/>
      <c r="BE168" s="393" t="b">
        <f>+(BA168+AY168+AW168+AU168+AS168)=R168</f>
        <v>1</v>
      </c>
      <c r="BF168" s="393"/>
      <c r="BG168" s="393"/>
      <c r="BH168" s="393"/>
      <c r="BI168" s="393"/>
      <c r="BJ168" s="393"/>
      <c r="BK168" s="393"/>
      <c r="BL168" s="393"/>
      <c r="BM168" s="393"/>
      <c r="BN168" s="393"/>
      <c r="BO168" s="408"/>
      <c r="BP168" s="408"/>
    </row>
    <row r="169" spans="1:68" ht="17.25" thickBot="1">
      <c r="A169" s="929"/>
      <c r="B169" s="2741"/>
      <c r="C169" s="2744"/>
      <c r="D169" s="2747"/>
      <c r="E169" s="2747"/>
      <c r="F169" s="2693"/>
      <c r="G169" s="2747"/>
      <c r="H169" s="2747"/>
      <c r="I169" s="2751"/>
      <c r="J169" s="2747"/>
      <c r="K169" s="2747"/>
      <c r="L169" s="2754"/>
      <c r="M169" s="2756"/>
      <c r="N169" s="2756"/>
      <c r="O169" s="999" t="s">
        <v>129</v>
      </c>
      <c r="P169" s="900">
        <f>+'DG-PV Organic'!AI21</f>
        <v>42164000</v>
      </c>
      <c r="Q169" s="901">
        <f>+P169*0.1</f>
        <v>4216400</v>
      </c>
      <c r="R169" s="900">
        <f t="shared" si="294"/>
        <v>46380400</v>
      </c>
      <c r="S169" s="1275" t="b">
        <f t="shared" si="295"/>
        <v>1</v>
      </c>
      <c r="T169" s="910">
        <f t="shared" si="296"/>
        <v>0</v>
      </c>
      <c r="U169" s="1551">
        <f t="shared" si="297"/>
        <v>0</v>
      </c>
      <c r="V169" s="910">
        <f t="shared" si="298"/>
        <v>0</v>
      </c>
      <c r="W169" s="926"/>
      <c r="X169" s="926"/>
      <c r="Y169" s="926"/>
      <c r="Z169" s="926">
        <f t="shared" si="299"/>
        <v>0</v>
      </c>
      <c r="AA169" s="926"/>
      <c r="AB169" s="927"/>
      <c r="AC169" s="926">
        <f t="shared" si="300"/>
        <v>0</v>
      </c>
      <c r="AD169" s="926"/>
      <c r="AE169" s="927"/>
      <c r="AF169" s="926">
        <f t="shared" si="301"/>
        <v>0</v>
      </c>
      <c r="AG169" s="926"/>
      <c r="AH169" s="927"/>
      <c r="AI169" s="926" t="str">
        <f>+IFERROR(AJ169/#REF!,"-")</f>
        <v>-</v>
      </c>
      <c r="AJ169" s="926"/>
      <c r="AK169" s="926"/>
      <c r="AL169" s="926"/>
      <c r="AM169" s="926"/>
      <c r="AN169" s="926"/>
      <c r="AO169" s="928">
        <f t="shared" si="302"/>
        <v>46380400</v>
      </c>
      <c r="AP169" s="928">
        <f>+AS169+AU169</f>
        <v>46380400</v>
      </c>
      <c r="AQ169" s="1535"/>
      <c r="AR169" s="398"/>
      <c r="AS169" s="948">
        <f>+$AO169*'ref.지급기준 (2)'!G223</f>
        <v>46380400</v>
      </c>
      <c r="AT169" s="939">
        <f t="shared" si="303"/>
        <v>0</v>
      </c>
      <c r="AU169" s="939">
        <f>+$AO169*'ref.지급기준 (2)'!I223</f>
        <v>0</v>
      </c>
      <c r="AV169" s="939">
        <f t="shared" si="304"/>
        <v>0</v>
      </c>
      <c r="AW169" s="939">
        <f>+$AO169*'ref.지급기준 (2)'!K223</f>
        <v>0</v>
      </c>
      <c r="AX169" s="939"/>
      <c r="AY169" s="939">
        <f>+$AO169*'ref.지급기준 (2)'!M223</f>
        <v>0</v>
      </c>
      <c r="AZ169" s="939"/>
      <c r="BA169" s="939">
        <f>+$AO169*'ref.지급기준 (2)'!O223</f>
        <v>0</v>
      </c>
      <c r="BB169" s="949"/>
      <c r="BC169" s="2739"/>
      <c r="BD169" s="2700"/>
      <c r="BE169" s="2700"/>
      <c r="BF169" s="393"/>
      <c r="BG169" s="393"/>
      <c r="BH169" s="393"/>
      <c r="BI169" s="393"/>
      <c r="BJ169" s="393"/>
      <c r="BK169" s="393"/>
      <c r="BL169" s="393"/>
      <c r="BM169" s="393"/>
      <c r="BN169" s="393"/>
      <c r="BO169" s="393"/>
      <c r="BP169" s="393"/>
    </row>
    <row r="170" spans="1:68" ht="16.5" customHeight="1">
      <c r="A170" s="929"/>
      <c r="B170" s="2741"/>
      <c r="C170" s="2744"/>
      <c r="D170" s="2747"/>
      <c r="E170" s="2747"/>
      <c r="F170" s="2693"/>
      <c r="G170" s="2747"/>
      <c r="H170" s="2747"/>
      <c r="I170" s="2810" t="s">
        <v>1315</v>
      </c>
      <c r="J170" s="2764" t="str">
        <f>+'DG-PV Organic'!B20</f>
        <v xml:space="preserve">Tyson Foods Korea </v>
      </c>
      <c r="K170" s="2813">
        <f>+'DG-PV Organic'!O20</f>
        <v>650.24</v>
      </c>
      <c r="L170" s="2814">
        <f>+'DG-PV Organic'!H20</f>
        <v>9.1600000000000001E-2</v>
      </c>
      <c r="M170" s="2816">
        <v>9.2999999999999999E-2</v>
      </c>
      <c r="N170" s="2816" t="s">
        <v>1257</v>
      </c>
      <c r="O170" s="891" t="s">
        <v>125</v>
      </c>
      <c r="P170" s="902">
        <f>+'DG-PV Organic'!AL20</f>
        <v>682752000</v>
      </c>
      <c r="Q170" s="903">
        <f>+P170*10%</f>
        <v>68275200</v>
      </c>
      <c r="R170" s="902">
        <f t="shared" ref="R170:R174" si="305">SUM(P170:Q170)</f>
        <v>751027200</v>
      </c>
      <c r="S170" s="874" t="b">
        <f t="shared" si="295"/>
        <v>1</v>
      </c>
      <c r="T170" s="891">
        <f t="shared" si="296"/>
        <v>0</v>
      </c>
      <c r="U170" s="984">
        <f t="shared" si="297"/>
        <v>0</v>
      </c>
      <c r="V170" s="912">
        <f t="shared" si="298"/>
        <v>0</v>
      </c>
      <c r="W170" s="994">
        <f>AE171</f>
        <v>45899</v>
      </c>
      <c r="X170" s="991"/>
      <c r="Y170" s="912"/>
      <c r="Z170" s="912">
        <f t="shared" ref="Z170:Z174" si="306">+IFERROR(AA170/$R170,"-")</f>
        <v>0</v>
      </c>
      <c r="AA170" s="912"/>
      <c r="AB170" s="916">
        <f>+EDATE(W170,1)</f>
        <v>45930</v>
      </c>
      <c r="AC170" s="912">
        <f t="shared" ref="AC170:AC174" si="307">+IFERROR(AD170/$R170,"-")</f>
        <v>0</v>
      </c>
      <c r="AD170" s="912"/>
      <c r="AE170" s="916">
        <f>+EDATE(AB170,3)</f>
        <v>46021</v>
      </c>
      <c r="AF170" s="912">
        <f t="shared" ref="AF170:AF174" si="308">+IFERROR(AG170/$R170,"-")</f>
        <v>0</v>
      </c>
      <c r="AG170" s="912"/>
      <c r="AH170" s="916">
        <f>+EDATE(AB170,4)</f>
        <v>46052</v>
      </c>
      <c r="AI170" s="912" t="str">
        <f>+IFERROR(AJ170/#REF!,"-")</f>
        <v>-</v>
      </c>
      <c r="AJ170" s="912"/>
      <c r="AK170" s="916">
        <f>+EDATE(AB170,6)</f>
        <v>46111</v>
      </c>
      <c r="AL170" s="912" t="str">
        <f>+IFERROR(AM170/#REF!,"-")</f>
        <v>-</v>
      </c>
      <c r="AM170" s="912"/>
      <c r="AN170" s="912"/>
      <c r="AO170" s="920">
        <f t="shared" si="302"/>
        <v>751027200</v>
      </c>
      <c r="AP170" s="920">
        <f>+AO170*'ref.지급기준 (2)'!G229</f>
        <v>75102720</v>
      </c>
      <c r="AQ170" s="1550">
        <f>+W170</f>
        <v>45899</v>
      </c>
      <c r="AR170" s="407"/>
      <c r="AS170" s="945">
        <f>+$AO170*'ref.지급기준 (2)'!G229</f>
        <v>75102720</v>
      </c>
      <c r="AT170" s="884">
        <f t="shared" si="303"/>
        <v>0</v>
      </c>
      <c r="AU170" s="884">
        <f>+$AO170*'ref.지급기준 (2)'!I229</f>
        <v>150205440</v>
      </c>
      <c r="AV170" s="884">
        <f t="shared" ref="AV170:AV174" si="309">+AA170</f>
        <v>0</v>
      </c>
      <c r="AW170" s="884">
        <f>+$AO170*'ref.지급기준 (2)'!K229</f>
        <v>300410880</v>
      </c>
      <c r="AX170" s="884"/>
      <c r="AY170" s="884">
        <f>+$AO170*'ref.지급기준 (2)'!M229</f>
        <v>187756800</v>
      </c>
      <c r="AZ170" s="884"/>
      <c r="BA170" s="884">
        <f>+$AO170*'ref.지급기준 (2)'!O229</f>
        <v>37551360</v>
      </c>
      <c r="BB170" s="890"/>
      <c r="BC170" s="2719" t="s">
        <v>1307</v>
      </c>
      <c r="BD170" s="393"/>
      <c r="BE170" s="393" t="b">
        <f>+(BA170+AY170+AW170+AU170+AS170)=R170</f>
        <v>1</v>
      </c>
      <c r="BF170" s="393"/>
      <c r="BG170" s="393"/>
      <c r="BH170" s="393"/>
      <c r="BI170" s="393"/>
      <c r="BJ170" s="393"/>
      <c r="BK170" s="393"/>
      <c r="BL170" s="393"/>
      <c r="BM170" s="393"/>
      <c r="BN170" s="393"/>
      <c r="BO170" s="393"/>
      <c r="BP170" s="393"/>
    </row>
    <row r="171" spans="1:68">
      <c r="A171" s="929"/>
      <c r="B171" s="2741"/>
      <c r="C171" s="2744"/>
      <c r="D171" s="2747"/>
      <c r="E171" s="2747"/>
      <c r="F171" s="2693"/>
      <c r="G171" s="2747"/>
      <c r="H171" s="2747"/>
      <c r="I171" s="2751"/>
      <c r="J171" s="2747"/>
      <c r="K171" s="2747"/>
      <c r="L171" s="2754"/>
      <c r="M171" s="2756"/>
      <c r="N171" s="2756"/>
      <c r="O171" s="875" t="s">
        <v>126</v>
      </c>
      <c r="P171" s="896">
        <f>+'DG-PV Organic'!AK20</f>
        <v>195072000</v>
      </c>
      <c r="Q171" s="897">
        <f>+P171*10%</f>
        <v>19507200</v>
      </c>
      <c r="R171" s="896">
        <f t="shared" si="305"/>
        <v>214579200</v>
      </c>
      <c r="S171" s="874" t="b">
        <f t="shared" si="295"/>
        <v>1</v>
      </c>
      <c r="T171" s="875">
        <f t="shared" si="296"/>
        <v>0</v>
      </c>
      <c r="U171" s="909">
        <f t="shared" si="297"/>
        <v>0</v>
      </c>
      <c r="V171" s="877">
        <f t="shared" si="298"/>
        <v>0</v>
      </c>
      <c r="W171" s="887">
        <v>45777</v>
      </c>
      <c r="X171" s="876"/>
      <c r="Y171" s="877"/>
      <c r="Z171" s="877">
        <f t="shared" si="306"/>
        <v>0</v>
      </c>
      <c r="AA171" s="886"/>
      <c r="AB171" s="883">
        <v>45838</v>
      </c>
      <c r="AC171" s="877">
        <f t="shared" si="307"/>
        <v>0</v>
      </c>
      <c r="AD171" s="877"/>
      <c r="AE171" s="883">
        <f>+EDATE(AB171,2)</f>
        <v>45899</v>
      </c>
      <c r="AF171" s="877">
        <f t="shared" si="308"/>
        <v>0</v>
      </c>
      <c r="AG171" s="877"/>
      <c r="AH171" s="883">
        <f>+EDATE(AB170,5)</f>
        <v>46081</v>
      </c>
      <c r="AI171" s="877" t="str">
        <f>+IFERROR(AJ171/#REF!,"-")</f>
        <v>-</v>
      </c>
      <c r="AJ171" s="877"/>
      <c r="AK171" s="877"/>
      <c r="AL171" s="877" t="str">
        <f>+IFERROR(AM171/#REF!,"-")</f>
        <v>-</v>
      </c>
      <c r="AM171" s="877"/>
      <c r="AN171" s="877"/>
      <c r="AO171" s="884">
        <f t="shared" si="302"/>
        <v>214579200</v>
      </c>
      <c r="AP171" s="884">
        <f>+AO171*'ref.지급기준 (2)'!G230</f>
        <v>42915840</v>
      </c>
      <c r="AQ171" s="1534">
        <f>+AB171</f>
        <v>45838</v>
      </c>
      <c r="AR171" s="407"/>
      <c r="AS171" s="945">
        <f>+$AO171*'ref.지급기준 (2)'!G230</f>
        <v>42915840</v>
      </c>
      <c r="AT171" s="884">
        <f t="shared" si="303"/>
        <v>0</v>
      </c>
      <c r="AU171" s="884">
        <f>+$AO171*'ref.지급기준 (2)'!I230</f>
        <v>42915840</v>
      </c>
      <c r="AV171" s="884">
        <f t="shared" si="309"/>
        <v>0</v>
      </c>
      <c r="AW171" s="884">
        <f>+$AO171*'ref.지급기준 (2)'!K230</f>
        <v>107289600</v>
      </c>
      <c r="AX171" s="884"/>
      <c r="AY171" s="884">
        <f>+$AO171*'ref.지급기준 (2)'!M230</f>
        <v>21457920</v>
      </c>
      <c r="AZ171" s="884"/>
      <c r="BA171" s="884">
        <f>+$AO171*'ref.지급기준 (2)'!O230</f>
        <v>0</v>
      </c>
      <c r="BB171" s="890"/>
      <c r="BC171" s="2719"/>
      <c r="BD171" s="393"/>
      <c r="BE171" s="393" t="b">
        <f>+(BA171+AY171+AW171+AU171+AS171)=R171</f>
        <v>1</v>
      </c>
      <c r="BF171" s="393"/>
      <c r="BG171" s="393"/>
      <c r="BH171" s="393"/>
      <c r="BI171" s="393"/>
      <c r="BJ171" s="393"/>
      <c r="BK171" s="393"/>
      <c r="BL171" s="393"/>
      <c r="BM171" s="393"/>
      <c r="BN171" s="393"/>
      <c r="BO171" s="393"/>
      <c r="BP171" s="393"/>
    </row>
    <row r="172" spans="1:68">
      <c r="A172" s="929"/>
      <c r="B172" s="2741"/>
      <c r="C172" s="2744"/>
      <c r="D172" s="2747"/>
      <c r="E172" s="2747"/>
      <c r="F172" s="2693"/>
      <c r="G172" s="2747"/>
      <c r="H172" s="2747"/>
      <c r="I172" s="2751"/>
      <c r="J172" s="2747"/>
      <c r="K172" s="2747"/>
      <c r="L172" s="2754"/>
      <c r="M172" s="2756"/>
      <c r="N172" s="2756"/>
      <c r="O172" s="875" t="s">
        <v>127</v>
      </c>
      <c r="P172" s="896">
        <v>0</v>
      </c>
      <c r="Q172" s="897"/>
      <c r="R172" s="896">
        <f t="shared" si="305"/>
        <v>0</v>
      </c>
      <c r="S172" s="874" t="b">
        <f t="shared" si="295"/>
        <v>1</v>
      </c>
      <c r="T172" s="875" t="str">
        <f t="shared" si="296"/>
        <v>-</v>
      </c>
      <c r="U172" s="909">
        <f t="shared" si="297"/>
        <v>0</v>
      </c>
      <c r="V172" s="877" t="str">
        <f t="shared" si="298"/>
        <v>-</v>
      </c>
      <c r="W172" s="887"/>
      <c r="X172" s="876"/>
      <c r="Y172" s="877"/>
      <c r="Z172" s="877" t="str">
        <f t="shared" si="306"/>
        <v>-</v>
      </c>
      <c r="AA172" s="877"/>
      <c r="AB172" s="883"/>
      <c r="AC172" s="877" t="str">
        <f t="shared" si="307"/>
        <v>-</v>
      </c>
      <c r="AD172" s="877"/>
      <c r="AE172" s="883"/>
      <c r="AF172" s="877" t="str">
        <f t="shared" si="308"/>
        <v>-</v>
      </c>
      <c r="AG172" s="877"/>
      <c r="AH172" s="883"/>
      <c r="AI172" s="877" t="str">
        <f>+IFERROR(AJ172/#REF!,"-")</f>
        <v>-</v>
      </c>
      <c r="AJ172" s="877"/>
      <c r="AK172" s="877"/>
      <c r="AL172" s="877" t="str">
        <f>+IFERROR(AM172/#REF!,"-")</f>
        <v>-</v>
      </c>
      <c r="AM172" s="877"/>
      <c r="AN172" s="877"/>
      <c r="AO172" s="884">
        <f t="shared" si="302"/>
        <v>0</v>
      </c>
      <c r="AP172" s="884">
        <f>+AO172*'ref.지급기준 (2)'!G231</f>
        <v>0</v>
      </c>
      <c r="AQ172" s="1534"/>
      <c r="AR172" s="407"/>
      <c r="AS172" s="945">
        <f>+$AO172*'ref.지급기준 (2)'!G231</f>
        <v>0</v>
      </c>
      <c r="AT172" s="884">
        <f t="shared" si="303"/>
        <v>0</v>
      </c>
      <c r="AU172" s="884">
        <f>+$AO172*'ref.지급기준 (2)'!I231</f>
        <v>0</v>
      </c>
      <c r="AV172" s="884">
        <f t="shared" si="309"/>
        <v>0</v>
      </c>
      <c r="AW172" s="884">
        <f>+$AO172*'ref.지급기준 (2)'!K231</f>
        <v>0</v>
      </c>
      <c r="AX172" s="884"/>
      <c r="AY172" s="884">
        <f>+$AO172*'ref.지급기준 (2)'!M231</f>
        <v>0</v>
      </c>
      <c r="AZ172" s="884"/>
      <c r="BA172" s="884">
        <f>+$AO172*'ref.지급기준 (2)'!O231</f>
        <v>0</v>
      </c>
      <c r="BB172" s="890"/>
      <c r="BC172" s="2719"/>
      <c r="BD172" s="393"/>
      <c r="BE172" s="393" t="b">
        <f>+(BA172+AY172+AW172+AU172+AS172)=R172</f>
        <v>1</v>
      </c>
      <c r="BF172" s="393"/>
      <c r="BG172" s="393"/>
      <c r="BH172" s="393"/>
      <c r="BI172" s="393"/>
      <c r="BJ172" s="393"/>
      <c r="BK172" s="393"/>
      <c r="BL172" s="393"/>
      <c r="BM172" s="393"/>
      <c r="BN172" s="393"/>
      <c r="BO172" s="393"/>
      <c r="BP172" s="393"/>
    </row>
    <row r="173" spans="1:68">
      <c r="A173" s="929"/>
      <c r="B173" s="2741"/>
      <c r="C173" s="2744"/>
      <c r="D173" s="2747"/>
      <c r="E173" s="2747"/>
      <c r="F173" s="2693"/>
      <c r="G173" s="2747"/>
      <c r="H173" s="2747"/>
      <c r="I173" s="2751"/>
      <c r="J173" s="2747"/>
      <c r="K173" s="2747"/>
      <c r="L173" s="2754"/>
      <c r="M173" s="2756"/>
      <c r="N173" s="2756"/>
      <c r="O173" s="875" t="s">
        <v>128</v>
      </c>
      <c r="P173" s="896">
        <f>+'DG-PV Organic'!AJ20</f>
        <v>130048000</v>
      </c>
      <c r="Q173" s="897">
        <f>+P173*10%</f>
        <v>13004800</v>
      </c>
      <c r="R173" s="896">
        <f t="shared" si="305"/>
        <v>143052800</v>
      </c>
      <c r="S173" s="874" t="b">
        <f t="shared" si="295"/>
        <v>1</v>
      </c>
      <c r="T173" s="875">
        <f t="shared" si="296"/>
        <v>0</v>
      </c>
      <c r="U173" s="909">
        <f t="shared" si="297"/>
        <v>0</v>
      </c>
      <c r="V173" s="877">
        <f t="shared" si="298"/>
        <v>0</v>
      </c>
      <c r="W173" s="887">
        <f>W171</f>
        <v>45777</v>
      </c>
      <c r="X173" s="876"/>
      <c r="Y173" s="877"/>
      <c r="Z173" s="877">
        <f t="shared" si="306"/>
        <v>0</v>
      </c>
      <c r="AA173" s="877"/>
      <c r="AB173" s="883">
        <f>AB171</f>
        <v>45838</v>
      </c>
      <c r="AC173" s="877">
        <f t="shared" si="307"/>
        <v>0</v>
      </c>
      <c r="AD173" s="877"/>
      <c r="AE173" s="883">
        <f>AE171</f>
        <v>45899</v>
      </c>
      <c r="AF173" s="877">
        <f t="shared" si="308"/>
        <v>0</v>
      </c>
      <c r="AG173" s="877"/>
      <c r="AH173" s="883">
        <f>AH171</f>
        <v>46081</v>
      </c>
      <c r="AI173" s="877" t="str">
        <f>+IFERROR(AJ173/#REF!,"-")</f>
        <v>-</v>
      </c>
      <c r="AJ173" s="877"/>
      <c r="AK173" s="877"/>
      <c r="AL173" s="877" t="str">
        <f>+IFERROR(AM173/#REF!,"-")</f>
        <v>-</v>
      </c>
      <c r="AM173" s="877"/>
      <c r="AN173" s="877"/>
      <c r="AO173" s="884">
        <f t="shared" si="302"/>
        <v>143052800</v>
      </c>
      <c r="AP173" s="884">
        <f>+AO173*'ref.지급기준 (2)'!G232</f>
        <v>28610560</v>
      </c>
      <c r="AQ173" s="1534">
        <f>+AB173</f>
        <v>45838</v>
      </c>
      <c r="AR173" s="407"/>
      <c r="AS173" s="945">
        <f>+$AO173*'ref.지급기준 (2)'!G232</f>
        <v>28610560</v>
      </c>
      <c r="AT173" s="884">
        <f t="shared" si="303"/>
        <v>0</v>
      </c>
      <c r="AU173" s="884">
        <f>+$AO173*'ref.지급기준 (2)'!I232</f>
        <v>28610560</v>
      </c>
      <c r="AV173" s="884">
        <f t="shared" si="309"/>
        <v>0</v>
      </c>
      <c r="AW173" s="884">
        <f>+$AO173*'ref.지급기준 (2)'!K232</f>
        <v>71526400</v>
      </c>
      <c r="AX173" s="884"/>
      <c r="AY173" s="884">
        <f>+$AO173*'ref.지급기준 (2)'!M232</f>
        <v>14305280</v>
      </c>
      <c r="AZ173" s="884"/>
      <c r="BA173" s="884">
        <f>+$AO173*'ref.지급기준 (2)'!O232</f>
        <v>0</v>
      </c>
      <c r="BB173" s="890"/>
      <c r="BC173" s="2719"/>
      <c r="BD173" s="393"/>
      <c r="BE173" s="393" t="b">
        <f>+(BA173+AY173+AW173+AU173+AS173)=R173</f>
        <v>1</v>
      </c>
      <c r="BF173" s="393"/>
      <c r="BG173" s="393"/>
      <c r="BH173" s="393"/>
      <c r="BI173" s="393"/>
      <c r="BJ173" s="393"/>
      <c r="BK173" s="393"/>
      <c r="BL173" s="393"/>
      <c r="BM173" s="393"/>
      <c r="BN173" s="393"/>
      <c r="BO173" s="393"/>
      <c r="BP173" s="393"/>
    </row>
    <row r="174" spans="1:68" ht="17.25" thickBot="1">
      <c r="A174" s="929"/>
      <c r="B174" s="2741"/>
      <c r="C174" s="2744"/>
      <c r="D174" s="2747"/>
      <c r="E174" s="2747"/>
      <c r="F174" s="2693"/>
      <c r="G174" s="2747"/>
      <c r="H174" s="2747"/>
      <c r="I174" s="2811"/>
      <c r="J174" s="2812"/>
      <c r="K174" s="2812"/>
      <c r="L174" s="2815"/>
      <c r="M174" s="2817"/>
      <c r="N174" s="2817"/>
      <c r="O174" s="932" t="s">
        <v>129</v>
      </c>
      <c r="P174" s="933">
        <f>+'DG-PV Organic'!AI20</f>
        <v>130048000</v>
      </c>
      <c r="Q174" s="934">
        <f>+P174*0.1</f>
        <v>13004800</v>
      </c>
      <c r="R174" s="933">
        <f t="shared" si="305"/>
        <v>143052800</v>
      </c>
      <c r="S174" s="411" t="b">
        <f t="shared" si="295"/>
        <v>1</v>
      </c>
      <c r="T174" s="936">
        <f t="shared" si="296"/>
        <v>0</v>
      </c>
      <c r="U174" s="1264">
        <f t="shared" si="297"/>
        <v>0</v>
      </c>
      <c r="V174" s="936">
        <f t="shared" si="298"/>
        <v>0</v>
      </c>
      <c r="W174" s="1122">
        <v>45737</v>
      </c>
      <c r="X174" s="1264"/>
      <c r="Y174" s="937"/>
      <c r="Z174" s="937">
        <f t="shared" si="306"/>
        <v>0</v>
      </c>
      <c r="AA174" s="937"/>
      <c r="AB174" s="938"/>
      <c r="AC174" s="937">
        <f t="shared" si="307"/>
        <v>0</v>
      </c>
      <c r="AD174" s="937"/>
      <c r="AE174" s="938"/>
      <c r="AF174" s="937">
        <f t="shared" si="308"/>
        <v>0</v>
      </c>
      <c r="AG174" s="937"/>
      <c r="AH174" s="938"/>
      <c r="AI174" s="937" t="str">
        <f>+IFERROR(AJ174/#REF!,"-")</f>
        <v>-</v>
      </c>
      <c r="AJ174" s="937"/>
      <c r="AK174" s="937"/>
      <c r="AL174" s="937"/>
      <c r="AM174" s="937"/>
      <c r="AN174" s="937"/>
      <c r="AO174" s="939">
        <f t="shared" si="302"/>
        <v>143052800</v>
      </c>
      <c r="AP174" s="939">
        <f>+AS174+AU174</f>
        <v>143052800</v>
      </c>
      <c r="AQ174" s="1536"/>
      <c r="AR174" s="398"/>
      <c r="AS174" s="948">
        <f>+$AO174*'ref.지급기준 (2)'!G228</f>
        <v>143052800</v>
      </c>
      <c r="AT174" s="939">
        <f t="shared" si="303"/>
        <v>0</v>
      </c>
      <c r="AU174" s="939">
        <f>+$AO174*'ref.지급기준 (2)'!I228</f>
        <v>0</v>
      </c>
      <c r="AV174" s="939">
        <f t="shared" si="309"/>
        <v>0</v>
      </c>
      <c r="AW174" s="939">
        <f>+$AO174*'ref.지급기준 (2)'!K228</f>
        <v>0</v>
      </c>
      <c r="AX174" s="939"/>
      <c r="AY174" s="939">
        <f>+$AO174*'ref.지급기준 (2)'!M228</f>
        <v>0</v>
      </c>
      <c r="AZ174" s="939"/>
      <c r="BA174" s="939">
        <f>+$AO174*'ref.지급기준 (2)'!O228</f>
        <v>0</v>
      </c>
      <c r="BB174" s="949"/>
      <c r="BC174" s="2739"/>
      <c r="BD174" s="2700"/>
      <c r="BE174" s="2700"/>
      <c r="BF174" s="393"/>
      <c r="BG174" s="393"/>
      <c r="BH174" s="393"/>
      <c r="BI174" s="393"/>
      <c r="BJ174" s="393"/>
      <c r="BK174" s="393"/>
      <c r="BL174" s="393"/>
      <c r="BM174" s="393"/>
      <c r="BN174" s="393"/>
      <c r="BO174" s="393"/>
      <c r="BP174" s="393"/>
    </row>
    <row r="175" spans="1:68" ht="16.5" customHeight="1" outlineLevel="1">
      <c r="A175" s="929"/>
      <c r="B175" s="2741"/>
      <c r="C175" s="2744"/>
      <c r="D175" s="2747"/>
      <c r="E175" s="2747"/>
      <c r="F175" s="2693"/>
      <c r="G175" s="2747"/>
      <c r="H175" s="2747"/>
      <c r="I175" s="2751"/>
      <c r="J175" s="2747"/>
      <c r="K175" s="2753">
        <f>+'DG-PV Organic'!O26</f>
        <v>355.6</v>
      </c>
      <c r="L175" s="2754">
        <f>+'DG-PV Organic'!H26</f>
        <v>8.7800000000000003E-2</v>
      </c>
      <c r="M175" s="2756">
        <v>9.2999999999999999E-2</v>
      </c>
      <c r="N175" s="2756" t="s">
        <v>1257</v>
      </c>
      <c r="O175" s="893" t="s">
        <v>125</v>
      </c>
      <c r="P175" s="904">
        <f>+'ref.지급기준 (2)'!F234*'ref.지급기준 (2)'!D234/'ref.지급기준 (2)'!$Q$2</f>
        <v>682752000</v>
      </c>
      <c r="Q175" s="905">
        <f>+P175*10%</f>
        <v>68275200</v>
      </c>
      <c r="R175" s="904">
        <f t="shared" si="294"/>
        <v>751027200</v>
      </c>
      <c r="S175" s="874" t="b">
        <f t="shared" si="295"/>
        <v>1</v>
      </c>
      <c r="T175" s="891">
        <f t="shared" si="296"/>
        <v>0</v>
      </c>
      <c r="U175" s="984">
        <f t="shared" si="297"/>
        <v>0</v>
      </c>
      <c r="V175" s="877">
        <f t="shared" si="298"/>
        <v>0</v>
      </c>
      <c r="W175" s="887">
        <f>AE176</f>
        <v>45838</v>
      </c>
      <c r="X175" s="876"/>
      <c r="Y175" s="877"/>
      <c r="Z175" s="877">
        <f t="shared" si="299"/>
        <v>0</v>
      </c>
      <c r="AA175" s="877"/>
      <c r="AB175" s="883">
        <f>+EDATE(W175,1)</f>
        <v>45868</v>
      </c>
      <c r="AC175" s="877">
        <f t="shared" si="300"/>
        <v>0</v>
      </c>
      <c r="AD175" s="877"/>
      <c r="AE175" s="883">
        <f>+EDATE(AB175,3)</f>
        <v>45960</v>
      </c>
      <c r="AF175" s="877">
        <f t="shared" si="301"/>
        <v>0</v>
      </c>
      <c r="AG175" s="877"/>
      <c r="AH175" s="883">
        <f>+EDATE(AB175,4)</f>
        <v>45991</v>
      </c>
      <c r="AI175" s="877" t="str">
        <f>+IFERROR(AJ175/#REF!,"-")</f>
        <v>-</v>
      </c>
      <c r="AJ175" s="877"/>
      <c r="AK175" s="883">
        <f>+EDATE(AB175,6)</f>
        <v>46052</v>
      </c>
      <c r="AL175" s="877" t="str">
        <f>+IFERROR(AM175/#REF!,"-")</f>
        <v>-</v>
      </c>
      <c r="AM175" s="877"/>
      <c r="AN175" s="877"/>
      <c r="AO175" s="884">
        <f t="shared" si="302"/>
        <v>751027200</v>
      </c>
      <c r="AP175" s="884">
        <f>+AO175*'ref.지급기준 (2)'!G234</f>
        <v>75102720</v>
      </c>
      <c r="AQ175" s="1534">
        <f>+W175</f>
        <v>45838</v>
      </c>
      <c r="AR175" s="407"/>
      <c r="AS175" s="945">
        <f>+$AO175*'ref.지급기준 (2)'!G234</f>
        <v>75102720</v>
      </c>
      <c r="AT175" s="884">
        <f t="shared" si="303"/>
        <v>0</v>
      </c>
      <c r="AU175" s="884">
        <f>+$AO175*'ref.지급기준 (2)'!I234</f>
        <v>150205440</v>
      </c>
      <c r="AV175" s="884">
        <f t="shared" si="304"/>
        <v>0</v>
      </c>
      <c r="AW175" s="884">
        <f>+$AO175*'ref.지급기준 (2)'!K234</f>
        <v>300410880</v>
      </c>
      <c r="AX175" s="884"/>
      <c r="AY175" s="884">
        <f>+$AO175*'ref.지급기준 (2)'!M234</f>
        <v>187756800</v>
      </c>
      <c r="AZ175" s="884"/>
      <c r="BA175" s="884">
        <f>+$AO175*'ref.지급기준 (2)'!O234</f>
        <v>37551360</v>
      </c>
      <c r="BB175" s="890"/>
      <c r="BC175" s="2719" t="s">
        <v>1307</v>
      </c>
      <c r="BD175" s="393"/>
      <c r="BE175" s="393" t="b">
        <f>+(BA175+AY175+AW175+AU175+AS175)=R175</f>
        <v>1</v>
      </c>
      <c r="BF175" s="393"/>
      <c r="BG175" s="393"/>
      <c r="BH175" s="393"/>
      <c r="BI175" s="393"/>
      <c r="BJ175" s="393"/>
      <c r="BK175" s="393"/>
      <c r="BL175" s="393"/>
      <c r="BM175" s="393"/>
      <c r="BN175" s="393"/>
      <c r="BO175" s="408"/>
      <c r="BP175" s="408"/>
    </row>
    <row r="176" spans="1:68" outlineLevel="1">
      <c r="A176" s="929"/>
      <c r="B176" s="2741"/>
      <c r="C176" s="2744"/>
      <c r="D176" s="2747"/>
      <c r="E176" s="2747"/>
      <c r="F176" s="2693"/>
      <c r="G176" s="2747"/>
      <c r="H176" s="2747"/>
      <c r="I176" s="2751"/>
      <c r="J176" s="2747"/>
      <c r="K176" s="2747"/>
      <c r="L176" s="2754"/>
      <c r="M176" s="2756"/>
      <c r="N176" s="2756"/>
      <c r="O176" s="875" t="s">
        <v>126</v>
      </c>
      <c r="P176" s="896">
        <f>+'ref.지급기준 (2)'!F235*'ref.지급기준 (2)'!D235/'ref.지급기준 (2)'!$Q$2</f>
        <v>195072000</v>
      </c>
      <c r="Q176" s="897">
        <f>+P176*10%</f>
        <v>19507200</v>
      </c>
      <c r="R176" s="896">
        <f t="shared" si="294"/>
        <v>214579200</v>
      </c>
      <c r="S176" s="874" t="b">
        <f t="shared" si="295"/>
        <v>1</v>
      </c>
      <c r="T176" s="875">
        <f t="shared" si="296"/>
        <v>0</v>
      </c>
      <c r="U176" s="909">
        <f t="shared" si="297"/>
        <v>0</v>
      </c>
      <c r="V176" s="877">
        <f t="shared" si="298"/>
        <v>0</v>
      </c>
      <c r="W176" s="887">
        <v>45747</v>
      </c>
      <c r="X176" s="876"/>
      <c r="Y176" s="877"/>
      <c r="Z176" s="877">
        <f t="shared" si="299"/>
        <v>0</v>
      </c>
      <c r="AA176" s="886"/>
      <c r="AB176" s="883">
        <v>45808</v>
      </c>
      <c r="AC176" s="877">
        <f t="shared" si="300"/>
        <v>0</v>
      </c>
      <c r="AD176" s="877"/>
      <c r="AE176" s="883">
        <f>+EDATE(AB176,1)</f>
        <v>45838</v>
      </c>
      <c r="AF176" s="877">
        <f t="shared" si="301"/>
        <v>0</v>
      </c>
      <c r="AG176" s="877"/>
      <c r="AH176" s="883">
        <f>+EDATE(AB175,6)</f>
        <v>46052</v>
      </c>
      <c r="AI176" s="877" t="str">
        <f>+IFERROR(AJ176/#REF!,"-")</f>
        <v>-</v>
      </c>
      <c r="AJ176" s="877"/>
      <c r="AK176" s="877"/>
      <c r="AL176" s="877" t="str">
        <f>+IFERROR(AM176/#REF!,"-")</f>
        <v>-</v>
      </c>
      <c r="AM176" s="877"/>
      <c r="AN176" s="877"/>
      <c r="AO176" s="884">
        <f t="shared" si="302"/>
        <v>214579200</v>
      </c>
      <c r="AP176" s="884">
        <f>+AO176*'ref.지급기준 (2)'!G235</f>
        <v>42915840</v>
      </c>
      <c r="AQ176" s="1534">
        <f>+AB176</f>
        <v>45808</v>
      </c>
      <c r="AR176" s="407"/>
      <c r="AS176" s="945">
        <f>+$AO176*'ref.지급기준 (2)'!G235</f>
        <v>42915840</v>
      </c>
      <c r="AT176" s="884">
        <f t="shared" si="303"/>
        <v>0</v>
      </c>
      <c r="AU176" s="884">
        <f>+$AO176*'ref.지급기준 (2)'!I235</f>
        <v>42915840</v>
      </c>
      <c r="AV176" s="884">
        <f t="shared" si="304"/>
        <v>0</v>
      </c>
      <c r="AW176" s="884">
        <f>+$AO176*'ref.지급기준 (2)'!K235</f>
        <v>107289600</v>
      </c>
      <c r="AX176" s="884"/>
      <c r="AY176" s="884">
        <f>+$AO176*'ref.지급기준 (2)'!M235</f>
        <v>21457920</v>
      </c>
      <c r="AZ176" s="884"/>
      <c r="BA176" s="884">
        <f>+$AO176*'ref.지급기준 (2)'!O235</f>
        <v>0</v>
      </c>
      <c r="BB176" s="890"/>
      <c r="BC176" s="2719"/>
      <c r="BD176" s="393"/>
      <c r="BE176" s="393" t="b">
        <f>+(BA176+AY176+AW176+AU176+AS176)=R176</f>
        <v>1</v>
      </c>
      <c r="BF176" s="393"/>
      <c r="BG176" s="393"/>
      <c r="BH176" s="393"/>
      <c r="BI176" s="393"/>
      <c r="BJ176" s="393"/>
      <c r="BK176" s="393"/>
      <c r="BL176" s="393"/>
      <c r="BM176" s="393"/>
      <c r="BN176" s="393"/>
      <c r="BO176" s="408"/>
      <c r="BP176" s="408"/>
    </row>
    <row r="177" spans="1:68" outlineLevel="1">
      <c r="A177" s="929"/>
      <c r="B177" s="2741"/>
      <c r="C177" s="2744"/>
      <c r="D177" s="2747"/>
      <c r="E177" s="2747"/>
      <c r="F177" s="2693"/>
      <c r="G177" s="2747"/>
      <c r="H177" s="2747"/>
      <c r="I177" s="2751"/>
      <c r="J177" s="2747"/>
      <c r="K177" s="2747"/>
      <c r="L177" s="2754"/>
      <c r="M177" s="2756"/>
      <c r="N177" s="2756"/>
      <c r="O177" s="875" t="s">
        <v>127</v>
      </c>
      <c r="P177" s="896">
        <f>+'ref.지급기준 (2)'!F236*'ref.지급기준 (2)'!D236/'ref.지급기준 (2)'!$Q$2</f>
        <v>0</v>
      </c>
      <c r="Q177" s="897"/>
      <c r="R177" s="896">
        <f t="shared" si="294"/>
        <v>0</v>
      </c>
      <c r="S177" s="874" t="b">
        <f t="shared" si="295"/>
        <v>1</v>
      </c>
      <c r="T177" s="875" t="str">
        <f t="shared" si="296"/>
        <v>-</v>
      </c>
      <c r="U177" s="909">
        <f t="shared" si="297"/>
        <v>0</v>
      </c>
      <c r="V177" s="877" t="str">
        <f t="shared" si="298"/>
        <v>-</v>
      </c>
      <c r="W177" s="887"/>
      <c r="X177" s="876"/>
      <c r="Y177" s="877"/>
      <c r="Z177" s="877" t="str">
        <f t="shared" si="299"/>
        <v>-</v>
      </c>
      <c r="AA177" s="877"/>
      <c r="AB177" s="883"/>
      <c r="AC177" s="877" t="str">
        <f t="shared" si="300"/>
        <v>-</v>
      </c>
      <c r="AD177" s="877"/>
      <c r="AE177" s="883"/>
      <c r="AF177" s="877" t="str">
        <f t="shared" si="301"/>
        <v>-</v>
      </c>
      <c r="AG177" s="877"/>
      <c r="AH177" s="883"/>
      <c r="AI177" s="877" t="str">
        <f>+IFERROR(AJ177/#REF!,"-")</f>
        <v>-</v>
      </c>
      <c r="AJ177" s="877"/>
      <c r="AK177" s="877"/>
      <c r="AL177" s="877" t="str">
        <f>+IFERROR(AM177/#REF!,"-")</f>
        <v>-</v>
      </c>
      <c r="AM177" s="877"/>
      <c r="AN177" s="877"/>
      <c r="AO177" s="884">
        <f t="shared" si="302"/>
        <v>0</v>
      </c>
      <c r="AP177" s="884">
        <f>+AO177*'ref.지급기준 (2)'!G236</f>
        <v>0</v>
      </c>
      <c r="AQ177" s="1534"/>
      <c r="AR177" s="407"/>
      <c r="AS177" s="945">
        <f>+$AO177*'ref.지급기준 (2)'!G236</f>
        <v>0</v>
      </c>
      <c r="AT177" s="884">
        <f t="shared" si="303"/>
        <v>0</v>
      </c>
      <c r="AU177" s="884">
        <f>+$AO177*'ref.지급기준 (2)'!I236</f>
        <v>0</v>
      </c>
      <c r="AV177" s="884">
        <f t="shared" si="304"/>
        <v>0</v>
      </c>
      <c r="AW177" s="884">
        <f>+$AO177*'ref.지급기준 (2)'!K236</f>
        <v>0</v>
      </c>
      <c r="AX177" s="884"/>
      <c r="AY177" s="884">
        <f>+$AO177*'ref.지급기준 (2)'!M236</f>
        <v>0</v>
      </c>
      <c r="AZ177" s="884"/>
      <c r="BA177" s="884">
        <f>+$AO177*'ref.지급기준 (2)'!O236</f>
        <v>0</v>
      </c>
      <c r="BB177" s="890"/>
      <c r="BC177" s="2719"/>
      <c r="BD177" s="393"/>
      <c r="BE177" s="393" t="b">
        <f>+(BA177+AY177+AW177+AU177+AS177)=R177</f>
        <v>1</v>
      </c>
      <c r="BF177" s="393"/>
      <c r="BG177" s="393"/>
      <c r="BH177" s="393"/>
      <c r="BI177" s="393"/>
      <c r="BJ177" s="393"/>
      <c r="BK177" s="393"/>
      <c r="BL177" s="393"/>
      <c r="BM177" s="393"/>
      <c r="BN177" s="393"/>
      <c r="BO177" s="408"/>
      <c r="BP177" s="408"/>
    </row>
    <row r="178" spans="1:68" outlineLevel="1">
      <c r="A178" s="929"/>
      <c r="B178" s="2741"/>
      <c r="C178" s="2744"/>
      <c r="D178" s="2747"/>
      <c r="E178" s="2747"/>
      <c r="F178" s="2693"/>
      <c r="G178" s="2747"/>
      <c r="H178" s="2747"/>
      <c r="I178" s="2751"/>
      <c r="J178" s="2747"/>
      <c r="K178" s="2747"/>
      <c r="L178" s="2754"/>
      <c r="M178" s="2756"/>
      <c r="N178" s="2756"/>
      <c r="O178" s="875" t="s">
        <v>128</v>
      </c>
      <c r="P178" s="896">
        <f>+'ref.지급기준 (2)'!F237*'ref.지급기준 (2)'!D237/'ref.지급기준 (2)'!$Q$2</f>
        <v>130048000</v>
      </c>
      <c r="Q178" s="897">
        <f>+P178*10%</f>
        <v>13004800</v>
      </c>
      <c r="R178" s="896">
        <f t="shared" si="294"/>
        <v>143052800</v>
      </c>
      <c r="S178" s="874" t="b">
        <f t="shared" si="295"/>
        <v>1</v>
      </c>
      <c r="T178" s="875">
        <f t="shared" si="296"/>
        <v>0</v>
      </c>
      <c r="U178" s="909">
        <f t="shared" si="297"/>
        <v>0</v>
      </c>
      <c r="V178" s="877">
        <f t="shared" si="298"/>
        <v>0</v>
      </c>
      <c r="W178" s="887">
        <f>W176</f>
        <v>45747</v>
      </c>
      <c r="X178" s="876"/>
      <c r="Y178" s="877"/>
      <c r="Z178" s="877">
        <f t="shared" si="299"/>
        <v>0</v>
      </c>
      <c r="AA178" s="877"/>
      <c r="AB178" s="883">
        <f>AB176</f>
        <v>45808</v>
      </c>
      <c r="AC178" s="877">
        <f t="shared" si="300"/>
        <v>0</v>
      </c>
      <c r="AD178" s="877"/>
      <c r="AE178" s="883">
        <f>AE176</f>
        <v>45838</v>
      </c>
      <c r="AF178" s="877">
        <f t="shared" si="301"/>
        <v>0</v>
      </c>
      <c r="AG178" s="877"/>
      <c r="AH178" s="883">
        <f>AH176</f>
        <v>46052</v>
      </c>
      <c r="AI178" s="877" t="str">
        <f>+IFERROR(AJ178/#REF!,"-")</f>
        <v>-</v>
      </c>
      <c r="AJ178" s="877"/>
      <c r="AK178" s="877"/>
      <c r="AL178" s="877" t="str">
        <f>+IFERROR(AM178/#REF!,"-")</f>
        <v>-</v>
      </c>
      <c r="AM178" s="877"/>
      <c r="AN178" s="877"/>
      <c r="AO178" s="884">
        <f t="shared" si="302"/>
        <v>143052800</v>
      </c>
      <c r="AP178" s="884">
        <f>+AO178*'ref.지급기준 (2)'!G237</f>
        <v>28610560</v>
      </c>
      <c r="AQ178" s="1534">
        <f>+AB178</f>
        <v>45808</v>
      </c>
      <c r="AR178" s="407"/>
      <c r="AS178" s="945">
        <f>+$AO178*'ref.지급기준 (2)'!G237</f>
        <v>28610560</v>
      </c>
      <c r="AT178" s="884">
        <f t="shared" si="303"/>
        <v>0</v>
      </c>
      <c r="AU178" s="884">
        <f>+$AO178*'ref.지급기준 (2)'!I237</f>
        <v>28610560</v>
      </c>
      <c r="AV178" s="884">
        <f t="shared" si="304"/>
        <v>0</v>
      </c>
      <c r="AW178" s="884">
        <f>+$AO178*'ref.지급기준 (2)'!K237</f>
        <v>71526400</v>
      </c>
      <c r="AX178" s="884"/>
      <c r="AY178" s="884">
        <f>+$AO178*'ref.지급기준 (2)'!M237</f>
        <v>14305280</v>
      </c>
      <c r="AZ178" s="884"/>
      <c r="BA178" s="884">
        <f>+$AO178*'ref.지급기준 (2)'!O237</f>
        <v>0</v>
      </c>
      <c r="BB178" s="890"/>
      <c r="BC178" s="2719"/>
      <c r="BD178" s="393"/>
      <c r="BE178" s="393" t="b">
        <f>+(BA178+AY178+AW178+AU178+AS178)=R178</f>
        <v>1</v>
      </c>
      <c r="BF178" s="393"/>
      <c r="BG178" s="393"/>
      <c r="BH178" s="393"/>
      <c r="BI178" s="393"/>
      <c r="BJ178" s="393"/>
      <c r="BK178" s="393"/>
      <c r="BL178" s="393"/>
      <c r="BM178" s="393"/>
      <c r="BN178" s="393"/>
      <c r="BO178" s="408"/>
      <c r="BP178" s="408"/>
    </row>
    <row r="179" spans="1:68" ht="17.25" outlineLevel="1" thickBot="1">
      <c r="A179" s="929"/>
      <c r="B179" s="2742"/>
      <c r="C179" s="2745"/>
      <c r="D179" s="2748"/>
      <c r="E179" s="2748"/>
      <c r="F179" s="2750"/>
      <c r="G179" s="2748"/>
      <c r="H179" s="2748"/>
      <c r="I179" s="2752"/>
      <c r="J179" s="2748"/>
      <c r="K179" s="2748"/>
      <c r="L179" s="2755"/>
      <c r="M179" s="2757"/>
      <c r="N179" s="2757"/>
      <c r="O179" s="1537" t="s">
        <v>129</v>
      </c>
      <c r="P179" s="1538">
        <f>+'ref.지급기준 (2)'!F238</f>
        <v>0</v>
      </c>
      <c r="Q179" s="1539">
        <f>+P179*0.1</f>
        <v>0</v>
      </c>
      <c r="R179" s="1538">
        <f t="shared" si="294"/>
        <v>0</v>
      </c>
      <c r="S179" s="1540" t="b">
        <f t="shared" si="295"/>
        <v>1</v>
      </c>
      <c r="T179" s="1541"/>
      <c r="U179" s="1542"/>
      <c r="V179" s="1543" t="str">
        <f t="shared" si="298"/>
        <v>-</v>
      </c>
      <c r="W179" s="1545">
        <v>45737</v>
      </c>
      <c r="X179" s="1544">
        <v>0</v>
      </c>
      <c r="Y179" s="1546"/>
      <c r="Z179" s="1546" t="str">
        <f t="shared" si="299"/>
        <v>-</v>
      </c>
      <c r="AA179" s="1546"/>
      <c r="AB179" s="1547"/>
      <c r="AC179" s="1546" t="str">
        <f t="shared" si="300"/>
        <v>-</v>
      </c>
      <c r="AD179" s="1546"/>
      <c r="AE179" s="1547"/>
      <c r="AF179" s="1546" t="str">
        <f t="shared" si="301"/>
        <v>-</v>
      </c>
      <c r="AG179" s="1546"/>
      <c r="AH179" s="1547"/>
      <c r="AI179" s="1546" t="str">
        <f>+IFERROR(AJ179/#REF!,"-")</f>
        <v>-</v>
      </c>
      <c r="AJ179" s="1546"/>
      <c r="AK179" s="1546"/>
      <c r="AL179" s="1546"/>
      <c r="AM179" s="1546"/>
      <c r="AN179" s="1546"/>
      <c r="AO179" s="1548">
        <f t="shared" si="302"/>
        <v>0</v>
      </c>
      <c r="AP179" s="1548">
        <f>+AS179+AU179</f>
        <v>0</v>
      </c>
      <c r="AQ179" s="1549"/>
      <c r="AR179" s="398"/>
      <c r="AS179" s="948">
        <f>+$AO179*'ref.지급기준 (2)'!G228</f>
        <v>0</v>
      </c>
      <c r="AT179" s="939">
        <f t="shared" si="303"/>
        <v>0</v>
      </c>
      <c r="AU179" s="939">
        <f>+$AO179*'ref.지급기준 (2)'!I228</f>
        <v>0</v>
      </c>
      <c r="AV179" s="939">
        <f t="shared" si="304"/>
        <v>0</v>
      </c>
      <c r="AW179" s="939">
        <f>+$AO179*'ref.지급기준 (2)'!K228</f>
        <v>0</v>
      </c>
      <c r="AX179" s="939"/>
      <c r="AY179" s="939">
        <f>+$AO179*'ref.지급기준 (2)'!M228</f>
        <v>0</v>
      </c>
      <c r="AZ179" s="939"/>
      <c r="BA179" s="939">
        <f>+$AO179*'ref.지급기준 (2)'!O228</f>
        <v>0</v>
      </c>
      <c r="BB179" s="949"/>
      <c r="BC179" s="2739"/>
      <c r="BD179" s="2700"/>
      <c r="BE179" s="2700"/>
      <c r="BF179" s="393"/>
      <c r="BG179" s="393"/>
      <c r="BH179" s="393"/>
      <c r="BI179" s="393"/>
      <c r="BJ179" s="393"/>
      <c r="BK179" s="393"/>
      <c r="BL179" s="393"/>
      <c r="BM179" s="393"/>
      <c r="BN179" s="393"/>
      <c r="BO179" s="393"/>
      <c r="BP179" s="393"/>
    </row>
    <row r="180" spans="1:68">
      <c r="X180" s="1552"/>
      <c r="AA180" s="1552"/>
    </row>
    <row r="181" spans="1:68">
      <c r="X181" s="1908"/>
    </row>
    <row r="182" spans="1:68">
      <c r="W182" s="1552"/>
      <c r="X182" s="1908"/>
      <c r="AA182" s="1552"/>
    </row>
    <row r="183" spans="1:68">
      <c r="AA183" s="1908"/>
    </row>
    <row r="184" spans="1:68">
      <c r="X184" s="1908"/>
      <c r="AA184" s="1552"/>
    </row>
    <row r="185" spans="1:68">
      <c r="X185" s="1485"/>
    </row>
    <row r="186" spans="1:68">
      <c r="X186" s="1908"/>
    </row>
    <row r="187" spans="1:68">
      <c r="X187" s="1908"/>
    </row>
    <row r="196" spans="24:24">
      <c r="X196" s="1908"/>
    </row>
  </sheetData>
  <mergeCells count="308">
    <mergeCell ref="BC170:BC174"/>
    <mergeCell ref="BD174:BE174"/>
    <mergeCell ref="I170:I174"/>
    <mergeCell ref="J170:J174"/>
    <mergeCell ref="K170:K174"/>
    <mergeCell ref="L170:L174"/>
    <mergeCell ref="M170:M174"/>
    <mergeCell ref="N170:N174"/>
    <mergeCell ref="J160:J164"/>
    <mergeCell ref="K160:K164"/>
    <mergeCell ref="L160:L164"/>
    <mergeCell ref="M160:M164"/>
    <mergeCell ref="N160:N164"/>
    <mergeCell ref="BD169:BE169"/>
    <mergeCell ref="I160:I164"/>
    <mergeCell ref="BC135:BC139"/>
    <mergeCell ref="BC140:BC144"/>
    <mergeCell ref="BC145:BC149"/>
    <mergeCell ref="BC150:BC154"/>
    <mergeCell ref="K120:K124"/>
    <mergeCell ref="L120:L124"/>
    <mergeCell ref="M120:M124"/>
    <mergeCell ref="N120:N124"/>
    <mergeCell ref="BC165:BC169"/>
    <mergeCell ref="L140:L144"/>
    <mergeCell ref="M140:M144"/>
    <mergeCell ref="N140:N144"/>
    <mergeCell ref="BC155:BC159"/>
    <mergeCell ref="N165:N169"/>
    <mergeCell ref="BC160:BC164"/>
    <mergeCell ref="N150:N154"/>
    <mergeCell ref="K155:K159"/>
    <mergeCell ref="L155:L159"/>
    <mergeCell ref="M155:M159"/>
    <mergeCell ref="N155:N159"/>
    <mergeCell ref="M145:M154"/>
    <mergeCell ref="N145:N149"/>
    <mergeCell ref="M125:M129"/>
    <mergeCell ref="N125:N129"/>
    <mergeCell ref="I155:I159"/>
    <mergeCell ref="J155:J159"/>
    <mergeCell ref="M135:M139"/>
    <mergeCell ref="K85:K89"/>
    <mergeCell ref="J80:J84"/>
    <mergeCell ref="I85:I89"/>
    <mergeCell ref="J85:J89"/>
    <mergeCell ref="I165:I169"/>
    <mergeCell ref="J165:J169"/>
    <mergeCell ref="K165:K169"/>
    <mergeCell ref="L165:L169"/>
    <mergeCell ref="M165:M169"/>
    <mergeCell ref="I90:I94"/>
    <mergeCell ref="J90:J94"/>
    <mergeCell ref="K90:K94"/>
    <mergeCell ref="I105:I109"/>
    <mergeCell ref="J105:J109"/>
    <mergeCell ref="K105:K109"/>
    <mergeCell ref="J150:J154"/>
    <mergeCell ref="I145:I154"/>
    <mergeCell ref="K145:K149"/>
    <mergeCell ref="K150:K154"/>
    <mergeCell ref="L145:L154"/>
    <mergeCell ref="I140:I144"/>
    <mergeCell ref="J140:J144"/>
    <mergeCell ref="K130:K134"/>
    <mergeCell ref="L130:L134"/>
    <mergeCell ref="K135:K139"/>
    <mergeCell ref="K140:K144"/>
    <mergeCell ref="I135:I139"/>
    <mergeCell ref="J135:J139"/>
    <mergeCell ref="I10:I14"/>
    <mergeCell ref="J10:J14"/>
    <mergeCell ref="K35:K39"/>
    <mergeCell ref="I130:I134"/>
    <mergeCell ref="J130:J134"/>
    <mergeCell ref="L135:L139"/>
    <mergeCell ref="K25:K29"/>
    <mergeCell ref="L25:L29"/>
    <mergeCell ref="J95:J99"/>
    <mergeCell ref="K95:K99"/>
    <mergeCell ref="L95:L99"/>
    <mergeCell ref="K125:K129"/>
    <mergeCell ref="L125:L129"/>
    <mergeCell ref="I120:I124"/>
    <mergeCell ref="L105:L109"/>
    <mergeCell ref="J120:J124"/>
    <mergeCell ref="J65:J69"/>
    <mergeCell ref="J145:J149"/>
    <mergeCell ref="M130:M134"/>
    <mergeCell ref="N130:N134"/>
    <mergeCell ref="N135:N139"/>
    <mergeCell ref="I45:I49"/>
    <mergeCell ref="J45:J49"/>
    <mergeCell ref="J40:J44"/>
    <mergeCell ref="K40:K44"/>
    <mergeCell ref="K45:K49"/>
    <mergeCell ref="I75:I79"/>
    <mergeCell ref="I80:I84"/>
    <mergeCell ref="J70:J74"/>
    <mergeCell ref="J75:J79"/>
    <mergeCell ref="I70:I74"/>
    <mergeCell ref="M60:M64"/>
    <mergeCell ref="L110:L114"/>
    <mergeCell ref="K80:K84"/>
    <mergeCell ref="N115:N119"/>
    <mergeCell ref="L90:L94"/>
    <mergeCell ref="M105:M109"/>
    <mergeCell ref="N105:N109"/>
    <mergeCell ref="I100:I104"/>
    <mergeCell ref="J100:J104"/>
    <mergeCell ref="I95:I99"/>
    <mergeCell ref="I3:J4"/>
    <mergeCell ref="K3:K4"/>
    <mergeCell ref="AC3:AE3"/>
    <mergeCell ref="I40:I44"/>
    <mergeCell ref="I25:I29"/>
    <mergeCell ref="J25:J29"/>
    <mergeCell ref="I35:I39"/>
    <mergeCell ref="J35:J39"/>
    <mergeCell ref="K20:K24"/>
    <mergeCell ref="L20:L24"/>
    <mergeCell ref="M20:M24"/>
    <mergeCell ref="N20:N24"/>
    <mergeCell ref="N10:N14"/>
    <mergeCell ref="J5:J9"/>
    <mergeCell ref="I5:I9"/>
    <mergeCell ref="I15:I19"/>
    <mergeCell ref="J15:J19"/>
    <mergeCell ref="I20:I24"/>
    <mergeCell ref="J20:J24"/>
    <mergeCell ref="I30:I34"/>
    <mergeCell ref="J30:J34"/>
    <mergeCell ref="N5:N9"/>
    <mergeCell ref="L5:L6"/>
    <mergeCell ref="K5:K9"/>
    <mergeCell ref="L7:L9"/>
    <mergeCell ref="M5:M9"/>
    <mergeCell ref="K15:K19"/>
    <mergeCell ref="L15:L19"/>
    <mergeCell ref="M15:M19"/>
    <mergeCell ref="K75:K79"/>
    <mergeCell ref="L75:L79"/>
    <mergeCell ref="N70:N74"/>
    <mergeCell ref="M75:M79"/>
    <mergeCell ref="N75:N79"/>
    <mergeCell ref="M70:M74"/>
    <mergeCell ref="K70:K74"/>
    <mergeCell ref="L70:L74"/>
    <mergeCell ref="N60:N64"/>
    <mergeCell ref="K30:K34"/>
    <mergeCell ref="N15:N19"/>
    <mergeCell ref="K10:K14"/>
    <mergeCell ref="L10:L14"/>
    <mergeCell ref="M10:M14"/>
    <mergeCell ref="K60:K64"/>
    <mergeCell ref="L60:L64"/>
    <mergeCell ref="L35:L39"/>
    <mergeCell ref="M35:M39"/>
    <mergeCell ref="N35:N39"/>
    <mergeCell ref="BD2:BE2"/>
    <mergeCell ref="T3:U3"/>
    <mergeCell ref="Z3:AB3"/>
    <mergeCell ref="L3:L4"/>
    <mergeCell ref="M3:M4"/>
    <mergeCell ref="N3:N4"/>
    <mergeCell ref="BC3:BC4"/>
    <mergeCell ref="BD3:BE3"/>
    <mergeCell ref="AS3:AT3"/>
    <mergeCell ref="AU3:AV3"/>
    <mergeCell ref="BA3:BB3"/>
    <mergeCell ref="AI3:AK3"/>
    <mergeCell ref="AL3:AN3"/>
    <mergeCell ref="AO3:AO4"/>
    <mergeCell ref="AP3:AP4"/>
    <mergeCell ref="AW3:AX3"/>
    <mergeCell ref="AY3:AZ3"/>
    <mergeCell ref="AQ3:AQ4"/>
    <mergeCell ref="R3:R4"/>
    <mergeCell ref="O3:O4"/>
    <mergeCell ref="P3:P4"/>
    <mergeCell ref="Q3:Q4"/>
    <mergeCell ref="AF3:AH3"/>
    <mergeCell ref="BC5:BC9"/>
    <mergeCell ref="BC60:BC64"/>
    <mergeCell ref="BC65:BC69"/>
    <mergeCell ref="BC110:BC114"/>
    <mergeCell ref="BC115:BC119"/>
    <mergeCell ref="BC120:BC124"/>
    <mergeCell ref="BC130:BC134"/>
    <mergeCell ref="BC10:BC14"/>
    <mergeCell ref="BC15:BC19"/>
    <mergeCell ref="BC20:BC24"/>
    <mergeCell ref="BC95:BC99"/>
    <mergeCell ref="BC105:BC109"/>
    <mergeCell ref="BC125:BC129"/>
    <mergeCell ref="BC85:BC89"/>
    <mergeCell ref="BC90:BC94"/>
    <mergeCell ref="BC25:BC29"/>
    <mergeCell ref="BC30:BC34"/>
    <mergeCell ref="BC35:BC39"/>
    <mergeCell ref="BC45:BC49"/>
    <mergeCell ref="BC40:BC44"/>
    <mergeCell ref="BC70:BC74"/>
    <mergeCell ref="BC75:BC79"/>
    <mergeCell ref="BC80:BC84"/>
    <mergeCell ref="BC100:BC104"/>
    <mergeCell ref="B2:C2"/>
    <mergeCell ref="D5:D64"/>
    <mergeCell ref="E5:E64"/>
    <mergeCell ref="F5:F64"/>
    <mergeCell ref="H5:H64"/>
    <mergeCell ref="G5:G64"/>
    <mergeCell ref="B5:B64"/>
    <mergeCell ref="B3:B4"/>
    <mergeCell ref="C3:C4"/>
    <mergeCell ref="D3:D4"/>
    <mergeCell ref="E3:E4"/>
    <mergeCell ref="F3:F4"/>
    <mergeCell ref="G3:G4"/>
    <mergeCell ref="H3:H4"/>
    <mergeCell ref="C5:C64"/>
    <mergeCell ref="L30:L34"/>
    <mergeCell ref="M30:M34"/>
    <mergeCell ref="N30:N34"/>
    <mergeCell ref="N25:N29"/>
    <mergeCell ref="N85:N89"/>
    <mergeCell ref="L40:L44"/>
    <mergeCell ref="M40:M44"/>
    <mergeCell ref="N40:N44"/>
    <mergeCell ref="L45:L49"/>
    <mergeCell ref="M45:M49"/>
    <mergeCell ref="N45:N49"/>
    <mergeCell ref="L80:L84"/>
    <mergeCell ref="M80:M84"/>
    <mergeCell ref="N80:N84"/>
    <mergeCell ref="L65:L69"/>
    <mergeCell ref="M65:M69"/>
    <mergeCell ref="N65:N69"/>
    <mergeCell ref="L85:L89"/>
    <mergeCell ref="M85:M89"/>
    <mergeCell ref="M25:M29"/>
    <mergeCell ref="M95:M99"/>
    <mergeCell ref="N95:N99"/>
    <mergeCell ref="N90:N94"/>
    <mergeCell ref="K110:K114"/>
    <mergeCell ref="K115:K119"/>
    <mergeCell ref="L115:L119"/>
    <mergeCell ref="M115:M119"/>
    <mergeCell ref="D110:D129"/>
    <mergeCell ref="E110:E129"/>
    <mergeCell ref="F110:F129"/>
    <mergeCell ref="G110:G129"/>
    <mergeCell ref="H110:H129"/>
    <mergeCell ref="K100:K104"/>
    <mergeCell ref="L100:L104"/>
    <mergeCell ref="M100:M104"/>
    <mergeCell ref="N100:N104"/>
    <mergeCell ref="I110:I114"/>
    <mergeCell ref="J110:J114"/>
    <mergeCell ref="I115:I119"/>
    <mergeCell ref="J115:J119"/>
    <mergeCell ref="M110:M114"/>
    <mergeCell ref="N110:N114"/>
    <mergeCell ref="I125:I129"/>
    <mergeCell ref="J125:J129"/>
    <mergeCell ref="B65:B109"/>
    <mergeCell ref="C65:C109"/>
    <mergeCell ref="D65:D109"/>
    <mergeCell ref="BC175:BC179"/>
    <mergeCell ref="BD179:BE179"/>
    <mergeCell ref="B130:B179"/>
    <mergeCell ref="C130:C179"/>
    <mergeCell ref="D130:D179"/>
    <mergeCell ref="E130:E179"/>
    <mergeCell ref="F130:F179"/>
    <mergeCell ref="G130:G179"/>
    <mergeCell ref="H130:H179"/>
    <mergeCell ref="I175:I179"/>
    <mergeCell ref="J175:J179"/>
    <mergeCell ref="K175:K179"/>
    <mergeCell ref="L175:L179"/>
    <mergeCell ref="M175:M179"/>
    <mergeCell ref="N175:N179"/>
    <mergeCell ref="B110:B129"/>
    <mergeCell ref="C110:C129"/>
    <mergeCell ref="E65:E109"/>
    <mergeCell ref="F65:F109"/>
    <mergeCell ref="G65:G109"/>
    <mergeCell ref="H65:H109"/>
    <mergeCell ref="K65:K69"/>
    <mergeCell ref="M90:M94"/>
    <mergeCell ref="BC50:BC54"/>
    <mergeCell ref="I55:I59"/>
    <mergeCell ref="J55:J59"/>
    <mergeCell ref="K55:K59"/>
    <mergeCell ref="L55:L59"/>
    <mergeCell ref="M55:M59"/>
    <mergeCell ref="N55:N59"/>
    <mergeCell ref="BC55:BC59"/>
    <mergeCell ref="J50:J54"/>
    <mergeCell ref="K50:K54"/>
    <mergeCell ref="L50:L54"/>
    <mergeCell ref="M50:M54"/>
    <mergeCell ref="N50:N54"/>
    <mergeCell ref="I50:I54"/>
    <mergeCell ref="J60:J64"/>
    <mergeCell ref="I60:I64"/>
    <mergeCell ref="I65:I69"/>
  </mergeCells>
  <phoneticPr fontId="85" type="noConversion"/>
  <printOptions horizontalCentered="1"/>
  <pageMargins left="0" right="0" top="0.39370078740157483" bottom="0" header="0" footer="0"/>
  <pageSetup paperSize="8" scale="29" orientation="landscape"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1F57B-CC36-4752-B795-2A3571618520}">
  <sheetPr codeName="Sheet4">
    <tabColor theme="9" tint="0.39997558519241921"/>
  </sheetPr>
  <dimension ref="B1:AK252"/>
  <sheetViews>
    <sheetView showGridLines="0" zoomScale="85" zoomScaleNormal="85" workbookViewId="0">
      <selection activeCell="I14" sqref="I14"/>
    </sheetView>
  </sheetViews>
  <sheetFormatPr defaultColWidth="9" defaultRowHeight="16.5" outlineLevelCol="1"/>
  <cols>
    <col min="1" max="1" width="4.625" style="400" customWidth="1"/>
    <col min="2" max="2" width="12.625" style="400" bestFit="1" customWidth="1"/>
    <col min="3" max="3" width="41.75" style="405" customWidth="1"/>
    <col min="4" max="4" width="7.625" style="405" bestFit="1" customWidth="1"/>
    <col min="5" max="5" width="16.5" style="405" bestFit="1" customWidth="1"/>
    <col min="6" max="6" width="16.875" style="819" customWidth="1"/>
    <col min="7" max="7" width="16.875" style="412" customWidth="1" outlineLevel="1"/>
    <col min="8" max="8" width="6.125" style="412" customWidth="1" outlineLevel="1"/>
    <col min="9" max="9" width="16.875" style="412" customWidth="1" outlineLevel="1"/>
    <col min="10" max="10" width="6.125" style="412" customWidth="1" outlineLevel="1"/>
    <col min="11" max="11" width="16.875" style="412" customWidth="1" outlineLevel="1"/>
    <col min="12" max="12" width="6.125" style="412" customWidth="1" outlineLevel="1"/>
    <col min="13" max="13" width="16.875" style="412" customWidth="1" outlineLevel="1"/>
    <col min="14" max="14" width="6.125" style="412" customWidth="1" outlineLevel="1"/>
    <col min="15" max="16" width="16.875" style="412" customWidth="1" outlineLevel="1"/>
    <col min="17" max="21" width="16.875" style="400" customWidth="1"/>
    <col min="22" max="23" width="9" style="400"/>
    <col min="24" max="25" width="0" style="400" hidden="1" customWidth="1"/>
    <col min="26" max="16384" width="9" style="400"/>
  </cols>
  <sheetData>
    <row r="1" spans="2:37">
      <c r="C1" s="413"/>
      <c r="D1" s="413"/>
      <c r="E1" s="413"/>
    </row>
    <row r="2" spans="2:37" ht="17.25" thickBot="1">
      <c r="C2" s="413"/>
      <c r="D2" s="413"/>
      <c r="E2" s="413"/>
      <c r="Q2" s="414">
        <v>1000</v>
      </c>
    </row>
    <row r="3" spans="2:37">
      <c r="B3" s="2828" t="s">
        <v>49</v>
      </c>
      <c r="C3" s="2829"/>
      <c r="D3" s="2829"/>
      <c r="E3" s="2829"/>
      <c r="F3" s="871" t="s">
        <v>1316</v>
      </c>
      <c r="G3" s="869" t="s">
        <v>1317</v>
      </c>
      <c r="H3" s="869"/>
      <c r="I3" s="869" t="s">
        <v>1318</v>
      </c>
      <c r="J3" s="869"/>
      <c r="K3" s="869" t="s">
        <v>1319</v>
      </c>
      <c r="L3" s="869"/>
      <c r="M3" s="869" t="s">
        <v>1320</v>
      </c>
      <c r="N3" s="869"/>
      <c r="O3" s="869" t="s">
        <v>1321</v>
      </c>
      <c r="P3" s="872" t="s">
        <v>59</v>
      </c>
      <c r="AA3" s="417"/>
    </row>
    <row r="4" spans="2:37">
      <c r="B4" s="2830" t="s">
        <v>1322</v>
      </c>
      <c r="C4" s="2747" t="s">
        <v>151</v>
      </c>
      <c r="D4" s="418">
        <v>999.58</v>
      </c>
      <c r="E4" s="419" t="s">
        <v>125</v>
      </c>
      <c r="F4" s="821">
        <v>1050000000</v>
      </c>
      <c r="G4" s="420">
        <v>0.1</v>
      </c>
      <c r="H4" s="420"/>
      <c r="I4" s="420">
        <v>0.2</v>
      </c>
      <c r="J4" s="420"/>
      <c r="K4" s="420">
        <v>0.4</v>
      </c>
      <c r="L4" s="420"/>
      <c r="M4" s="420">
        <v>0.25</v>
      </c>
      <c r="N4" s="420"/>
      <c r="O4" s="420">
        <v>0.05</v>
      </c>
      <c r="P4" s="858">
        <f t="shared" ref="P4:P12" si="0">SUM(G4:O4)</f>
        <v>1</v>
      </c>
      <c r="AA4" s="417"/>
    </row>
    <row r="5" spans="2:37">
      <c r="B5" s="2830"/>
      <c r="C5" s="2747"/>
      <c r="D5" s="418">
        <v>999.58</v>
      </c>
      <c r="E5" s="419" t="s">
        <v>126</v>
      </c>
      <c r="F5" s="821">
        <v>550000000</v>
      </c>
      <c r="G5" s="420">
        <v>0.55000000000000004</v>
      </c>
      <c r="H5" s="420"/>
      <c r="I5" s="420">
        <v>0.15</v>
      </c>
      <c r="J5" s="420"/>
      <c r="K5" s="420">
        <v>0.3</v>
      </c>
      <c r="L5" s="420"/>
      <c r="M5" s="416"/>
      <c r="N5" s="420"/>
      <c r="O5" s="416"/>
      <c r="P5" s="858">
        <f t="shared" si="0"/>
        <v>1</v>
      </c>
      <c r="AA5" s="417"/>
    </row>
    <row r="6" spans="2:37">
      <c r="B6" s="2830"/>
      <c r="C6" s="2747"/>
      <c r="D6" s="418">
        <v>999.58</v>
      </c>
      <c r="E6" s="419" t="s">
        <v>286</v>
      </c>
      <c r="F6" s="820"/>
      <c r="G6" s="416"/>
      <c r="H6" s="416"/>
      <c r="I6" s="416"/>
      <c r="J6" s="416"/>
      <c r="K6" s="416"/>
      <c r="L6" s="416"/>
      <c r="M6" s="416"/>
      <c r="N6" s="416"/>
      <c r="O6" s="416"/>
      <c r="P6" s="858">
        <f t="shared" si="0"/>
        <v>0</v>
      </c>
      <c r="AA6" s="417"/>
      <c r="AK6" s="421">
        <v>45473</v>
      </c>
    </row>
    <row r="7" spans="2:37">
      <c r="B7" s="2830"/>
      <c r="C7" s="2747"/>
      <c r="D7" s="418">
        <v>999.58</v>
      </c>
      <c r="E7" s="419" t="s">
        <v>287</v>
      </c>
      <c r="F7" s="820"/>
      <c r="G7" s="416"/>
      <c r="H7" s="416"/>
      <c r="I7" s="416"/>
      <c r="J7" s="416"/>
      <c r="K7" s="416"/>
      <c r="L7" s="416"/>
      <c r="M7" s="416"/>
      <c r="N7" s="416"/>
      <c r="O7" s="416"/>
      <c r="P7" s="858">
        <f t="shared" si="0"/>
        <v>0</v>
      </c>
      <c r="AA7" s="417"/>
    </row>
    <row r="8" spans="2:37">
      <c r="B8" s="2830"/>
      <c r="C8" s="2747"/>
      <c r="D8" s="818">
        <f>+D7</f>
        <v>999.58</v>
      </c>
      <c r="E8" s="419" t="s">
        <v>129</v>
      </c>
      <c r="F8" s="852"/>
      <c r="G8" s="586">
        <v>1</v>
      </c>
      <c r="H8" s="586"/>
      <c r="I8" s="586"/>
      <c r="J8" s="586"/>
      <c r="K8" s="586"/>
      <c r="L8" s="586"/>
      <c r="M8" s="586"/>
      <c r="N8" s="420"/>
      <c r="O8" s="420"/>
      <c r="P8" s="858">
        <f t="shared" ref="P8" si="1">SUM(G8:O8)</f>
        <v>1</v>
      </c>
      <c r="AA8" s="417"/>
    </row>
    <row r="9" spans="2:37">
      <c r="B9" s="2830"/>
      <c r="C9" s="2747" t="s">
        <v>152</v>
      </c>
      <c r="D9" s="418">
        <v>999.58</v>
      </c>
      <c r="E9" s="419" t="s">
        <v>125</v>
      </c>
      <c r="F9" s="821">
        <v>1050000000</v>
      </c>
      <c r="G9" s="420">
        <v>0.1</v>
      </c>
      <c r="H9" s="420"/>
      <c r="I9" s="420">
        <v>0.2</v>
      </c>
      <c r="J9" s="420"/>
      <c r="K9" s="420">
        <v>0.4</v>
      </c>
      <c r="L9" s="420"/>
      <c r="M9" s="420">
        <v>0.25</v>
      </c>
      <c r="N9" s="420"/>
      <c r="O9" s="420">
        <v>0.05</v>
      </c>
      <c r="P9" s="858">
        <f t="shared" si="0"/>
        <v>1</v>
      </c>
      <c r="AA9" s="417"/>
    </row>
    <row r="10" spans="2:37">
      <c r="B10" s="2830"/>
      <c r="C10" s="2747"/>
      <c r="D10" s="418">
        <v>999.58</v>
      </c>
      <c r="E10" s="419" t="s">
        <v>126</v>
      </c>
      <c r="F10" s="821">
        <v>550000000</v>
      </c>
      <c r="G10" s="420">
        <v>0.55000000000000004</v>
      </c>
      <c r="H10" s="420"/>
      <c r="I10" s="420">
        <v>0.15</v>
      </c>
      <c r="J10" s="420"/>
      <c r="K10" s="420">
        <v>0.3</v>
      </c>
      <c r="L10" s="420"/>
      <c r="M10" s="416"/>
      <c r="N10" s="420"/>
      <c r="O10" s="416"/>
      <c r="P10" s="858">
        <f t="shared" si="0"/>
        <v>1</v>
      </c>
      <c r="AA10" s="417"/>
    </row>
    <row r="11" spans="2:37">
      <c r="B11" s="2830"/>
      <c r="C11" s="2747"/>
      <c r="D11" s="418">
        <v>999.58</v>
      </c>
      <c r="E11" s="419" t="s">
        <v>286</v>
      </c>
      <c r="F11" s="820"/>
      <c r="G11" s="416"/>
      <c r="H11" s="416"/>
      <c r="I11" s="416"/>
      <c r="J11" s="416"/>
      <c r="K11" s="416"/>
      <c r="L11" s="416"/>
      <c r="M11" s="416"/>
      <c r="N11" s="416"/>
      <c r="O11" s="416"/>
      <c r="P11" s="858">
        <f t="shared" si="0"/>
        <v>0</v>
      </c>
      <c r="AA11" s="417"/>
      <c r="AK11" s="421">
        <v>45838</v>
      </c>
    </row>
    <row r="12" spans="2:37">
      <c r="B12" s="2830"/>
      <c r="C12" s="2747"/>
      <c r="D12" s="418">
        <v>999.58</v>
      </c>
      <c r="E12" s="419" t="s">
        <v>287</v>
      </c>
      <c r="F12" s="820"/>
      <c r="G12" s="416"/>
      <c r="H12" s="416"/>
      <c r="I12" s="416"/>
      <c r="J12" s="416"/>
      <c r="K12" s="416"/>
      <c r="L12" s="416"/>
      <c r="M12" s="416"/>
      <c r="N12" s="416"/>
      <c r="O12" s="416"/>
      <c r="P12" s="858">
        <f t="shared" si="0"/>
        <v>0</v>
      </c>
      <c r="AA12" s="417"/>
    </row>
    <row r="13" spans="2:37">
      <c r="B13" s="2830"/>
      <c r="C13" s="2747"/>
      <c r="D13" s="818">
        <f>+D12</f>
        <v>999.58</v>
      </c>
      <c r="E13" s="419" t="s">
        <v>129</v>
      </c>
      <c r="F13" s="852"/>
      <c r="G13" s="586"/>
      <c r="H13" s="586"/>
      <c r="I13" s="586"/>
      <c r="J13" s="586"/>
      <c r="K13" s="586"/>
      <c r="L13" s="586"/>
      <c r="M13" s="586"/>
      <c r="N13" s="420"/>
      <c r="O13" s="420"/>
      <c r="P13" s="858">
        <f t="shared" ref="P13" si="2">SUM(G13:O13)</f>
        <v>0</v>
      </c>
      <c r="AA13" s="417"/>
    </row>
    <row r="14" spans="2:37">
      <c r="B14" s="2830"/>
      <c r="C14" s="2747" t="s">
        <v>153</v>
      </c>
      <c r="D14" s="418">
        <v>999.6</v>
      </c>
      <c r="E14" s="419" t="s">
        <v>125</v>
      </c>
      <c r="F14" s="821">
        <v>1050000000</v>
      </c>
      <c r="G14" s="420">
        <v>0.1</v>
      </c>
      <c r="H14" s="420"/>
      <c r="I14" s="420">
        <v>0.2</v>
      </c>
      <c r="J14" s="420"/>
      <c r="K14" s="420">
        <v>0.4</v>
      </c>
      <c r="L14" s="420"/>
      <c r="M14" s="420">
        <v>0.25</v>
      </c>
      <c r="N14" s="420"/>
      <c r="O14" s="420">
        <v>0.05</v>
      </c>
      <c r="P14" s="858">
        <f t="shared" ref="P14:P98" si="3">SUM(G14:O14)</f>
        <v>1</v>
      </c>
      <c r="AA14" s="417"/>
    </row>
    <row r="15" spans="2:37">
      <c r="B15" s="2830"/>
      <c r="C15" s="2747"/>
      <c r="D15" s="418">
        <v>999.6</v>
      </c>
      <c r="E15" s="419" t="s">
        <v>126</v>
      </c>
      <c r="F15" s="821">
        <v>550000000</v>
      </c>
      <c r="G15" s="420">
        <v>0.55000000000000004</v>
      </c>
      <c r="H15" s="420"/>
      <c r="I15" s="420">
        <v>0.15</v>
      </c>
      <c r="J15" s="420"/>
      <c r="K15" s="420">
        <v>0.3</v>
      </c>
      <c r="L15" s="420"/>
      <c r="M15" s="420"/>
      <c r="N15" s="420"/>
      <c r="O15" s="420"/>
      <c r="P15" s="858">
        <f t="shared" si="3"/>
        <v>1</v>
      </c>
      <c r="AA15" s="417"/>
    </row>
    <row r="16" spans="2:37">
      <c r="B16" s="2830"/>
      <c r="C16" s="2747"/>
      <c r="D16" s="418">
        <v>999.6</v>
      </c>
      <c r="E16" s="419" t="s">
        <v>286</v>
      </c>
      <c r="F16" s="822"/>
      <c r="G16" s="420"/>
      <c r="H16" s="420"/>
      <c r="I16" s="420"/>
      <c r="J16" s="420"/>
      <c r="K16" s="420"/>
      <c r="L16" s="420"/>
      <c r="M16" s="420"/>
      <c r="N16" s="420"/>
      <c r="O16" s="420"/>
      <c r="P16" s="858">
        <f t="shared" si="3"/>
        <v>0</v>
      </c>
      <c r="AA16" s="417"/>
      <c r="AK16" s="421">
        <v>45838</v>
      </c>
    </row>
    <row r="17" spans="2:37">
      <c r="B17" s="2830"/>
      <c r="C17" s="2747"/>
      <c r="D17" s="418">
        <v>999.6</v>
      </c>
      <c r="E17" s="419" t="s">
        <v>287</v>
      </c>
      <c r="F17" s="822"/>
      <c r="G17" s="420"/>
      <c r="H17" s="420"/>
      <c r="I17" s="420"/>
      <c r="J17" s="420"/>
      <c r="K17" s="420"/>
      <c r="L17" s="420"/>
      <c r="M17" s="420"/>
      <c r="N17" s="420"/>
      <c r="O17" s="420"/>
      <c r="P17" s="858">
        <f t="shared" si="3"/>
        <v>0</v>
      </c>
      <c r="AA17" s="417"/>
    </row>
    <row r="18" spans="2:37">
      <c r="B18" s="2830"/>
      <c r="C18" s="2747"/>
      <c r="D18" s="818">
        <f>+D17</f>
        <v>999.6</v>
      </c>
      <c r="E18" s="419" t="s">
        <v>129</v>
      </c>
      <c r="F18" s="852"/>
      <c r="G18" s="586"/>
      <c r="H18" s="586"/>
      <c r="I18" s="586"/>
      <c r="J18" s="586"/>
      <c r="K18" s="586"/>
      <c r="L18" s="586"/>
      <c r="M18" s="586"/>
      <c r="N18" s="420"/>
      <c r="O18" s="420"/>
      <c r="P18" s="858">
        <f t="shared" si="3"/>
        <v>0</v>
      </c>
      <c r="AA18" s="417"/>
    </row>
    <row r="19" spans="2:37">
      <c r="B19" s="2830"/>
      <c r="C19" s="2747" t="s">
        <v>1323</v>
      </c>
      <c r="D19" s="418">
        <v>999.6</v>
      </c>
      <c r="E19" s="419" t="s">
        <v>125</v>
      </c>
      <c r="F19" s="821">
        <v>1050000000</v>
      </c>
      <c r="G19" s="420">
        <v>0.1</v>
      </c>
      <c r="H19" s="420"/>
      <c r="I19" s="420">
        <v>0.2</v>
      </c>
      <c r="J19" s="420"/>
      <c r="K19" s="420">
        <v>0.4</v>
      </c>
      <c r="L19" s="420"/>
      <c r="M19" s="420">
        <v>0.25</v>
      </c>
      <c r="N19" s="420"/>
      <c r="O19" s="420">
        <v>0.05</v>
      </c>
      <c r="P19" s="858">
        <f t="shared" si="3"/>
        <v>1</v>
      </c>
      <c r="AA19" s="417"/>
    </row>
    <row r="20" spans="2:37">
      <c r="B20" s="2830"/>
      <c r="C20" s="2747"/>
      <c r="D20" s="418">
        <v>999.6</v>
      </c>
      <c r="E20" s="419" t="s">
        <v>126</v>
      </c>
      <c r="F20" s="821">
        <v>550000000</v>
      </c>
      <c r="G20" s="420">
        <v>0.55000000000000004</v>
      </c>
      <c r="H20" s="420"/>
      <c r="I20" s="420">
        <v>0.15</v>
      </c>
      <c r="J20" s="420"/>
      <c r="K20" s="420">
        <v>0.3</v>
      </c>
      <c r="L20" s="420"/>
      <c r="M20" s="420"/>
      <c r="N20" s="420"/>
      <c r="O20" s="420"/>
      <c r="P20" s="858">
        <f t="shared" si="3"/>
        <v>1</v>
      </c>
      <c r="AA20" s="417"/>
    </row>
    <row r="21" spans="2:37">
      <c r="B21" s="2830"/>
      <c r="C21" s="2747"/>
      <c r="D21" s="418">
        <v>999.6</v>
      </c>
      <c r="E21" s="419" t="s">
        <v>286</v>
      </c>
      <c r="F21" s="822"/>
      <c r="G21" s="420"/>
      <c r="H21" s="420"/>
      <c r="I21" s="420"/>
      <c r="J21" s="420"/>
      <c r="K21" s="420"/>
      <c r="L21" s="420"/>
      <c r="M21" s="420"/>
      <c r="N21" s="420"/>
      <c r="O21" s="420"/>
      <c r="P21" s="858">
        <f t="shared" si="3"/>
        <v>0</v>
      </c>
      <c r="AA21" s="417"/>
      <c r="AK21" s="421">
        <v>45838</v>
      </c>
    </row>
    <row r="22" spans="2:37">
      <c r="B22" s="2830"/>
      <c r="C22" s="2747"/>
      <c r="D22" s="418">
        <v>999.6</v>
      </c>
      <c r="E22" s="419" t="s">
        <v>287</v>
      </c>
      <c r="F22" s="822"/>
      <c r="G22" s="420"/>
      <c r="H22" s="420"/>
      <c r="I22" s="420"/>
      <c r="J22" s="420"/>
      <c r="K22" s="420"/>
      <c r="L22" s="420"/>
      <c r="M22" s="420"/>
      <c r="N22" s="420"/>
      <c r="O22" s="420"/>
      <c r="P22" s="858">
        <f t="shared" si="3"/>
        <v>0</v>
      </c>
      <c r="AA22" s="417"/>
    </row>
    <row r="23" spans="2:37">
      <c r="B23" s="2830"/>
      <c r="C23" s="2747"/>
      <c r="D23" s="818">
        <f>+D22</f>
        <v>999.6</v>
      </c>
      <c r="E23" s="419" t="s">
        <v>129</v>
      </c>
      <c r="F23" s="852"/>
      <c r="G23" s="586"/>
      <c r="H23" s="586"/>
      <c r="I23" s="586"/>
      <c r="J23" s="586"/>
      <c r="K23" s="586"/>
      <c r="L23" s="586"/>
      <c r="M23" s="586"/>
      <c r="N23" s="420"/>
      <c r="O23" s="420"/>
      <c r="P23" s="858">
        <f t="shared" ref="P23" si="4">SUM(G23:O23)</f>
        <v>0</v>
      </c>
      <c r="AA23" s="417"/>
    </row>
    <row r="24" spans="2:37">
      <c r="B24" s="2830"/>
      <c r="C24" s="2747" t="s">
        <v>155</v>
      </c>
      <c r="D24" s="418">
        <v>999.24</v>
      </c>
      <c r="E24" s="419" t="s">
        <v>125</v>
      </c>
      <c r="F24" s="821">
        <v>1050000000</v>
      </c>
      <c r="G24" s="420">
        <v>0.1</v>
      </c>
      <c r="H24" s="420"/>
      <c r="I24" s="420">
        <v>0.2</v>
      </c>
      <c r="J24" s="420"/>
      <c r="K24" s="420">
        <v>0.4</v>
      </c>
      <c r="L24" s="420"/>
      <c r="M24" s="420">
        <v>0.25</v>
      </c>
      <c r="N24" s="420"/>
      <c r="O24" s="420">
        <v>0.05</v>
      </c>
      <c r="P24" s="858">
        <f t="shared" si="3"/>
        <v>1</v>
      </c>
      <c r="AA24" s="417"/>
    </row>
    <row r="25" spans="2:37">
      <c r="B25" s="2830"/>
      <c r="C25" s="2747"/>
      <c r="D25" s="418">
        <v>999.24</v>
      </c>
      <c r="E25" s="419" t="s">
        <v>126</v>
      </c>
      <c r="F25" s="821">
        <v>550000000</v>
      </c>
      <c r="G25" s="420">
        <v>0.55000000000000004</v>
      </c>
      <c r="H25" s="420"/>
      <c r="I25" s="420">
        <v>0.15</v>
      </c>
      <c r="J25" s="420"/>
      <c r="K25" s="420">
        <v>0.3</v>
      </c>
      <c r="L25" s="420"/>
      <c r="M25" s="420"/>
      <c r="N25" s="420"/>
      <c r="O25" s="420"/>
      <c r="P25" s="858">
        <f t="shared" si="3"/>
        <v>1</v>
      </c>
      <c r="AA25" s="417"/>
    </row>
    <row r="26" spans="2:37">
      <c r="B26" s="2830"/>
      <c r="C26" s="2747"/>
      <c r="D26" s="418">
        <v>999.24</v>
      </c>
      <c r="E26" s="419" t="s">
        <v>286</v>
      </c>
      <c r="F26" s="822"/>
      <c r="G26" s="420"/>
      <c r="H26" s="420"/>
      <c r="I26" s="420"/>
      <c r="J26" s="420"/>
      <c r="K26" s="420"/>
      <c r="L26" s="420"/>
      <c r="M26" s="420"/>
      <c r="N26" s="420"/>
      <c r="O26" s="420"/>
      <c r="P26" s="858">
        <f t="shared" si="3"/>
        <v>0</v>
      </c>
      <c r="AA26" s="417"/>
      <c r="AK26" s="421">
        <v>45838</v>
      </c>
    </row>
    <row r="27" spans="2:37">
      <c r="B27" s="2830"/>
      <c r="C27" s="2747"/>
      <c r="D27" s="418">
        <v>999.24</v>
      </c>
      <c r="E27" s="419" t="s">
        <v>287</v>
      </c>
      <c r="F27" s="822"/>
      <c r="G27" s="420"/>
      <c r="H27" s="420"/>
      <c r="I27" s="420"/>
      <c r="J27" s="420"/>
      <c r="K27" s="420"/>
      <c r="L27" s="420"/>
      <c r="M27" s="420"/>
      <c r="N27" s="420"/>
      <c r="O27" s="420"/>
      <c r="P27" s="858">
        <f t="shared" si="3"/>
        <v>0</v>
      </c>
      <c r="AA27" s="417"/>
    </row>
    <row r="28" spans="2:37">
      <c r="B28" s="2830"/>
      <c r="C28" s="2747"/>
      <c r="D28" s="818">
        <f>+D27</f>
        <v>999.24</v>
      </c>
      <c r="E28" s="419" t="s">
        <v>129</v>
      </c>
      <c r="F28" s="852"/>
      <c r="G28" s="586"/>
      <c r="H28" s="586"/>
      <c r="I28" s="586"/>
      <c r="J28" s="586"/>
      <c r="K28" s="586"/>
      <c r="L28" s="586"/>
      <c r="M28" s="586"/>
      <c r="N28" s="420"/>
      <c r="O28" s="420"/>
      <c r="P28" s="858">
        <f t="shared" ref="P28" si="5">SUM(G28:O28)</f>
        <v>0</v>
      </c>
      <c r="AA28" s="417"/>
    </row>
    <row r="29" spans="2:37">
      <c r="B29" s="2830"/>
      <c r="C29" s="2747" t="s">
        <v>1221</v>
      </c>
      <c r="D29" s="418">
        <v>999.24</v>
      </c>
      <c r="E29" s="419" t="s">
        <v>125</v>
      </c>
      <c r="F29" s="821">
        <v>1050000000</v>
      </c>
      <c r="G29" s="420">
        <v>0.1</v>
      </c>
      <c r="H29" s="420"/>
      <c r="I29" s="420">
        <v>0.2</v>
      </c>
      <c r="J29" s="420"/>
      <c r="K29" s="420">
        <v>0.4</v>
      </c>
      <c r="L29" s="420"/>
      <c r="M29" s="420">
        <v>0.25</v>
      </c>
      <c r="N29" s="420"/>
      <c r="O29" s="420">
        <v>0.05</v>
      </c>
      <c r="P29" s="858">
        <f t="shared" si="3"/>
        <v>1</v>
      </c>
      <c r="AA29" s="417"/>
    </row>
    <row r="30" spans="2:37">
      <c r="B30" s="2830"/>
      <c r="C30" s="2747"/>
      <c r="D30" s="418">
        <v>999.24</v>
      </c>
      <c r="E30" s="419" t="s">
        <v>126</v>
      </c>
      <c r="F30" s="821">
        <v>550000000</v>
      </c>
      <c r="G30" s="420">
        <v>0.55000000000000004</v>
      </c>
      <c r="H30" s="420"/>
      <c r="I30" s="420">
        <v>0.15</v>
      </c>
      <c r="J30" s="420"/>
      <c r="K30" s="420">
        <v>0.3</v>
      </c>
      <c r="L30" s="420"/>
      <c r="M30" s="420"/>
      <c r="N30" s="420"/>
      <c r="O30" s="420"/>
      <c r="P30" s="858">
        <f t="shared" si="3"/>
        <v>1</v>
      </c>
      <c r="AA30" s="417"/>
    </row>
    <row r="31" spans="2:37">
      <c r="B31" s="2830"/>
      <c r="C31" s="2747"/>
      <c r="D31" s="418">
        <v>999.24</v>
      </c>
      <c r="E31" s="419" t="s">
        <v>286</v>
      </c>
      <c r="F31" s="822"/>
      <c r="G31" s="420"/>
      <c r="H31" s="420"/>
      <c r="I31" s="420"/>
      <c r="J31" s="420"/>
      <c r="K31" s="420"/>
      <c r="L31" s="420"/>
      <c r="M31" s="420"/>
      <c r="N31" s="420"/>
      <c r="O31" s="420"/>
      <c r="P31" s="858">
        <f t="shared" si="3"/>
        <v>0</v>
      </c>
      <c r="AA31" s="417"/>
      <c r="AK31" s="421">
        <v>45838</v>
      </c>
    </row>
    <row r="32" spans="2:37">
      <c r="B32" s="2830"/>
      <c r="C32" s="2747"/>
      <c r="D32" s="418">
        <v>999.24</v>
      </c>
      <c r="E32" s="419" t="s">
        <v>287</v>
      </c>
      <c r="F32" s="822"/>
      <c r="G32" s="420"/>
      <c r="H32" s="420"/>
      <c r="I32" s="420"/>
      <c r="J32" s="420"/>
      <c r="K32" s="420"/>
      <c r="L32" s="420"/>
      <c r="M32" s="420"/>
      <c r="N32" s="420"/>
      <c r="O32" s="420"/>
      <c r="P32" s="858">
        <f t="shared" si="3"/>
        <v>0</v>
      </c>
      <c r="AA32" s="417"/>
    </row>
    <row r="33" spans="2:37">
      <c r="B33" s="2830"/>
      <c r="C33" s="2747"/>
      <c r="D33" s="818">
        <f>+D32</f>
        <v>999.24</v>
      </c>
      <c r="E33" s="419" t="s">
        <v>129</v>
      </c>
      <c r="F33" s="852"/>
      <c r="G33" s="586"/>
      <c r="H33" s="586"/>
      <c r="I33" s="586"/>
      <c r="J33" s="586"/>
      <c r="K33" s="586"/>
      <c r="L33" s="586"/>
      <c r="M33" s="586"/>
      <c r="N33" s="420"/>
      <c r="O33" s="420"/>
      <c r="P33" s="858">
        <f t="shared" ref="P33" si="6">SUM(G33:O33)</f>
        <v>0</v>
      </c>
      <c r="AA33" s="417"/>
    </row>
    <row r="34" spans="2:37">
      <c r="B34" s="2830"/>
      <c r="C34" s="2825" t="s">
        <v>1324</v>
      </c>
      <c r="D34" s="425">
        <v>999.44</v>
      </c>
      <c r="E34" s="419" t="s">
        <v>125</v>
      </c>
      <c r="F34" s="821">
        <v>1050000000</v>
      </c>
      <c r="G34" s="420">
        <v>0.1</v>
      </c>
      <c r="H34" s="420"/>
      <c r="I34" s="420">
        <v>0.2</v>
      </c>
      <c r="J34" s="420"/>
      <c r="K34" s="420">
        <v>0.4</v>
      </c>
      <c r="L34" s="420"/>
      <c r="M34" s="420">
        <v>0.25</v>
      </c>
      <c r="N34" s="420"/>
      <c r="O34" s="420">
        <v>0.05</v>
      </c>
      <c r="P34" s="858">
        <f t="shared" si="3"/>
        <v>1</v>
      </c>
      <c r="AA34" s="417"/>
    </row>
    <row r="35" spans="2:37">
      <c r="B35" s="2830"/>
      <c r="C35" s="2825"/>
      <c r="D35" s="418">
        <v>999.44</v>
      </c>
      <c r="E35" s="419" t="s">
        <v>126</v>
      </c>
      <c r="F35" s="821">
        <v>550000000</v>
      </c>
      <c r="G35" s="420">
        <v>0.55000000000000004</v>
      </c>
      <c r="H35" s="420"/>
      <c r="I35" s="420">
        <v>0.15</v>
      </c>
      <c r="J35" s="420"/>
      <c r="K35" s="420">
        <v>0.3</v>
      </c>
      <c r="L35" s="420"/>
      <c r="M35" s="420"/>
      <c r="N35" s="420"/>
      <c r="O35" s="420"/>
      <c r="P35" s="858">
        <f t="shared" si="3"/>
        <v>1</v>
      </c>
      <c r="AA35" s="417"/>
    </row>
    <row r="36" spans="2:37">
      <c r="B36" s="2830"/>
      <c r="C36" s="2825"/>
      <c r="D36" s="418">
        <v>999.44</v>
      </c>
      <c r="E36" s="419" t="s">
        <v>286</v>
      </c>
      <c r="F36" s="822"/>
      <c r="G36" s="420"/>
      <c r="H36" s="420"/>
      <c r="I36" s="420"/>
      <c r="J36" s="420"/>
      <c r="K36" s="420"/>
      <c r="L36" s="420"/>
      <c r="M36" s="420"/>
      <c r="N36" s="420"/>
      <c r="O36" s="420"/>
      <c r="P36" s="858">
        <f t="shared" si="3"/>
        <v>0</v>
      </c>
      <c r="AA36" s="417"/>
      <c r="AK36" s="421">
        <v>45838</v>
      </c>
    </row>
    <row r="37" spans="2:37">
      <c r="B37" s="2830"/>
      <c r="C37" s="2825"/>
      <c r="D37" s="418">
        <v>999.44</v>
      </c>
      <c r="E37" s="419" t="s">
        <v>287</v>
      </c>
      <c r="F37" s="822"/>
      <c r="G37" s="420"/>
      <c r="H37" s="420"/>
      <c r="I37" s="420"/>
      <c r="J37" s="420"/>
      <c r="K37" s="420"/>
      <c r="L37" s="420"/>
      <c r="M37" s="420"/>
      <c r="N37" s="420"/>
      <c r="O37" s="420"/>
      <c r="P37" s="858">
        <f t="shared" si="3"/>
        <v>0</v>
      </c>
      <c r="AA37" s="417"/>
    </row>
    <row r="38" spans="2:37">
      <c r="B38" s="2830"/>
      <c r="C38" s="2825"/>
      <c r="D38" s="818">
        <f>+D37</f>
        <v>999.44</v>
      </c>
      <c r="E38" s="419" t="s">
        <v>129</v>
      </c>
      <c r="F38" s="852"/>
      <c r="G38" s="586"/>
      <c r="H38" s="586"/>
      <c r="I38" s="586"/>
      <c r="J38" s="586"/>
      <c r="K38" s="586"/>
      <c r="L38" s="586"/>
      <c r="M38" s="586"/>
      <c r="N38" s="420"/>
      <c r="O38" s="420"/>
      <c r="P38" s="858">
        <f t="shared" ref="P38" si="7">SUM(G38:O38)</f>
        <v>0</v>
      </c>
      <c r="AA38" s="417"/>
    </row>
    <row r="39" spans="2:37">
      <c r="B39" s="2830"/>
      <c r="C39" s="2825" t="s">
        <v>1222</v>
      </c>
      <c r="D39" s="425">
        <v>999.44</v>
      </c>
      <c r="E39" s="419" t="s">
        <v>125</v>
      </c>
      <c r="F39" s="821">
        <v>1050000000</v>
      </c>
      <c r="G39" s="420">
        <v>0.1</v>
      </c>
      <c r="H39" s="420"/>
      <c r="I39" s="420">
        <v>0.2</v>
      </c>
      <c r="J39" s="420"/>
      <c r="K39" s="420">
        <v>0.4</v>
      </c>
      <c r="L39" s="420"/>
      <c r="M39" s="420">
        <v>0.25</v>
      </c>
      <c r="N39" s="420"/>
      <c r="O39" s="420">
        <v>0.05</v>
      </c>
      <c r="P39" s="858">
        <f t="shared" si="3"/>
        <v>1</v>
      </c>
      <c r="AA39" s="417"/>
    </row>
    <row r="40" spans="2:37">
      <c r="B40" s="2830"/>
      <c r="C40" s="2825"/>
      <c r="D40" s="418">
        <v>999.44</v>
      </c>
      <c r="E40" s="419" t="s">
        <v>126</v>
      </c>
      <c r="F40" s="821">
        <v>550000000</v>
      </c>
      <c r="G40" s="420">
        <v>0.55000000000000004</v>
      </c>
      <c r="H40" s="420"/>
      <c r="I40" s="420">
        <v>0.15</v>
      </c>
      <c r="J40" s="420"/>
      <c r="K40" s="420">
        <v>0.3</v>
      </c>
      <c r="L40" s="420"/>
      <c r="M40" s="420"/>
      <c r="N40" s="420"/>
      <c r="O40" s="420"/>
      <c r="P40" s="858">
        <f t="shared" si="3"/>
        <v>1</v>
      </c>
      <c r="AA40" s="417"/>
    </row>
    <row r="41" spans="2:37">
      <c r="B41" s="2830"/>
      <c r="C41" s="2825"/>
      <c r="D41" s="418">
        <v>999.44</v>
      </c>
      <c r="E41" s="419" t="s">
        <v>286</v>
      </c>
      <c r="F41" s="822"/>
      <c r="G41" s="420"/>
      <c r="H41" s="420"/>
      <c r="I41" s="420"/>
      <c r="J41" s="420"/>
      <c r="K41" s="420"/>
      <c r="L41" s="420"/>
      <c r="M41" s="420"/>
      <c r="N41" s="420"/>
      <c r="O41" s="420"/>
      <c r="P41" s="858">
        <f t="shared" si="3"/>
        <v>0</v>
      </c>
      <c r="AA41" s="417"/>
      <c r="AK41" s="421">
        <v>45838</v>
      </c>
    </row>
    <row r="42" spans="2:37">
      <c r="B42" s="2830"/>
      <c r="C42" s="2825"/>
      <c r="D42" s="418">
        <v>999.44</v>
      </c>
      <c r="E42" s="419" t="s">
        <v>287</v>
      </c>
      <c r="F42" s="822"/>
      <c r="G42" s="420"/>
      <c r="H42" s="420"/>
      <c r="I42" s="420"/>
      <c r="J42" s="420"/>
      <c r="K42" s="420"/>
      <c r="L42" s="420"/>
      <c r="M42" s="420"/>
      <c r="N42" s="420"/>
      <c r="O42" s="420"/>
      <c r="P42" s="858">
        <f t="shared" si="3"/>
        <v>0</v>
      </c>
      <c r="AA42" s="417"/>
    </row>
    <row r="43" spans="2:37" ht="17.25" thickBot="1">
      <c r="B43" s="2831"/>
      <c r="C43" s="2826"/>
      <c r="D43" s="585">
        <f>+D42</f>
        <v>999.44</v>
      </c>
      <c r="E43" s="426" t="s">
        <v>129</v>
      </c>
      <c r="F43" s="824"/>
      <c r="G43" s="584"/>
      <c r="H43" s="584"/>
      <c r="I43" s="584"/>
      <c r="J43" s="584"/>
      <c r="K43" s="584"/>
      <c r="L43" s="584"/>
      <c r="M43" s="584"/>
      <c r="N43" s="427"/>
      <c r="O43" s="427"/>
      <c r="P43" s="859">
        <f t="shared" ref="P43" si="8">SUM(G43:O43)</f>
        <v>0</v>
      </c>
      <c r="AA43" s="417"/>
    </row>
    <row r="44" spans="2:37">
      <c r="B44" s="2838" t="s">
        <v>1325</v>
      </c>
      <c r="C44" s="2822" t="s">
        <v>159</v>
      </c>
      <c r="D44" s="422">
        <v>999.24</v>
      </c>
      <c r="E44" s="423" t="s">
        <v>125</v>
      </c>
      <c r="F44" s="823">
        <v>1050000000</v>
      </c>
      <c r="G44" s="424">
        <v>0.1</v>
      </c>
      <c r="H44" s="424"/>
      <c r="I44" s="424">
        <v>0.2</v>
      </c>
      <c r="J44" s="424"/>
      <c r="K44" s="424">
        <v>0.4</v>
      </c>
      <c r="L44" s="424"/>
      <c r="M44" s="424">
        <v>0.25</v>
      </c>
      <c r="N44" s="424"/>
      <c r="O44" s="424">
        <v>0.05</v>
      </c>
      <c r="P44" s="873">
        <f t="shared" si="3"/>
        <v>1</v>
      </c>
      <c r="AA44" s="417"/>
    </row>
    <row r="45" spans="2:37">
      <c r="B45" s="2839"/>
      <c r="C45" s="2822"/>
      <c r="D45" s="418">
        <v>999.24</v>
      </c>
      <c r="E45" s="419" t="s">
        <v>126</v>
      </c>
      <c r="F45" s="821">
        <v>350000000</v>
      </c>
      <c r="G45" s="420">
        <v>0.4</v>
      </c>
      <c r="H45" s="420"/>
      <c r="I45" s="420">
        <v>0.2</v>
      </c>
      <c r="J45" s="420"/>
      <c r="K45" s="420">
        <v>0.3</v>
      </c>
      <c r="L45" s="420"/>
      <c r="M45" s="420">
        <v>0.1</v>
      </c>
      <c r="N45" s="420"/>
      <c r="O45" s="420"/>
      <c r="P45" s="858">
        <f t="shared" si="3"/>
        <v>1.0000000000000002</v>
      </c>
      <c r="AA45" s="417"/>
      <c r="AE45" s="421">
        <v>45747</v>
      </c>
    </row>
    <row r="46" spans="2:37">
      <c r="B46" s="2839"/>
      <c r="C46" s="2822"/>
      <c r="D46" s="418">
        <v>999.24</v>
      </c>
      <c r="E46" s="419" t="s">
        <v>286</v>
      </c>
      <c r="F46" s="821">
        <v>300000000</v>
      </c>
      <c r="G46" s="420">
        <v>0.4</v>
      </c>
      <c r="H46" s="420"/>
      <c r="I46" s="420">
        <v>0.2</v>
      </c>
      <c r="J46" s="420"/>
      <c r="K46" s="420">
        <v>0.3</v>
      </c>
      <c r="L46" s="420"/>
      <c r="M46" s="420">
        <v>0.1</v>
      </c>
      <c r="N46" s="420"/>
      <c r="O46" s="420"/>
      <c r="P46" s="858">
        <f t="shared" si="3"/>
        <v>1.0000000000000002</v>
      </c>
      <c r="AA46" s="417"/>
      <c r="AE46" s="421">
        <v>45698</v>
      </c>
    </row>
    <row r="47" spans="2:37">
      <c r="B47" s="2839"/>
      <c r="C47" s="2822"/>
      <c r="D47" s="418">
        <v>999.24</v>
      </c>
      <c r="E47" s="419" t="s">
        <v>1326</v>
      </c>
      <c r="F47" s="821">
        <v>200000000</v>
      </c>
      <c r="G47" s="420">
        <v>0.4</v>
      </c>
      <c r="H47" s="420"/>
      <c r="I47" s="420">
        <v>0.2</v>
      </c>
      <c r="J47" s="420"/>
      <c r="K47" s="420">
        <v>0.3</v>
      </c>
      <c r="L47" s="420"/>
      <c r="M47" s="420">
        <v>0.1</v>
      </c>
      <c r="N47" s="420"/>
      <c r="O47" s="420"/>
      <c r="P47" s="858">
        <f t="shared" si="3"/>
        <v>1.0000000000000002</v>
      </c>
      <c r="AA47" s="417"/>
    </row>
    <row r="48" spans="2:37">
      <c r="B48" s="2839"/>
      <c r="C48" s="2823"/>
      <c r="D48" s="860">
        <f>+D47</f>
        <v>999.24</v>
      </c>
      <c r="E48" s="848" t="s">
        <v>129</v>
      </c>
      <c r="F48" s="861"/>
      <c r="G48" s="862"/>
      <c r="H48" s="862"/>
      <c r="I48" s="862"/>
      <c r="J48" s="862"/>
      <c r="K48" s="862"/>
      <c r="L48" s="862"/>
      <c r="M48" s="862"/>
      <c r="N48" s="850"/>
      <c r="O48" s="850"/>
      <c r="P48" s="863">
        <f t="shared" ref="P48" si="9">SUM(G48:O48)</f>
        <v>0</v>
      </c>
      <c r="AA48" s="417"/>
    </row>
    <row r="49" spans="2:27">
      <c r="B49" s="2839"/>
      <c r="C49" s="2821" t="s">
        <v>160</v>
      </c>
      <c r="D49" s="425">
        <v>399.04</v>
      </c>
      <c r="E49" s="419" t="s">
        <v>1327</v>
      </c>
      <c r="F49" s="821">
        <v>1050000000</v>
      </c>
      <c r="G49" s="420">
        <v>0.1</v>
      </c>
      <c r="H49" s="420"/>
      <c r="I49" s="420">
        <v>0.2</v>
      </c>
      <c r="J49" s="420"/>
      <c r="K49" s="420">
        <v>0.4</v>
      </c>
      <c r="L49" s="420"/>
      <c r="M49" s="420">
        <v>0.25</v>
      </c>
      <c r="N49" s="420"/>
      <c r="O49" s="420">
        <v>0.05</v>
      </c>
      <c r="P49" s="858">
        <f t="shared" si="3"/>
        <v>1</v>
      </c>
      <c r="AA49" s="417"/>
    </row>
    <row r="50" spans="2:27">
      <c r="B50" s="2839"/>
      <c r="C50" s="2822"/>
      <c r="D50" s="418">
        <v>399.04</v>
      </c>
      <c r="E50" s="419" t="s">
        <v>1328</v>
      </c>
      <c r="F50" s="821">
        <v>350000000</v>
      </c>
      <c r="G50" s="420">
        <v>0.4</v>
      </c>
      <c r="H50" s="420"/>
      <c r="I50" s="420">
        <v>0.2</v>
      </c>
      <c r="J50" s="420"/>
      <c r="K50" s="420">
        <v>0.3</v>
      </c>
      <c r="L50" s="420"/>
      <c r="M50" s="420">
        <v>0.1</v>
      </c>
      <c r="N50" s="420"/>
      <c r="O50" s="420"/>
      <c r="P50" s="858">
        <f t="shared" si="3"/>
        <v>1.0000000000000002</v>
      </c>
      <c r="AA50" s="417"/>
    </row>
    <row r="51" spans="2:27">
      <c r="B51" s="2839"/>
      <c r="C51" s="2822"/>
      <c r="D51" s="418">
        <v>399.04</v>
      </c>
      <c r="E51" s="419" t="s">
        <v>286</v>
      </c>
      <c r="F51" s="821">
        <v>300000000</v>
      </c>
      <c r="G51" s="420">
        <v>0.4</v>
      </c>
      <c r="H51" s="420"/>
      <c r="I51" s="420">
        <v>0.2</v>
      </c>
      <c r="J51" s="420"/>
      <c r="K51" s="420">
        <v>0.3</v>
      </c>
      <c r="L51" s="420"/>
      <c r="M51" s="420">
        <v>0.1</v>
      </c>
      <c r="N51" s="420"/>
      <c r="O51" s="420"/>
      <c r="P51" s="858">
        <f t="shared" si="3"/>
        <v>1.0000000000000002</v>
      </c>
      <c r="AA51" s="417"/>
    </row>
    <row r="52" spans="2:27">
      <c r="B52" s="2839"/>
      <c r="C52" s="2822"/>
      <c r="D52" s="418">
        <v>399.04</v>
      </c>
      <c r="E52" s="419" t="s">
        <v>287</v>
      </c>
      <c r="F52" s="821">
        <v>200000000</v>
      </c>
      <c r="G52" s="420">
        <v>0.4</v>
      </c>
      <c r="H52" s="420"/>
      <c r="I52" s="420">
        <v>0.2</v>
      </c>
      <c r="J52" s="420"/>
      <c r="K52" s="420">
        <v>0.3</v>
      </c>
      <c r="L52" s="420"/>
      <c r="M52" s="420">
        <v>0.1</v>
      </c>
      <c r="N52" s="420"/>
      <c r="O52" s="420"/>
      <c r="P52" s="858">
        <f t="shared" si="3"/>
        <v>1.0000000000000002</v>
      </c>
      <c r="AA52" s="417"/>
    </row>
    <row r="53" spans="2:27">
      <c r="B53" s="2839"/>
      <c r="C53" s="2823"/>
      <c r="D53" s="860">
        <f>+D52</f>
        <v>399.04</v>
      </c>
      <c r="E53" s="848" t="s">
        <v>129</v>
      </c>
      <c r="F53" s="861"/>
      <c r="G53" s="862"/>
      <c r="H53" s="862"/>
      <c r="I53" s="862"/>
      <c r="J53" s="862"/>
      <c r="K53" s="862"/>
      <c r="L53" s="862"/>
      <c r="M53" s="862"/>
      <c r="N53" s="850"/>
      <c r="O53" s="850"/>
      <c r="P53" s="863">
        <f t="shared" ref="P53" si="10">SUM(G53:O53)</f>
        <v>0</v>
      </c>
      <c r="AA53" s="417"/>
    </row>
    <row r="54" spans="2:27">
      <c r="B54" s="2839"/>
      <c r="C54" s="2821" t="s">
        <v>161</v>
      </c>
      <c r="D54" s="425">
        <v>499.96</v>
      </c>
      <c r="E54" s="419" t="s">
        <v>1327</v>
      </c>
      <c r="F54" s="821">
        <v>1050000000</v>
      </c>
      <c r="G54" s="420">
        <v>0.1</v>
      </c>
      <c r="H54" s="420"/>
      <c r="I54" s="420">
        <v>0.2</v>
      </c>
      <c r="J54" s="420"/>
      <c r="K54" s="420">
        <v>0.4</v>
      </c>
      <c r="L54" s="420"/>
      <c r="M54" s="420">
        <v>0.25</v>
      </c>
      <c r="N54" s="420"/>
      <c r="O54" s="420">
        <v>0.05</v>
      </c>
      <c r="P54" s="858">
        <f t="shared" si="3"/>
        <v>1</v>
      </c>
      <c r="AA54" s="417"/>
    </row>
    <row r="55" spans="2:27">
      <c r="B55" s="2839"/>
      <c r="C55" s="2822"/>
      <c r="D55" s="418">
        <v>499.96</v>
      </c>
      <c r="E55" s="419" t="s">
        <v>1328</v>
      </c>
      <c r="F55" s="821">
        <v>350000000</v>
      </c>
      <c r="G55" s="420">
        <v>0.4</v>
      </c>
      <c r="H55" s="420"/>
      <c r="I55" s="420">
        <v>0.2</v>
      </c>
      <c r="J55" s="420"/>
      <c r="K55" s="420">
        <v>0.3</v>
      </c>
      <c r="L55" s="420"/>
      <c r="M55" s="420">
        <v>0.1</v>
      </c>
      <c r="N55" s="420"/>
      <c r="O55" s="420"/>
      <c r="P55" s="858">
        <f t="shared" si="3"/>
        <v>1.0000000000000002</v>
      </c>
      <c r="AA55" s="417"/>
    </row>
    <row r="56" spans="2:27">
      <c r="B56" s="2839"/>
      <c r="C56" s="2822"/>
      <c r="D56" s="418">
        <v>499.96</v>
      </c>
      <c r="E56" s="419" t="s">
        <v>286</v>
      </c>
      <c r="F56" s="821">
        <v>300000000</v>
      </c>
      <c r="G56" s="420">
        <v>0.4</v>
      </c>
      <c r="H56" s="420"/>
      <c r="I56" s="420">
        <v>0.2</v>
      </c>
      <c r="J56" s="420"/>
      <c r="K56" s="420">
        <v>0.3</v>
      </c>
      <c r="L56" s="420"/>
      <c r="M56" s="420">
        <v>0.1</v>
      </c>
      <c r="N56" s="420"/>
      <c r="O56" s="420"/>
      <c r="P56" s="858">
        <f t="shared" si="3"/>
        <v>1.0000000000000002</v>
      </c>
      <c r="AA56" s="417"/>
    </row>
    <row r="57" spans="2:27">
      <c r="B57" s="2839"/>
      <c r="C57" s="2822"/>
      <c r="D57" s="418">
        <v>499.96</v>
      </c>
      <c r="E57" s="419" t="s">
        <v>287</v>
      </c>
      <c r="F57" s="821">
        <v>200000000</v>
      </c>
      <c r="G57" s="420">
        <v>0.4</v>
      </c>
      <c r="H57" s="420"/>
      <c r="I57" s="420">
        <v>0.2</v>
      </c>
      <c r="J57" s="420"/>
      <c r="K57" s="420">
        <v>0.3</v>
      </c>
      <c r="L57" s="420"/>
      <c r="M57" s="420">
        <v>0.1</v>
      </c>
      <c r="N57" s="420"/>
      <c r="O57" s="420"/>
      <c r="P57" s="858">
        <f t="shared" si="3"/>
        <v>1.0000000000000002</v>
      </c>
      <c r="AA57" s="417"/>
    </row>
    <row r="58" spans="2:27">
      <c r="B58" s="2839"/>
      <c r="C58" s="2823"/>
      <c r="D58" s="860">
        <f>+D57</f>
        <v>499.96</v>
      </c>
      <c r="E58" s="848" t="s">
        <v>129</v>
      </c>
      <c r="F58" s="861"/>
      <c r="G58" s="862"/>
      <c r="H58" s="862"/>
      <c r="I58" s="862"/>
      <c r="J58" s="862"/>
      <c r="K58" s="862"/>
      <c r="L58" s="862"/>
      <c r="M58" s="862"/>
      <c r="N58" s="850"/>
      <c r="O58" s="850"/>
      <c r="P58" s="863">
        <f t="shared" ref="P58" si="11">SUM(G58:O58)</f>
        <v>0</v>
      </c>
      <c r="AA58" s="417"/>
    </row>
    <row r="59" spans="2:27">
      <c r="B59" s="2839"/>
      <c r="C59" s="2821" t="s">
        <v>162</v>
      </c>
      <c r="D59" s="425">
        <v>499.96</v>
      </c>
      <c r="E59" s="419" t="s">
        <v>1327</v>
      </c>
      <c r="F59" s="821">
        <v>1050000000</v>
      </c>
      <c r="G59" s="420">
        <v>0.1</v>
      </c>
      <c r="H59" s="420"/>
      <c r="I59" s="420">
        <v>0.2</v>
      </c>
      <c r="J59" s="420"/>
      <c r="K59" s="420">
        <v>0.4</v>
      </c>
      <c r="L59" s="420"/>
      <c r="M59" s="420">
        <v>0.25</v>
      </c>
      <c r="N59" s="420"/>
      <c r="O59" s="420">
        <v>0.05</v>
      </c>
      <c r="P59" s="858">
        <f t="shared" si="3"/>
        <v>1</v>
      </c>
      <c r="AA59" s="417"/>
    </row>
    <row r="60" spans="2:27">
      <c r="B60" s="2839"/>
      <c r="C60" s="2822"/>
      <c r="D60" s="418">
        <v>499.96</v>
      </c>
      <c r="E60" s="419" t="s">
        <v>1328</v>
      </c>
      <c r="F60" s="821">
        <v>350000000</v>
      </c>
      <c r="G60" s="420">
        <v>0.4</v>
      </c>
      <c r="H60" s="420"/>
      <c r="I60" s="420">
        <v>0.2</v>
      </c>
      <c r="J60" s="420"/>
      <c r="K60" s="420">
        <v>0.3</v>
      </c>
      <c r="L60" s="420"/>
      <c r="M60" s="420">
        <v>0.1</v>
      </c>
      <c r="N60" s="420"/>
      <c r="O60" s="420"/>
      <c r="P60" s="858">
        <f t="shared" si="3"/>
        <v>1.0000000000000002</v>
      </c>
      <c r="AA60" s="417"/>
    </row>
    <row r="61" spans="2:27">
      <c r="B61" s="2839"/>
      <c r="C61" s="2822"/>
      <c r="D61" s="418">
        <v>499.96</v>
      </c>
      <c r="E61" s="419" t="s">
        <v>286</v>
      </c>
      <c r="F61" s="821">
        <v>300000000</v>
      </c>
      <c r="G61" s="420">
        <v>0.4</v>
      </c>
      <c r="H61" s="420"/>
      <c r="I61" s="420">
        <v>0.2</v>
      </c>
      <c r="J61" s="420"/>
      <c r="K61" s="420">
        <v>0.3</v>
      </c>
      <c r="L61" s="420"/>
      <c r="M61" s="420">
        <v>0.1</v>
      </c>
      <c r="N61" s="420"/>
      <c r="O61" s="420"/>
      <c r="P61" s="858">
        <f t="shared" si="3"/>
        <v>1.0000000000000002</v>
      </c>
      <c r="AA61" s="417"/>
    </row>
    <row r="62" spans="2:27">
      <c r="B62" s="2839"/>
      <c r="C62" s="2822"/>
      <c r="D62" s="418">
        <v>499.96</v>
      </c>
      <c r="E62" s="419" t="s">
        <v>287</v>
      </c>
      <c r="F62" s="821">
        <v>200000000</v>
      </c>
      <c r="G62" s="420">
        <v>0.4</v>
      </c>
      <c r="H62" s="420"/>
      <c r="I62" s="420">
        <v>0.2</v>
      </c>
      <c r="J62" s="420"/>
      <c r="K62" s="420">
        <v>0.3</v>
      </c>
      <c r="L62" s="420"/>
      <c r="M62" s="420">
        <v>0.1</v>
      </c>
      <c r="N62" s="420"/>
      <c r="O62" s="420"/>
      <c r="P62" s="858">
        <f t="shared" si="3"/>
        <v>1.0000000000000002</v>
      </c>
      <c r="AA62" s="417"/>
    </row>
    <row r="63" spans="2:27">
      <c r="B63" s="2839"/>
      <c r="C63" s="2823"/>
      <c r="D63" s="860">
        <f>+D62</f>
        <v>499.96</v>
      </c>
      <c r="E63" s="848" t="s">
        <v>129</v>
      </c>
      <c r="F63" s="861"/>
      <c r="G63" s="862"/>
      <c r="H63" s="862"/>
      <c r="I63" s="862"/>
      <c r="J63" s="862"/>
      <c r="K63" s="862"/>
      <c r="L63" s="862"/>
      <c r="M63" s="862"/>
      <c r="N63" s="850"/>
      <c r="O63" s="850"/>
      <c r="P63" s="863">
        <f t="shared" ref="P63" si="12">SUM(G63:O63)</f>
        <v>0</v>
      </c>
      <c r="AA63" s="417"/>
    </row>
    <row r="64" spans="2:27">
      <c r="B64" s="2839"/>
      <c r="C64" s="2821" t="s">
        <v>163</v>
      </c>
      <c r="D64" s="425">
        <v>149.63999999999999</v>
      </c>
      <c r="E64" s="419" t="s">
        <v>1327</v>
      </c>
      <c r="F64" s="821">
        <v>1050000000</v>
      </c>
      <c r="G64" s="420">
        <v>0.1</v>
      </c>
      <c r="H64" s="420"/>
      <c r="I64" s="420">
        <v>0.2</v>
      </c>
      <c r="J64" s="420"/>
      <c r="K64" s="420">
        <v>0.4</v>
      </c>
      <c r="L64" s="420"/>
      <c r="M64" s="420">
        <v>0.25</v>
      </c>
      <c r="N64" s="420"/>
      <c r="O64" s="420">
        <v>0.05</v>
      </c>
      <c r="P64" s="858">
        <f t="shared" si="3"/>
        <v>1</v>
      </c>
      <c r="AA64" s="417"/>
    </row>
    <row r="65" spans="2:27">
      <c r="B65" s="2839"/>
      <c r="C65" s="2822"/>
      <c r="D65" s="418">
        <v>149.63999999999999</v>
      </c>
      <c r="E65" s="419" t="s">
        <v>1328</v>
      </c>
      <c r="F65" s="821">
        <v>350000000</v>
      </c>
      <c r="G65" s="420">
        <v>0.4</v>
      </c>
      <c r="H65" s="420"/>
      <c r="I65" s="420">
        <v>0.2</v>
      </c>
      <c r="J65" s="420"/>
      <c r="K65" s="420">
        <v>0.3</v>
      </c>
      <c r="L65" s="420"/>
      <c r="M65" s="420">
        <v>0.1</v>
      </c>
      <c r="N65" s="420"/>
      <c r="O65" s="420"/>
      <c r="P65" s="858">
        <f t="shared" si="3"/>
        <v>1.0000000000000002</v>
      </c>
      <c r="AA65" s="417"/>
    </row>
    <row r="66" spans="2:27">
      <c r="B66" s="2839"/>
      <c r="C66" s="2822"/>
      <c r="D66" s="418">
        <v>149.63999999999999</v>
      </c>
      <c r="E66" s="419" t="s">
        <v>286</v>
      </c>
      <c r="F66" s="821">
        <v>300000000</v>
      </c>
      <c r="G66" s="420">
        <v>0.4</v>
      </c>
      <c r="H66" s="420"/>
      <c r="I66" s="420">
        <v>0.2</v>
      </c>
      <c r="J66" s="420"/>
      <c r="K66" s="420">
        <v>0.3</v>
      </c>
      <c r="L66" s="420"/>
      <c r="M66" s="420">
        <v>0.1</v>
      </c>
      <c r="N66" s="420"/>
      <c r="O66" s="420"/>
      <c r="P66" s="858">
        <f t="shared" si="3"/>
        <v>1.0000000000000002</v>
      </c>
      <c r="AA66" s="417"/>
    </row>
    <row r="67" spans="2:27">
      <c r="B67" s="2839"/>
      <c r="C67" s="2822"/>
      <c r="D67" s="418">
        <v>149.63999999999999</v>
      </c>
      <c r="E67" s="419" t="s">
        <v>287</v>
      </c>
      <c r="F67" s="821">
        <v>200000000</v>
      </c>
      <c r="G67" s="420">
        <v>0.4</v>
      </c>
      <c r="H67" s="420"/>
      <c r="I67" s="420">
        <v>0.2</v>
      </c>
      <c r="J67" s="420"/>
      <c r="K67" s="420">
        <v>0.3</v>
      </c>
      <c r="L67" s="420"/>
      <c r="M67" s="420">
        <v>0.1</v>
      </c>
      <c r="N67" s="420"/>
      <c r="O67" s="420"/>
      <c r="P67" s="858">
        <f t="shared" si="3"/>
        <v>1.0000000000000002</v>
      </c>
      <c r="AA67" s="417"/>
    </row>
    <row r="68" spans="2:27">
      <c r="B68" s="2839"/>
      <c r="C68" s="2823"/>
      <c r="D68" s="860">
        <f>+D67</f>
        <v>149.63999999999999</v>
      </c>
      <c r="E68" s="848" t="s">
        <v>129</v>
      </c>
      <c r="F68" s="861"/>
      <c r="G68" s="862"/>
      <c r="H68" s="862"/>
      <c r="I68" s="862"/>
      <c r="J68" s="862"/>
      <c r="K68" s="862"/>
      <c r="L68" s="862"/>
      <c r="M68" s="862"/>
      <c r="N68" s="850"/>
      <c r="O68" s="850"/>
      <c r="P68" s="863">
        <f t="shared" ref="P68" si="13">SUM(G68:O68)</f>
        <v>0</v>
      </c>
      <c r="AA68" s="417"/>
    </row>
    <row r="69" spans="2:27">
      <c r="B69" s="2839"/>
      <c r="C69" s="2821" t="s">
        <v>164</v>
      </c>
      <c r="D69" s="425">
        <v>299.27999999999997</v>
      </c>
      <c r="E69" s="419" t="s">
        <v>1327</v>
      </c>
      <c r="F69" s="821">
        <v>1050000000</v>
      </c>
      <c r="G69" s="420">
        <v>0.1</v>
      </c>
      <c r="H69" s="420"/>
      <c r="I69" s="420">
        <v>0.2</v>
      </c>
      <c r="J69" s="420"/>
      <c r="K69" s="420">
        <v>0.4</v>
      </c>
      <c r="L69" s="420"/>
      <c r="M69" s="420">
        <v>0.25</v>
      </c>
      <c r="N69" s="420"/>
      <c r="O69" s="420">
        <v>0.05</v>
      </c>
      <c r="P69" s="858">
        <f t="shared" si="3"/>
        <v>1</v>
      </c>
      <c r="AA69" s="417"/>
    </row>
    <row r="70" spans="2:27">
      <c r="B70" s="2839"/>
      <c r="C70" s="2822"/>
      <c r="D70" s="418">
        <v>299.27999999999997</v>
      </c>
      <c r="E70" s="419" t="s">
        <v>1328</v>
      </c>
      <c r="F70" s="821">
        <v>350000000</v>
      </c>
      <c r="G70" s="420">
        <v>0.4</v>
      </c>
      <c r="H70" s="420"/>
      <c r="I70" s="420">
        <v>0.2</v>
      </c>
      <c r="J70" s="420"/>
      <c r="K70" s="420">
        <v>0.3</v>
      </c>
      <c r="L70" s="420"/>
      <c r="M70" s="420">
        <v>0.1</v>
      </c>
      <c r="N70" s="420"/>
      <c r="O70" s="420"/>
      <c r="P70" s="858">
        <f t="shared" si="3"/>
        <v>1.0000000000000002</v>
      </c>
      <c r="AA70" s="417"/>
    </row>
    <row r="71" spans="2:27">
      <c r="B71" s="2839"/>
      <c r="C71" s="2822"/>
      <c r="D71" s="418">
        <v>299.27999999999997</v>
      </c>
      <c r="E71" s="419" t="s">
        <v>286</v>
      </c>
      <c r="F71" s="821">
        <v>300000000</v>
      </c>
      <c r="G71" s="420">
        <v>0.4</v>
      </c>
      <c r="H71" s="420"/>
      <c r="I71" s="420">
        <v>0.2</v>
      </c>
      <c r="J71" s="420"/>
      <c r="K71" s="420">
        <v>0.3</v>
      </c>
      <c r="L71" s="420"/>
      <c r="M71" s="420">
        <v>0.1</v>
      </c>
      <c r="N71" s="420"/>
      <c r="O71" s="420"/>
      <c r="P71" s="858">
        <f t="shared" si="3"/>
        <v>1.0000000000000002</v>
      </c>
      <c r="AA71" s="417"/>
    </row>
    <row r="72" spans="2:27">
      <c r="B72" s="2839"/>
      <c r="C72" s="2822"/>
      <c r="D72" s="847">
        <v>299.27999999999997</v>
      </c>
      <c r="E72" s="848" t="s">
        <v>287</v>
      </c>
      <c r="F72" s="849">
        <v>200000000</v>
      </c>
      <c r="G72" s="850">
        <v>0.4</v>
      </c>
      <c r="H72" s="850"/>
      <c r="I72" s="850">
        <v>0.2</v>
      </c>
      <c r="J72" s="850"/>
      <c r="K72" s="850">
        <v>0.3</v>
      </c>
      <c r="L72" s="850"/>
      <c r="M72" s="850">
        <v>0.1</v>
      </c>
      <c r="N72" s="850"/>
      <c r="O72" s="850"/>
      <c r="P72" s="863">
        <f t="shared" si="3"/>
        <v>1.0000000000000002</v>
      </c>
      <c r="AA72" s="417"/>
    </row>
    <row r="73" spans="2:27" ht="17.25" thickBot="1">
      <c r="B73" s="2839"/>
      <c r="C73" s="2827"/>
      <c r="D73" s="585">
        <f>+D72</f>
        <v>299.27999999999997</v>
      </c>
      <c r="E73" s="426" t="s">
        <v>129</v>
      </c>
      <c r="F73" s="824"/>
      <c r="G73" s="584"/>
      <c r="H73" s="584"/>
      <c r="I73" s="584"/>
      <c r="J73" s="584"/>
      <c r="K73" s="584"/>
      <c r="L73" s="584"/>
      <c r="M73" s="584"/>
      <c r="N73" s="427"/>
      <c r="O73" s="427"/>
      <c r="P73" s="859">
        <f t="shared" ref="P73:P77" si="14">SUM(G73:O73)</f>
        <v>0</v>
      </c>
      <c r="AA73" s="417"/>
    </row>
    <row r="74" spans="2:27">
      <c r="B74" s="2839"/>
      <c r="C74" s="2824" t="str">
        <f>+'Solar M&amp;A'!B17</f>
        <v>Galsan (SPA)</v>
      </c>
      <c r="D74" s="853">
        <f>+'Solar M&amp;A'!M17</f>
        <v>993.6</v>
      </c>
      <c r="E74" s="854" t="s">
        <v>1327</v>
      </c>
      <c r="F74" s="855">
        <v>1050000000</v>
      </c>
      <c r="G74" s="856">
        <v>0.1</v>
      </c>
      <c r="H74" s="856"/>
      <c r="I74" s="856">
        <v>0.2</v>
      </c>
      <c r="J74" s="856"/>
      <c r="K74" s="856">
        <v>0.4</v>
      </c>
      <c r="L74" s="856"/>
      <c r="M74" s="856">
        <v>0.25</v>
      </c>
      <c r="N74" s="856"/>
      <c r="O74" s="856">
        <v>0.05</v>
      </c>
      <c r="P74" s="857">
        <f t="shared" si="14"/>
        <v>1</v>
      </c>
      <c r="AA74" s="417"/>
    </row>
    <row r="75" spans="2:27">
      <c r="B75" s="2839"/>
      <c r="C75" s="2825"/>
      <c r="D75" s="818">
        <f>+D74</f>
        <v>993.6</v>
      </c>
      <c r="E75" s="419" t="s">
        <v>1328</v>
      </c>
      <c r="F75" s="821">
        <v>150000000</v>
      </c>
      <c r="G75" s="420">
        <v>0.8</v>
      </c>
      <c r="H75" s="420"/>
      <c r="I75" s="420"/>
      <c r="J75" s="420"/>
      <c r="K75" s="420"/>
      <c r="L75" s="420"/>
      <c r="M75" s="420">
        <v>0.2</v>
      </c>
      <c r="N75" s="420"/>
      <c r="O75" s="420"/>
      <c r="P75" s="858">
        <f t="shared" si="14"/>
        <v>1</v>
      </c>
      <c r="AA75" s="417"/>
    </row>
    <row r="76" spans="2:27">
      <c r="B76" s="2839"/>
      <c r="C76" s="2825"/>
      <c r="D76" s="818">
        <f t="shared" ref="D76:D93" si="15">+D75</f>
        <v>993.6</v>
      </c>
      <c r="E76" s="419" t="s">
        <v>286</v>
      </c>
      <c r="F76" s="821">
        <v>300000000</v>
      </c>
      <c r="G76" s="420">
        <v>0.8</v>
      </c>
      <c r="H76" s="420"/>
      <c r="I76" s="420"/>
      <c r="J76" s="420"/>
      <c r="K76" s="420"/>
      <c r="L76" s="420"/>
      <c r="M76" s="420">
        <v>0.2</v>
      </c>
      <c r="N76" s="420"/>
      <c r="O76" s="420"/>
      <c r="P76" s="858">
        <f t="shared" si="14"/>
        <v>1</v>
      </c>
      <c r="AA76" s="417"/>
    </row>
    <row r="77" spans="2:27">
      <c r="B77" s="2839"/>
      <c r="C77" s="2825"/>
      <c r="D77" s="818">
        <f t="shared" si="15"/>
        <v>993.6</v>
      </c>
      <c r="E77" s="419" t="s">
        <v>287</v>
      </c>
      <c r="F77" s="821">
        <v>200000000</v>
      </c>
      <c r="G77" s="420">
        <v>0.8</v>
      </c>
      <c r="H77" s="420"/>
      <c r="I77" s="420"/>
      <c r="J77" s="420"/>
      <c r="K77" s="420"/>
      <c r="L77" s="420"/>
      <c r="M77" s="420">
        <v>0.2</v>
      </c>
      <c r="N77" s="420"/>
      <c r="O77" s="420"/>
      <c r="P77" s="858">
        <f t="shared" si="14"/>
        <v>1</v>
      </c>
      <c r="AA77" s="417"/>
    </row>
    <row r="78" spans="2:27">
      <c r="B78" s="2839"/>
      <c r="C78" s="2825"/>
      <c r="D78" s="818">
        <f t="shared" si="15"/>
        <v>993.6</v>
      </c>
      <c r="E78" s="419" t="s">
        <v>129</v>
      </c>
      <c r="F78" s="852"/>
      <c r="G78" s="586"/>
      <c r="H78" s="586"/>
      <c r="I78" s="586"/>
      <c r="J78" s="586"/>
      <c r="K78" s="586"/>
      <c r="L78" s="586"/>
      <c r="M78" s="586"/>
      <c r="N78" s="420"/>
      <c r="O78" s="420"/>
      <c r="P78" s="858">
        <f t="shared" ref="P78:P93" si="16">SUM(G78:O78)</f>
        <v>0</v>
      </c>
      <c r="AA78" s="417"/>
    </row>
    <row r="79" spans="2:27">
      <c r="B79" s="2839"/>
      <c r="C79" s="2825" t="str">
        <f>+'Solar M&amp;A'!B18</f>
        <v>Mineuri (SPA)</v>
      </c>
      <c r="D79" s="851">
        <f>+'Solar M&amp;A'!M18</f>
        <v>993.6</v>
      </c>
      <c r="E79" s="419" t="s">
        <v>1327</v>
      </c>
      <c r="F79" s="821">
        <v>1050000000</v>
      </c>
      <c r="G79" s="420">
        <v>0.1</v>
      </c>
      <c r="H79" s="420"/>
      <c r="I79" s="420">
        <v>0.2</v>
      </c>
      <c r="J79" s="420"/>
      <c r="K79" s="420">
        <v>0.4</v>
      </c>
      <c r="L79" s="420"/>
      <c r="M79" s="420">
        <v>0.25</v>
      </c>
      <c r="N79" s="420"/>
      <c r="O79" s="420">
        <v>0.05</v>
      </c>
      <c r="P79" s="858">
        <f t="shared" si="16"/>
        <v>1</v>
      </c>
      <c r="AA79" s="417"/>
    </row>
    <row r="80" spans="2:27">
      <c r="B80" s="2839"/>
      <c r="C80" s="2825"/>
      <c r="D80" s="818">
        <f t="shared" si="15"/>
        <v>993.6</v>
      </c>
      <c r="E80" s="419" t="s">
        <v>1328</v>
      </c>
      <c r="F80" s="821">
        <v>150000000</v>
      </c>
      <c r="G80" s="420">
        <v>0.8</v>
      </c>
      <c r="H80" s="420"/>
      <c r="I80" s="420"/>
      <c r="J80" s="420"/>
      <c r="K80" s="420"/>
      <c r="L80" s="420"/>
      <c r="M80" s="420">
        <v>0.2</v>
      </c>
      <c r="N80" s="420"/>
      <c r="O80" s="420"/>
      <c r="P80" s="858">
        <f t="shared" si="16"/>
        <v>1</v>
      </c>
      <c r="AA80" s="417"/>
    </row>
    <row r="81" spans="2:27">
      <c r="B81" s="2839"/>
      <c r="C81" s="2825"/>
      <c r="D81" s="818">
        <f t="shared" si="15"/>
        <v>993.6</v>
      </c>
      <c r="E81" s="419" t="s">
        <v>286</v>
      </c>
      <c r="F81" s="821">
        <v>300000000</v>
      </c>
      <c r="G81" s="420">
        <v>0.8</v>
      </c>
      <c r="H81" s="420"/>
      <c r="I81" s="420"/>
      <c r="J81" s="420"/>
      <c r="K81" s="420"/>
      <c r="L81" s="420"/>
      <c r="M81" s="420">
        <v>0.2</v>
      </c>
      <c r="N81" s="420"/>
      <c r="O81" s="420"/>
      <c r="P81" s="858">
        <f t="shared" si="16"/>
        <v>1</v>
      </c>
      <c r="AA81" s="417"/>
    </row>
    <row r="82" spans="2:27">
      <c r="B82" s="2839"/>
      <c r="C82" s="2825"/>
      <c r="D82" s="818">
        <f t="shared" si="15"/>
        <v>993.6</v>
      </c>
      <c r="E82" s="419" t="s">
        <v>287</v>
      </c>
      <c r="F82" s="821">
        <v>200000000</v>
      </c>
      <c r="G82" s="420">
        <v>0.8</v>
      </c>
      <c r="H82" s="420"/>
      <c r="I82" s="420"/>
      <c r="J82" s="420"/>
      <c r="K82" s="420"/>
      <c r="L82" s="420"/>
      <c r="M82" s="420">
        <v>0.2</v>
      </c>
      <c r="N82" s="420"/>
      <c r="O82" s="420"/>
      <c r="P82" s="858">
        <f t="shared" si="16"/>
        <v>1</v>
      </c>
      <c r="AA82" s="417"/>
    </row>
    <row r="83" spans="2:27">
      <c r="B83" s="2839"/>
      <c r="C83" s="2825"/>
      <c r="D83" s="818">
        <f t="shared" si="15"/>
        <v>993.6</v>
      </c>
      <c r="E83" s="419" t="s">
        <v>129</v>
      </c>
      <c r="F83" s="852"/>
      <c r="G83" s="586"/>
      <c r="H83" s="586"/>
      <c r="I83" s="586"/>
      <c r="J83" s="586"/>
      <c r="K83" s="586"/>
      <c r="L83" s="586"/>
      <c r="M83" s="586"/>
      <c r="N83" s="420"/>
      <c r="O83" s="420"/>
      <c r="P83" s="858">
        <f t="shared" si="16"/>
        <v>0</v>
      </c>
      <c r="AA83" s="417"/>
    </row>
    <row r="84" spans="2:27">
      <c r="B84" s="2839"/>
      <c r="C84" s="2825" t="str">
        <f>+'Solar M&amp;A'!B19</f>
        <v>Saegol (SPA)</v>
      </c>
      <c r="D84" s="851">
        <f>+'Solar M&amp;A'!M19</f>
        <v>993.6</v>
      </c>
      <c r="E84" s="419" t="s">
        <v>1327</v>
      </c>
      <c r="F84" s="821">
        <v>1050000000</v>
      </c>
      <c r="G84" s="420">
        <v>0.1</v>
      </c>
      <c r="H84" s="420"/>
      <c r="I84" s="420">
        <v>0.2</v>
      </c>
      <c r="J84" s="420"/>
      <c r="K84" s="420">
        <v>0.4</v>
      </c>
      <c r="L84" s="420"/>
      <c r="M84" s="420">
        <v>0.25</v>
      </c>
      <c r="N84" s="420"/>
      <c r="O84" s="420">
        <v>0.05</v>
      </c>
      <c r="P84" s="858">
        <f t="shared" si="16"/>
        <v>1</v>
      </c>
      <c r="AA84" s="417"/>
    </row>
    <row r="85" spans="2:27">
      <c r="B85" s="2839"/>
      <c r="C85" s="2825"/>
      <c r="D85" s="818">
        <f t="shared" si="15"/>
        <v>993.6</v>
      </c>
      <c r="E85" s="419" t="s">
        <v>1328</v>
      </c>
      <c r="F85" s="821">
        <v>150000000</v>
      </c>
      <c r="G85" s="420">
        <v>0.8</v>
      </c>
      <c r="H85" s="420"/>
      <c r="I85" s="420"/>
      <c r="J85" s="420"/>
      <c r="K85" s="420"/>
      <c r="L85" s="420"/>
      <c r="M85" s="420">
        <v>0.2</v>
      </c>
      <c r="N85" s="420"/>
      <c r="O85" s="420"/>
      <c r="P85" s="858">
        <f t="shared" si="16"/>
        <v>1</v>
      </c>
      <c r="AA85" s="417"/>
    </row>
    <row r="86" spans="2:27">
      <c r="B86" s="2839"/>
      <c r="C86" s="2825"/>
      <c r="D86" s="818">
        <f t="shared" si="15"/>
        <v>993.6</v>
      </c>
      <c r="E86" s="419" t="s">
        <v>286</v>
      </c>
      <c r="F86" s="821">
        <v>300000000</v>
      </c>
      <c r="G86" s="420">
        <v>0.8</v>
      </c>
      <c r="H86" s="420"/>
      <c r="I86" s="420"/>
      <c r="J86" s="420"/>
      <c r="K86" s="420"/>
      <c r="L86" s="420"/>
      <c r="M86" s="420">
        <v>0.2</v>
      </c>
      <c r="N86" s="420"/>
      <c r="O86" s="420"/>
      <c r="P86" s="858">
        <f t="shared" si="16"/>
        <v>1</v>
      </c>
      <c r="AA86" s="417"/>
    </row>
    <row r="87" spans="2:27">
      <c r="B87" s="2839"/>
      <c r="C87" s="2825"/>
      <c r="D87" s="818">
        <f t="shared" si="15"/>
        <v>993.6</v>
      </c>
      <c r="E87" s="419" t="s">
        <v>287</v>
      </c>
      <c r="F87" s="821">
        <v>200000000</v>
      </c>
      <c r="G87" s="420">
        <v>0.8</v>
      </c>
      <c r="H87" s="420"/>
      <c r="I87" s="420"/>
      <c r="J87" s="420"/>
      <c r="K87" s="420"/>
      <c r="L87" s="420"/>
      <c r="M87" s="420">
        <v>0.2</v>
      </c>
      <c r="N87" s="420"/>
      <c r="O87" s="420"/>
      <c r="P87" s="858">
        <f t="shared" si="16"/>
        <v>1</v>
      </c>
      <c r="AA87" s="417"/>
    </row>
    <row r="88" spans="2:27">
      <c r="B88" s="2839"/>
      <c r="C88" s="2825"/>
      <c r="D88" s="818">
        <f t="shared" si="15"/>
        <v>993.6</v>
      </c>
      <c r="E88" s="419" t="s">
        <v>129</v>
      </c>
      <c r="F88" s="852"/>
      <c r="G88" s="586"/>
      <c r="H88" s="586"/>
      <c r="I88" s="586"/>
      <c r="J88" s="586"/>
      <c r="K88" s="586"/>
      <c r="L88" s="586"/>
      <c r="M88" s="586"/>
      <c r="N88" s="420"/>
      <c r="O88" s="420"/>
      <c r="P88" s="858">
        <f t="shared" si="16"/>
        <v>0</v>
      </c>
      <c r="AA88" s="417"/>
    </row>
    <row r="89" spans="2:27">
      <c r="B89" s="2839"/>
      <c r="C89" s="2825" t="str">
        <f>+'Solar M&amp;A'!B20</f>
        <v>Jaesan (SPA)</v>
      </c>
      <c r="D89" s="851">
        <f>+'Solar M&amp;A'!M20</f>
        <v>993.6</v>
      </c>
      <c r="E89" s="419" t="s">
        <v>1327</v>
      </c>
      <c r="F89" s="821">
        <v>1050000000</v>
      </c>
      <c r="G89" s="420">
        <v>0.1</v>
      </c>
      <c r="H89" s="420"/>
      <c r="I89" s="420">
        <v>0.2</v>
      </c>
      <c r="J89" s="420"/>
      <c r="K89" s="420">
        <v>0.4</v>
      </c>
      <c r="L89" s="420"/>
      <c r="M89" s="420">
        <v>0.25</v>
      </c>
      <c r="N89" s="420"/>
      <c r="O89" s="420">
        <v>0.05</v>
      </c>
      <c r="P89" s="858">
        <f t="shared" si="16"/>
        <v>1</v>
      </c>
      <c r="AA89" s="417"/>
    </row>
    <row r="90" spans="2:27">
      <c r="B90" s="2839"/>
      <c r="C90" s="2825"/>
      <c r="D90" s="818">
        <f t="shared" si="15"/>
        <v>993.6</v>
      </c>
      <c r="E90" s="419" t="s">
        <v>1328</v>
      </c>
      <c r="F90" s="821">
        <v>150000000</v>
      </c>
      <c r="G90" s="420">
        <v>0.8</v>
      </c>
      <c r="H90" s="420"/>
      <c r="I90" s="420"/>
      <c r="J90" s="420"/>
      <c r="K90" s="420"/>
      <c r="L90" s="420"/>
      <c r="M90" s="420">
        <v>0.2</v>
      </c>
      <c r="N90" s="420"/>
      <c r="O90" s="420"/>
      <c r="P90" s="858">
        <f t="shared" si="16"/>
        <v>1</v>
      </c>
      <c r="AA90" s="417"/>
    </row>
    <row r="91" spans="2:27">
      <c r="B91" s="2839"/>
      <c r="C91" s="2825"/>
      <c r="D91" s="818">
        <f t="shared" si="15"/>
        <v>993.6</v>
      </c>
      <c r="E91" s="419" t="s">
        <v>286</v>
      </c>
      <c r="F91" s="821">
        <v>300000000</v>
      </c>
      <c r="G91" s="420">
        <v>0.8</v>
      </c>
      <c r="H91" s="420"/>
      <c r="I91" s="420"/>
      <c r="J91" s="420"/>
      <c r="K91" s="420"/>
      <c r="L91" s="420"/>
      <c r="M91" s="420">
        <v>0.2</v>
      </c>
      <c r="N91" s="420"/>
      <c r="O91" s="420"/>
      <c r="P91" s="858">
        <f t="shared" si="16"/>
        <v>1</v>
      </c>
      <c r="AA91" s="417"/>
    </row>
    <row r="92" spans="2:27">
      <c r="B92" s="2839"/>
      <c r="C92" s="2825"/>
      <c r="D92" s="818">
        <f t="shared" si="15"/>
        <v>993.6</v>
      </c>
      <c r="E92" s="419" t="s">
        <v>287</v>
      </c>
      <c r="F92" s="821">
        <v>200000000</v>
      </c>
      <c r="G92" s="420">
        <v>0.8</v>
      </c>
      <c r="H92" s="420"/>
      <c r="I92" s="420"/>
      <c r="J92" s="420"/>
      <c r="K92" s="420"/>
      <c r="L92" s="420"/>
      <c r="M92" s="420">
        <v>0.2</v>
      </c>
      <c r="N92" s="420"/>
      <c r="O92" s="420"/>
      <c r="P92" s="858">
        <f t="shared" si="16"/>
        <v>1</v>
      </c>
      <c r="AA92" s="417"/>
    </row>
    <row r="93" spans="2:27" ht="17.25" thickBot="1">
      <c r="B93" s="2840"/>
      <c r="C93" s="2826"/>
      <c r="D93" s="585">
        <f t="shared" si="15"/>
        <v>993.6</v>
      </c>
      <c r="E93" s="426" t="s">
        <v>129</v>
      </c>
      <c r="F93" s="824"/>
      <c r="G93" s="584"/>
      <c r="H93" s="584"/>
      <c r="I93" s="584"/>
      <c r="J93" s="584"/>
      <c r="K93" s="584"/>
      <c r="L93" s="584"/>
      <c r="M93" s="584"/>
      <c r="N93" s="427"/>
      <c r="O93" s="427"/>
      <c r="P93" s="859">
        <f t="shared" si="16"/>
        <v>0</v>
      </c>
      <c r="AA93" s="417"/>
    </row>
    <row r="94" spans="2:27" ht="16.5" customHeight="1">
      <c r="B94" s="2841" t="s">
        <v>1329</v>
      </c>
      <c r="C94" s="2837" t="s">
        <v>1330</v>
      </c>
      <c r="D94" s="853">
        <f>+'DG-PV Organic'!O9</f>
        <v>1041</v>
      </c>
      <c r="E94" s="854" t="s">
        <v>125</v>
      </c>
      <c r="F94" s="855">
        <v>1050000000</v>
      </c>
      <c r="G94" s="856">
        <v>0.1</v>
      </c>
      <c r="H94" s="856"/>
      <c r="I94" s="856">
        <v>0.2</v>
      </c>
      <c r="J94" s="856"/>
      <c r="K94" s="856">
        <v>0.4</v>
      </c>
      <c r="L94" s="856"/>
      <c r="M94" s="856">
        <v>0.25</v>
      </c>
      <c r="N94" s="856"/>
      <c r="O94" s="856">
        <v>0.05</v>
      </c>
      <c r="P94" s="857">
        <f t="shared" si="3"/>
        <v>1</v>
      </c>
      <c r="AA94" s="417"/>
    </row>
    <row r="95" spans="2:27">
      <c r="B95" s="2842"/>
      <c r="C95" s="2820"/>
      <c r="D95" s="851">
        <f>+D94</f>
        <v>1041</v>
      </c>
      <c r="E95" s="419" t="s">
        <v>126</v>
      </c>
      <c r="F95" s="821">
        <v>300000000</v>
      </c>
      <c r="G95" s="586">
        <v>0.3</v>
      </c>
      <c r="H95" s="586"/>
      <c r="I95" s="586">
        <v>0.1</v>
      </c>
      <c r="J95" s="586"/>
      <c r="K95" s="586">
        <v>0.5</v>
      </c>
      <c r="L95" s="586"/>
      <c r="M95" s="586">
        <v>0.1</v>
      </c>
      <c r="N95" s="420"/>
      <c r="O95" s="420"/>
      <c r="P95" s="858">
        <f t="shared" si="3"/>
        <v>1</v>
      </c>
      <c r="AA95" s="417"/>
    </row>
    <row r="96" spans="2:27">
      <c r="B96" s="2842"/>
      <c r="C96" s="2820"/>
      <c r="D96" s="851">
        <f t="shared" ref="D96:D98" si="17">+D95</f>
        <v>1041</v>
      </c>
      <c r="E96" s="419" t="s">
        <v>286</v>
      </c>
      <c r="F96" s="821"/>
      <c r="G96" s="420"/>
      <c r="H96" s="420"/>
      <c r="I96" s="420"/>
      <c r="J96" s="420"/>
      <c r="K96" s="420"/>
      <c r="L96" s="420"/>
      <c r="M96" s="420"/>
      <c r="N96" s="420"/>
      <c r="O96" s="420"/>
      <c r="P96" s="858">
        <f t="shared" si="3"/>
        <v>0</v>
      </c>
      <c r="AA96" s="417"/>
    </row>
    <row r="97" spans="2:27">
      <c r="B97" s="2842"/>
      <c r="C97" s="2820"/>
      <c r="D97" s="818">
        <f t="shared" si="17"/>
        <v>1041</v>
      </c>
      <c r="E97" s="419" t="s">
        <v>287</v>
      </c>
      <c r="F97" s="852">
        <v>50000000</v>
      </c>
      <c r="G97" s="586">
        <v>0.3</v>
      </c>
      <c r="H97" s="586"/>
      <c r="I97" s="586">
        <v>0.1</v>
      </c>
      <c r="J97" s="586"/>
      <c r="K97" s="586">
        <v>0.5</v>
      </c>
      <c r="L97" s="586"/>
      <c r="M97" s="586">
        <v>0.1</v>
      </c>
      <c r="N97" s="420"/>
      <c r="O97" s="420"/>
      <c r="P97" s="858">
        <f t="shared" si="3"/>
        <v>1</v>
      </c>
      <c r="AA97" s="417"/>
    </row>
    <row r="98" spans="2:27">
      <c r="B98" s="2842"/>
      <c r="C98" s="2820"/>
      <c r="D98" s="818">
        <f t="shared" si="17"/>
        <v>1041</v>
      </c>
      <c r="E98" s="419" t="s">
        <v>129</v>
      </c>
      <c r="F98" s="852">
        <f>+'DG-PV Organic'!AI9</f>
        <v>182175000</v>
      </c>
      <c r="G98" s="586">
        <v>1</v>
      </c>
      <c r="H98" s="586"/>
      <c r="I98" s="586"/>
      <c r="J98" s="586"/>
      <c r="K98" s="586"/>
      <c r="L98" s="586"/>
      <c r="M98" s="586"/>
      <c r="N98" s="420"/>
      <c r="O98" s="420"/>
      <c r="P98" s="858">
        <f t="shared" si="3"/>
        <v>1</v>
      </c>
      <c r="R98" s="1908" t="b">
        <f>35000*D94*5=F98</f>
        <v>1</v>
      </c>
      <c r="AA98" s="417"/>
    </row>
    <row r="99" spans="2:27" s="813" customFormat="1" ht="16.5" hidden="1" customHeight="1">
      <c r="B99" s="2842"/>
      <c r="C99" s="2845" t="s">
        <v>1331</v>
      </c>
      <c r="D99" s="864">
        <v>523</v>
      </c>
      <c r="E99" s="815" t="s">
        <v>125</v>
      </c>
      <c r="F99" s="825">
        <v>1050000000</v>
      </c>
      <c r="G99" s="817">
        <v>0.1</v>
      </c>
      <c r="H99" s="817"/>
      <c r="I99" s="817">
        <v>0.2</v>
      </c>
      <c r="J99" s="817"/>
      <c r="K99" s="817">
        <v>0.4</v>
      </c>
      <c r="L99" s="817"/>
      <c r="M99" s="817">
        <v>0.25</v>
      </c>
      <c r="N99" s="817"/>
      <c r="O99" s="817">
        <v>0.05</v>
      </c>
      <c r="P99" s="867">
        <f t="shared" ref="P99:P103" si="18">SUM(G99:O99)</f>
        <v>1</v>
      </c>
      <c r="AA99" s="814"/>
    </row>
    <row r="100" spans="2:27" s="813" customFormat="1" hidden="1">
      <c r="B100" s="2842"/>
      <c r="C100" s="2845"/>
      <c r="D100" s="864">
        <v>523</v>
      </c>
      <c r="E100" s="815" t="s">
        <v>126</v>
      </c>
      <c r="F100" s="825">
        <v>300000000</v>
      </c>
      <c r="G100" s="816">
        <v>0.3</v>
      </c>
      <c r="H100" s="816"/>
      <c r="I100" s="816">
        <v>0.1</v>
      </c>
      <c r="J100" s="816"/>
      <c r="K100" s="816">
        <v>0.5</v>
      </c>
      <c r="L100" s="816"/>
      <c r="M100" s="816">
        <v>0.1</v>
      </c>
      <c r="N100" s="817"/>
      <c r="O100" s="817"/>
      <c r="P100" s="867">
        <f t="shared" si="18"/>
        <v>1</v>
      </c>
      <c r="AA100" s="814"/>
    </row>
    <row r="101" spans="2:27" s="813" customFormat="1" hidden="1">
      <c r="B101" s="2842"/>
      <c r="C101" s="2845"/>
      <c r="D101" s="864">
        <v>523</v>
      </c>
      <c r="E101" s="815" t="s">
        <v>286</v>
      </c>
      <c r="F101" s="825"/>
      <c r="G101" s="817"/>
      <c r="H101" s="817"/>
      <c r="I101" s="817"/>
      <c r="J101" s="817"/>
      <c r="K101" s="817"/>
      <c r="L101" s="817"/>
      <c r="M101" s="817"/>
      <c r="N101" s="817"/>
      <c r="O101" s="817"/>
      <c r="P101" s="867">
        <f t="shared" si="18"/>
        <v>0</v>
      </c>
      <c r="AA101" s="814"/>
    </row>
    <row r="102" spans="2:27" s="813" customFormat="1" hidden="1">
      <c r="B102" s="2842"/>
      <c r="C102" s="2845"/>
      <c r="D102" s="865">
        <v>523</v>
      </c>
      <c r="E102" s="815" t="s">
        <v>287</v>
      </c>
      <c r="F102" s="866">
        <v>100000000</v>
      </c>
      <c r="G102" s="816">
        <v>0.3</v>
      </c>
      <c r="H102" s="816"/>
      <c r="I102" s="816">
        <v>0.1</v>
      </c>
      <c r="J102" s="816"/>
      <c r="K102" s="816">
        <v>0.5</v>
      </c>
      <c r="L102" s="816"/>
      <c r="M102" s="816">
        <v>0.1</v>
      </c>
      <c r="N102" s="817"/>
      <c r="O102" s="817"/>
      <c r="P102" s="867">
        <f t="shared" si="18"/>
        <v>1</v>
      </c>
      <c r="AA102" s="814"/>
    </row>
    <row r="103" spans="2:27" s="813" customFormat="1" hidden="1">
      <c r="B103" s="2842"/>
      <c r="C103" s="2845"/>
      <c r="D103" s="865">
        <f>+D102</f>
        <v>523</v>
      </c>
      <c r="E103" s="815" t="s">
        <v>129</v>
      </c>
      <c r="F103" s="866"/>
      <c r="G103" s="816">
        <v>1</v>
      </c>
      <c r="H103" s="816"/>
      <c r="I103" s="816"/>
      <c r="J103" s="816"/>
      <c r="K103" s="816"/>
      <c r="L103" s="816"/>
      <c r="M103" s="816"/>
      <c r="N103" s="817"/>
      <c r="O103" s="817"/>
      <c r="P103" s="867">
        <f t="shared" si="18"/>
        <v>1</v>
      </c>
      <c r="AA103" s="814"/>
    </row>
    <row r="104" spans="2:27" ht="16.5" customHeight="1">
      <c r="B104" s="2842"/>
      <c r="C104" s="2820" t="s">
        <v>1332</v>
      </c>
      <c r="D104" s="851">
        <f>+'DG-PV Organic'!O11</f>
        <v>406</v>
      </c>
      <c r="E104" s="419" t="s">
        <v>125</v>
      </c>
      <c r="F104" s="821">
        <v>1050000000</v>
      </c>
      <c r="G104" s="420">
        <v>0.1</v>
      </c>
      <c r="H104" s="420"/>
      <c r="I104" s="420">
        <v>0.2</v>
      </c>
      <c r="J104" s="420"/>
      <c r="K104" s="420">
        <v>0.4</v>
      </c>
      <c r="L104" s="420"/>
      <c r="M104" s="420">
        <v>0.25</v>
      </c>
      <c r="N104" s="420"/>
      <c r="O104" s="420">
        <v>0.05</v>
      </c>
      <c r="P104" s="858">
        <f t="shared" ref="P104:P108" si="19">SUM(G104:O104)</f>
        <v>1</v>
      </c>
      <c r="AA104" s="417"/>
    </row>
    <row r="105" spans="2:27">
      <c r="B105" s="2842"/>
      <c r="C105" s="2820"/>
      <c r="D105" s="851">
        <f>+D104</f>
        <v>406</v>
      </c>
      <c r="E105" s="419" t="s">
        <v>126</v>
      </c>
      <c r="F105" s="821">
        <v>300000000</v>
      </c>
      <c r="G105" s="586">
        <v>0.3</v>
      </c>
      <c r="H105" s="586"/>
      <c r="I105" s="586">
        <v>0.1</v>
      </c>
      <c r="J105" s="586"/>
      <c r="K105" s="586">
        <v>0.5</v>
      </c>
      <c r="L105" s="586"/>
      <c r="M105" s="586">
        <v>0.1</v>
      </c>
      <c r="N105" s="420"/>
      <c r="O105" s="420"/>
      <c r="P105" s="858">
        <f t="shared" si="19"/>
        <v>1</v>
      </c>
      <c r="AA105" s="417"/>
    </row>
    <row r="106" spans="2:27">
      <c r="B106" s="2842"/>
      <c r="C106" s="2820"/>
      <c r="D106" s="851">
        <f t="shared" ref="D106:D108" si="20">+D105</f>
        <v>406</v>
      </c>
      <c r="E106" s="419" t="s">
        <v>286</v>
      </c>
      <c r="F106" s="821"/>
      <c r="G106" s="420"/>
      <c r="H106" s="420"/>
      <c r="I106" s="420"/>
      <c r="J106" s="420"/>
      <c r="K106" s="420"/>
      <c r="L106" s="420"/>
      <c r="M106" s="420"/>
      <c r="N106" s="420"/>
      <c r="O106" s="420"/>
      <c r="P106" s="858">
        <f t="shared" si="19"/>
        <v>0</v>
      </c>
      <c r="AA106" s="417"/>
    </row>
    <row r="107" spans="2:27">
      <c r="B107" s="2842"/>
      <c r="C107" s="2820"/>
      <c r="D107" s="818">
        <f t="shared" si="20"/>
        <v>406</v>
      </c>
      <c r="E107" s="419" t="s">
        <v>287</v>
      </c>
      <c r="F107" s="852">
        <v>50000000</v>
      </c>
      <c r="G107" s="586">
        <v>0.3</v>
      </c>
      <c r="H107" s="586"/>
      <c r="I107" s="586">
        <v>0.1</v>
      </c>
      <c r="J107" s="586"/>
      <c r="K107" s="586">
        <v>0.5</v>
      </c>
      <c r="L107" s="586"/>
      <c r="M107" s="586">
        <v>0.1</v>
      </c>
      <c r="N107" s="420"/>
      <c r="O107" s="420"/>
      <c r="P107" s="858">
        <f t="shared" si="19"/>
        <v>1</v>
      </c>
      <c r="AA107" s="417"/>
    </row>
    <row r="108" spans="2:27">
      <c r="B108" s="2842"/>
      <c r="C108" s="2820"/>
      <c r="D108" s="818">
        <f t="shared" si="20"/>
        <v>406</v>
      </c>
      <c r="E108" s="419" t="s">
        <v>129</v>
      </c>
      <c r="F108" s="852">
        <f>+'DG-PV Organic'!AI11</f>
        <v>71050000</v>
      </c>
      <c r="G108" s="586">
        <v>1</v>
      </c>
      <c r="H108" s="586"/>
      <c r="I108" s="586"/>
      <c r="J108" s="586"/>
      <c r="K108" s="586"/>
      <c r="L108" s="586"/>
      <c r="M108" s="586"/>
      <c r="N108" s="420"/>
      <c r="O108" s="420"/>
      <c r="P108" s="858">
        <f t="shared" si="19"/>
        <v>1</v>
      </c>
      <c r="AA108" s="417"/>
    </row>
    <row r="109" spans="2:27" ht="16.5" customHeight="1">
      <c r="B109" s="2842"/>
      <c r="C109" s="2820" t="s">
        <v>1333</v>
      </c>
      <c r="D109" s="851">
        <f>+'DG-PV Organic'!O29</f>
        <v>210</v>
      </c>
      <c r="E109" s="419" t="s">
        <v>125</v>
      </c>
      <c r="F109" s="821">
        <v>1050000000</v>
      </c>
      <c r="G109" s="420">
        <v>0.1</v>
      </c>
      <c r="H109" s="420"/>
      <c r="I109" s="420">
        <v>0.2</v>
      </c>
      <c r="J109" s="420"/>
      <c r="K109" s="420">
        <v>0.4</v>
      </c>
      <c r="L109" s="420"/>
      <c r="M109" s="420">
        <v>0.25</v>
      </c>
      <c r="N109" s="420"/>
      <c r="O109" s="420">
        <v>0.05</v>
      </c>
      <c r="P109" s="858">
        <f t="shared" ref="P109:P128" si="21">SUM(G109:O109)</f>
        <v>1</v>
      </c>
      <c r="AA109" s="417"/>
    </row>
    <row r="110" spans="2:27">
      <c r="B110" s="2842"/>
      <c r="C110" s="2820"/>
      <c r="D110" s="851">
        <f>+D109</f>
        <v>210</v>
      </c>
      <c r="E110" s="419" t="s">
        <v>126</v>
      </c>
      <c r="F110" s="821">
        <v>300000000</v>
      </c>
      <c r="G110" s="586">
        <v>0.3</v>
      </c>
      <c r="H110" s="586"/>
      <c r="I110" s="586">
        <v>0.1</v>
      </c>
      <c r="J110" s="586"/>
      <c r="K110" s="586">
        <v>0.5</v>
      </c>
      <c r="L110" s="586"/>
      <c r="M110" s="586">
        <v>0.1</v>
      </c>
      <c r="N110" s="420"/>
      <c r="O110" s="420"/>
      <c r="P110" s="858">
        <f t="shared" si="21"/>
        <v>1</v>
      </c>
      <c r="AA110" s="417"/>
    </row>
    <row r="111" spans="2:27">
      <c r="B111" s="2842"/>
      <c r="C111" s="2820"/>
      <c r="D111" s="851">
        <f t="shared" ref="D111:D113" si="22">+D110</f>
        <v>210</v>
      </c>
      <c r="E111" s="419" t="s">
        <v>286</v>
      </c>
      <c r="F111" s="821"/>
      <c r="G111" s="420"/>
      <c r="H111" s="420"/>
      <c r="I111" s="420"/>
      <c r="J111" s="420"/>
      <c r="K111" s="420"/>
      <c r="L111" s="420"/>
      <c r="M111" s="420"/>
      <c r="N111" s="420"/>
      <c r="O111" s="420"/>
      <c r="P111" s="858">
        <f t="shared" si="21"/>
        <v>0</v>
      </c>
      <c r="AA111" s="417"/>
    </row>
    <row r="112" spans="2:27">
      <c r="B112" s="2842"/>
      <c r="C112" s="2820"/>
      <c r="D112" s="818">
        <f t="shared" si="22"/>
        <v>210</v>
      </c>
      <c r="E112" s="419" t="s">
        <v>287</v>
      </c>
      <c r="F112" s="852">
        <v>150000000</v>
      </c>
      <c r="G112" s="586">
        <v>0.3</v>
      </c>
      <c r="H112" s="586"/>
      <c r="I112" s="586">
        <v>0.1</v>
      </c>
      <c r="J112" s="586"/>
      <c r="K112" s="586">
        <v>0.5</v>
      </c>
      <c r="L112" s="586"/>
      <c r="M112" s="586">
        <v>0.1</v>
      </c>
      <c r="N112" s="420"/>
      <c r="O112" s="420"/>
      <c r="P112" s="858">
        <f t="shared" si="21"/>
        <v>1</v>
      </c>
      <c r="R112" s="400">
        <f>+F112*D112/1000</f>
        <v>31500000</v>
      </c>
      <c r="AA112" s="417"/>
    </row>
    <row r="113" spans="2:27">
      <c r="B113" s="2842"/>
      <c r="C113" s="2820"/>
      <c r="D113" s="818">
        <f t="shared" si="22"/>
        <v>210</v>
      </c>
      <c r="E113" s="419" t="s">
        <v>129</v>
      </c>
      <c r="F113" s="852">
        <f>40000000*D109/1000*5</f>
        <v>42000000</v>
      </c>
      <c r="G113" s="586">
        <v>1</v>
      </c>
      <c r="H113" s="586"/>
      <c r="I113" s="586"/>
      <c r="J113" s="586"/>
      <c r="K113" s="586"/>
      <c r="L113" s="586"/>
      <c r="M113" s="586"/>
      <c r="N113" s="420"/>
      <c r="O113" s="420"/>
      <c r="P113" s="858">
        <f t="shared" si="21"/>
        <v>1</v>
      </c>
      <c r="AA113" s="417"/>
    </row>
    <row r="114" spans="2:27" ht="16.5" customHeight="1">
      <c r="B114" s="2842"/>
      <c r="C114" s="2820" t="str">
        <f>+'DG-PV Organic'!B30</f>
        <v>Gyeongju Hyosung Energy farm</v>
      </c>
      <c r="D114" s="851">
        <f>+'DG-PV Organic'!O30</f>
        <v>249.6</v>
      </c>
      <c r="E114" s="419" t="s">
        <v>125</v>
      </c>
      <c r="F114" s="821">
        <v>1050000000</v>
      </c>
      <c r="G114" s="420">
        <v>0.1</v>
      </c>
      <c r="H114" s="420"/>
      <c r="I114" s="420">
        <v>0.2</v>
      </c>
      <c r="J114" s="420"/>
      <c r="K114" s="420">
        <v>0.4</v>
      </c>
      <c r="L114" s="420"/>
      <c r="M114" s="420">
        <v>0.25</v>
      </c>
      <c r="N114" s="420"/>
      <c r="O114" s="420">
        <v>0.05</v>
      </c>
      <c r="P114" s="858">
        <f t="shared" si="21"/>
        <v>1</v>
      </c>
      <c r="AA114" s="417"/>
    </row>
    <row r="115" spans="2:27">
      <c r="B115" s="2842"/>
      <c r="C115" s="2820"/>
      <c r="D115" s="851">
        <f>+D114</f>
        <v>249.6</v>
      </c>
      <c r="E115" s="419" t="s">
        <v>126</v>
      </c>
      <c r="F115" s="821">
        <v>300000000</v>
      </c>
      <c r="G115" s="586">
        <v>0.3</v>
      </c>
      <c r="H115" s="586"/>
      <c r="I115" s="586">
        <v>0.1</v>
      </c>
      <c r="J115" s="586"/>
      <c r="K115" s="586">
        <v>0.5</v>
      </c>
      <c r="L115" s="586"/>
      <c r="M115" s="586">
        <v>0.1</v>
      </c>
      <c r="N115" s="420"/>
      <c r="O115" s="420"/>
      <c r="P115" s="858">
        <f t="shared" si="21"/>
        <v>1</v>
      </c>
      <c r="AA115" s="417"/>
    </row>
    <row r="116" spans="2:27">
      <c r="B116" s="2842"/>
      <c r="C116" s="2820"/>
      <c r="D116" s="851">
        <f t="shared" ref="D116:D118" si="23">+D115</f>
        <v>249.6</v>
      </c>
      <c r="E116" s="419" t="s">
        <v>286</v>
      </c>
      <c r="F116" s="821"/>
      <c r="G116" s="420"/>
      <c r="H116" s="420"/>
      <c r="I116" s="420"/>
      <c r="J116" s="420"/>
      <c r="K116" s="420"/>
      <c r="L116" s="420"/>
      <c r="M116" s="420"/>
      <c r="N116" s="420"/>
      <c r="O116" s="420"/>
      <c r="P116" s="858">
        <f t="shared" si="21"/>
        <v>0</v>
      </c>
      <c r="AA116" s="417"/>
    </row>
    <row r="117" spans="2:27">
      <c r="B117" s="2842"/>
      <c r="C117" s="2820"/>
      <c r="D117" s="818">
        <f t="shared" si="23"/>
        <v>249.6</v>
      </c>
      <c r="E117" s="419" t="s">
        <v>287</v>
      </c>
      <c r="F117" s="852">
        <v>150000000</v>
      </c>
      <c r="G117" s="586">
        <v>0.3</v>
      </c>
      <c r="H117" s="586"/>
      <c r="I117" s="586">
        <v>0.1</v>
      </c>
      <c r="J117" s="586"/>
      <c r="K117" s="586">
        <v>0.5</v>
      </c>
      <c r="L117" s="586"/>
      <c r="M117" s="586">
        <v>0.1</v>
      </c>
      <c r="N117" s="420"/>
      <c r="O117" s="420"/>
      <c r="P117" s="858">
        <f t="shared" si="21"/>
        <v>1</v>
      </c>
      <c r="AA117" s="417"/>
    </row>
    <row r="118" spans="2:27">
      <c r="B118" s="2842"/>
      <c r="C118" s="2820"/>
      <c r="D118" s="818">
        <f t="shared" si="23"/>
        <v>249.6</v>
      </c>
      <c r="E118" s="419" t="s">
        <v>129</v>
      </c>
      <c r="F118" s="852">
        <f>+'DG-PV Organic'!AI30</f>
        <v>43680000</v>
      </c>
      <c r="G118" s="586">
        <v>1</v>
      </c>
      <c r="H118" s="586"/>
      <c r="I118" s="586"/>
      <c r="J118" s="586"/>
      <c r="K118" s="586"/>
      <c r="L118" s="586"/>
      <c r="M118" s="586"/>
      <c r="N118" s="420"/>
      <c r="O118" s="420"/>
      <c r="P118" s="858">
        <f t="shared" si="21"/>
        <v>1</v>
      </c>
      <c r="AA118" s="417"/>
    </row>
    <row r="119" spans="2:27" ht="16.5" customHeight="1">
      <c r="B119" s="2842"/>
      <c r="C119" s="2820" t="str">
        <f>+'DG-PV Organic'!B31</f>
        <v>Kojimom Bio</v>
      </c>
      <c r="D119" s="851">
        <f>+'DG-PV Organic'!O31</f>
        <v>264.32</v>
      </c>
      <c r="E119" s="419" t="s">
        <v>125</v>
      </c>
      <c r="F119" s="821">
        <v>1050000000</v>
      </c>
      <c r="G119" s="420">
        <v>0.1</v>
      </c>
      <c r="H119" s="420"/>
      <c r="I119" s="420">
        <v>0.2</v>
      </c>
      <c r="J119" s="420"/>
      <c r="K119" s="420">
        <v>0.4</v>
      </c>
      <c r="L119" s="420"/>
      <c r="M119" s="420">
        <v>0.25</v>
      </c>
      <c r="N119" s="420"/>
      <c r="O119" s="420">
        <v>0.05</v>
      </c>
      <c r="P119" s="858">
        <f t="shared" si="21"/>
        <v>1</v>
      </c>
      <c r="AA119" s="417"/>
    </row>
    <row r="120" spans="2:27">
      <c r="B120" s="2842"/>
      <c r="C120" s="2820"/>
      <c r="D120" s="851">
        <f>+D119</f>
        <v>264.32</v>
      </c>
      <c r="E120" s="419" t="s">
        <v>126</v>
      </c>
      <c r="F120" s="821">
        <v>300000000</v>
      </c>
      <c r="G120" s="586">
        <v>0.3</v>
      </c>
      <c r="H120" s="586"/>
      <c r="I120" s="586">
        <v>0.1</v>
      </c>
      <c r="J120" s="586"/>
      <c r="K120" s="586">
        <v>0.5</v>
      </c>
      <c r="L120" s="586"/>
      <c r="M120" s="586">
        <v>0.1</v>
      </c>
      <c r="N120" s="420"/>
      <c r="O120" s="420"/>
      <c r="P120" s="858">
        <f t="shared" si="21"/>
        <v>1</v>
      </c>
      <c r="AA120" s="417"/>
    </row>
    <row r="121" spans="2:27">
      <c r="B121" s="2842"/>
      <c r="C121" s="2820"/>
      <c r="D121" s="851">
        <f t="shared" ref="D121:D123" si="24">+D120</f>
        <v>264.32</v>
      </c>
      <c r="E121" s="419" t="s">
        <v>286</v>
      </c>
      <c r="F121" s="821"/>
      <c r="G121" s="420"/>
      <c r="H121" s="420"/>
      <c r="I121" s="420"/>
      <c r="J121" s="420"/>
      <c r="K121" s="420"/>
      <c r="L121" s="420"/>
      <c r="M121" s="420"/>
      <c r="N121" s="420"/>
      <c r="O121" s="420"/>
      <c r="P121" s="858">
        <f t="shared" si="21"/>
        <v>0</v>
      </c>
      <c r="AA121" s="417"/>
    </row>
    <row r="122" spans="2:27">
      <c r="B122" s="2842"/>
      <c r="C122" s="2820"/>
      <c r="D122" s="818">
        <f t="shared" si="24"/>
        <v>264.32</v>
      </c>
      <c r="E122" s="419" t="s">
        <v>287</v>
      </c>
      <c r="F122" s="852">
        <v>150000000</v>
      </c>
      <c r="G122" s="586">
        <v>0.3</v>
      </c>
      <c r="H122" s="586"/>
      <c r="I122" s="586">
        <v>0.1</v>
      </c>
      <c r="J122" s="586"/>
      <c r="K122" s="586">
        <v>0.5</v>
      </c>
      <c r="L122" s="586"/>
      <c r="M122" s="586">
        <v>0.1</v>
      </c>
      <c r="N122" s="420"/>
      <c r="O122" s="420"/>
      <c r="P122" s="858">
        <f t="shared" si="21"/>
        <v>1</v>
      </c>
      <c r="AA122" s="417"/>
    </row>
    <row r="123" spans="2:27">
      <c r="B123" s="2842"/>
      <c r="C123" s="2820"/>
      <c r="D123" s="818">
        <f t="shared" si="24"/>
        <v>264.32</v>
      </c>
      <c r="E123" s="419" t="s">
        <v>129</v>
      </c>
      <c r="F123" s="852">
        <f>+'DG-PV Organic'!AI31</f>
        <v>46256000</v>
      </c>
      <c r="G123" s="586">
        <v>1</v>
      </c>
      <c r="H123" s="586"/>
      <c r="I123" s="586"/>
      <c r="J123" s="586"/>
      <c r="K123" s="586"/>
      <c r="L123" s="586"/>
      <c r="M123" s="586"/>
      <c r="N123" s="420"/>
      <c r="O123" s="420"/>
      <c r="P123" s="858">
        <f t="shared" si="21"/>
        <v>1</v>
      </c>
      <c r="AA123" s="417"/>
    </row>
    <row r="124" spans="2:27" ht="16.5" customHeight="1">
      <c r="B124" s="2842"/>
      <c r="C124" s="2820" t="str">
        <f>+'DG-PV Organic'!B32</f>
        <v>Dongshin Motek</v>
      </c>
      <c r="D124" s="851">
        <f>+'DG-PV Organic'!O32</f>
        <v>380.8</v>
      </c>
      <c r="E124" s="419" t="s">
        <v>125</v>
      </c>
      <c r="F124" s="821">
        <v>1050000000</v>
      </c>
      <c r="G124" s="420">
        <v>0.1</v>
      </c>
      <c r="H124" s="420"/>
      <c r="I124" s="420">
        <v>0.2</v>
      </c>
      <c r="J124" s="420"/>
      <c r="K124" s="420">
        <v>0.4</v>
      </c>
      <c r="L124" s="420"/>
      <c r="M124" s="420">
        <v>0.25</v>
      </c>
      <c r="N124" s="420"/>
      <c r="O124" s="420">
        <v>0.05</v>
      </c>
      <c r="P124" s="858">
        <f t="shared" si="21"/>
        <v>1</v>
      </c>
      <c r="AA124" s="417"/>
    </row>
    <row r="125" spans="2:27">
      <c r="B125" s="2842"/>
      <c r="C125" s="2820"/>
      <c r="D125" s="851">
        <f>+D124</f>
        <v>380.8</v>
      </c>
      <c r="E125" s="419" t="s">
        <v>126</v>
      </c>
      <c r="F125" s="821">
        <v>300000000</v>
      </c>
      <c r="G125" s="586">
        <v>0.3</v>
      </c>
      <c r="H125" s="586"/>
      <c r="I125" s="586">
        <v>0.1</v>
      </c>
      <c r="J125" s="586"/>
      <c r="K125" s="586">
        <v>0.5</v>
      </c>
      <c r="L125" s="586"/>
      <c r="M125" s="586">
        <v>0.1</v>
      </c>
      <c r="N125" s="420"/>
      <c r="O125" s="420"/>
      <c r="P125" s="858">
        <f t="shared" si="21"/>
        <v>1</v>
      </c>
      <c r="AA125" s="417"/>
    </row>
    <row r="126" spans="2:27">
      <c r="B126" s="2842"/>
      <c r="C126" s="2820"/>
      <c r="D126" s="851">
        <f t="shared" ref="D126:D128" si="25">+D125</f>
        <v>380.8</v>
      </c>
      <c r="E126" s="419" t="s">
        <v>286</v>
      </c>
      <c r="F126" s="852"/>
      <c r="G126" s="420"/>
      <c r="H126" s="420"/>
      <c r="I126" s="420"/>
      <c r="J126" s="420"/>
      <c r="K126" s="420"/>
      <c r="L126" s="420"/>
      <c r="M126" s="420"/>
      <c r="N126" s="420"/>
      <c r="O126" s="420"/>
      <c r="P126" s="858">
        <f t="shared" si="21"/>
        <v>0</v>
      </c>
      <c r="AA126" s="417"/>
    </row>
    <row r="127" spans="2:27">
      <c r="B127" s="2842"/>
      <c r="C127" s="2820"/>
      <c r="D127" s="818">
        <f t="shared" si="25"/>
        <v>380.8</v>
      </c>
      <c r="E127" s="419" t="s">
        <v>287</v>
      </c>
      <c r="F127" s="852">
        <v>150000000</v>
      </c>
      <c r="G127" s="586">
        <v>0.3</v>
      </c>
      <c r="H127" s="586"/>
      <c r="I127" s="586">
        <v>0.1</v>
      </c>
      <c r="J127" s="586"/>
      <c r="K127" s="586">
        <v>0.5</v>
      </c>
      <c r="L127" s="586"/>
      <c r="M127" s="586">
        <v>0.1</v>
      </c>
      <c r="N127" s="420"/>
      <c r="O127" s="420"/>
      <c r="P127" s="858">
        <f t="shared" si="21"/>
        <v>1</v>
      </c>
      <c r="AA127" s="417"/>
    </row>
    <row r="128" spans="2:27">
      <c r="B128" s="2842"/>
      <c r="C128" s="2820"/>
      <c r="D128" s="818">
        <f t="shared" si="25"/>
        <v>380.8</v>
      </c>
      <c r="E128" s="419" t="s">
        <v>129</v>
      </c>
      <c r="F128" s="852">
        <f>+'DG-PV Organic'!AI32</f>
        <v>66640000</v>
      </c>
      <c r="G128" s="586">
        <v>1</v>
      </c>
      <c r="H128" s="586"/>
      <c r="I128" s="586"/>
      <c r="J128" s="586"/>
      <c r="K128" s="586"/>
      <c r="L128" s="586"/>
      <c r="M128" s="586"/>
      <c r="N128" s="420"/>
      <c r="O128" s="420"/>
      <c r="P128" s="858">
        <f t="shared" si="21"/>
        <v>1</v>
      </c>
      <c r="AA128" s="417"/>
    </row>
    <row r="129" spans="2:27" ht="16.5" customHeight="1">
      <c r="B129" s="2842"/>
      <c r="C129" s="2820" t="str">
        <f>+'DG-PV Organic'!B33</f>
        <v>Vega</v>
      </c>
      <c r="D129" s="851">
        <f>+'DG-PV Organic'!O33</f>
        <v>560</v>
      </c>
      <c r="E129" s="419" t="s">
        <v>125</v>
      </c>
      <c r="F129" s="821">
        <v>1050000000</v>
      </c>
      <c r="G129" s="420">
        <v>0.1</v>
      </c>
      <c r="H129" s="420"/>
      <c r="I129" s="420">
        <v>0.2</v>
      </c>
      <c r="J129" s="420"/>
      <c r="K129" s="420">
        <v>0.4</v>
      </c>
      <c r="L129" s="420"/>
      <c r="M129" s="420">
        <v>0.25</v>
      </c>
      <c r="N129" s="420"/>
      <c r="O129" s="420">
        <v>0.05</v>
      </c>
      <c r="P129" s="858">
        <f t="shared" ref="P129:P143" si="26">SUM(G129:O129)</f>
        <v>1</v>
      </c>
      <c r="AA129" s="417"/>
    </row>
    <row r="130" spans="2:27">
      <c r="B130" s="2842"/>
      <c r="C130" s="2820"/>
      <c r="D130" s="851">
        <f>+D129</f>
        <v>560</v>
      </c>
      <c r="E130" s="419" t="s">
        <v>126</v>
      </c>
      <c r="F130" s="821">
        <v>300000000</v>
      </c>
      <c r="G130" s="586">
        <v>0.3</v>
      </c>
      <c r="H130" s="586"/>
      <c r="I130" s="586">
        <v>0.1</v>
      </c>
      <c r="J130" s="586"/>
      <c r="K130" s="586">
        <v>0.5</v>
      </c>
      <c r="L130" s="586"/>
      <c r="M130" s="586">
        <v>0.1</v>
      </c>
      <c r="N130" s="420"/>
      <c r="O130" s="420"/>
      <c r="P130" s="858">
        <f t="shared" si="26"/>
        <v>1</v>
      </c>
      <c r="AA130" s="417"/>
    </row>
    <row r="131" spans="2:27">
      <c r="B131" s="2842"/>
      <c r="C131" s="2820"/>
      <c r="D131" s="851">
        <f t="shared" ref="D131:D133" si="27">+D130</f>
        <v>560</v>
      </c>
      <c r="E131" s="419" t="s">
        <v>286</v>
      </c>
      <c r="F131" s="852"/>
      <c r="G131" s="420"/>
      <c r="H131" s="420"/>
      <c r="I131" s="420"/>
      <c r="J131" s="420"/>
      <c r="K131" s="420"/>
      <c r="L131" s="420"/>
      <c r="M131" s="420"/>
      <c r="N131" s="420"/>
      <c r="O131" s="420"/>
      <c r="P131" s="858">
        <f t="shared" si="26"/>
        <v>0</v>
      </c>
      <c r="AA131" s="417"/>
    </row>
    <row r="132" spans="2:27">
      <c r="B132" s="2842"/>
      <c r="C132" s="2820"/>
      <c r="D132" s="818">
        <f t="shared" si="27"/>
        <v>560</v>
      </c>
      <c r="E132" s="419" t="s">
        <v>287</v>
      </c>
      <c r="F132" s="852">
        <v>150000000</v>
      </c>
      <c r="G132" s="586">
        <v>0.3</v>
      </c>
      <c r="H132" s="586"/>
      <c r="I132" s="586">
        <v>0.1</v>
      </c>
      <c r="J132" s="586"/>
      <c r="K132" s="586">
        <v>0.5</v>
      </c>
      <c r="L132" s="586"/>
      <c r="M132" s="586">
        <v>0.1</v>
      </c>
      <c r="N132" s="420"/>
      <c r="O132" s="420"/>
      <c r="P132" s="858">
        <f t="shared" si="26"/>
        <v>1</v>
      </c>
      <c r="AA132" s="417"/>
    </row>
    <row r="133" spans="2:27">
      <c r="B133" s="2842"/>
      <c r="C133" s="2820"/>
      <c r="D133" s="818">
        <f t="shared" si="27"/>
        <v>560</v>
      </c>
      <c r="E133" s="419" t="s">
        <v>129</v>
      </c>
      <c r="F133" s="852">
        <f>+'DG-PV Organic'!AI33</f>
        <v>98000000</v>
      </c>
      <c r="G133" s="586">
        <v>1</v>
      </c>
      <c r="H133" s="586"/>
      <c r="I133" s="586"/>
      <c r="J133" s="586"/>
      <c r="K133" s="586"/>
      <c r="L133" s="586"/>
      <c r="M133" s="586"/>
      <c r="N133" s="420"/>
      <c r="O133" s="420"/>
      <c r="P133" s="858">
        <f t="shared" si="26"/>
        <v>1</v>
      </c>
      <c r="AA133" s="417"/>
    </row>
    <row r="134" spans="2:27" ht="16.5" customHeight="1">
      <c r="B134" s="2842"/>
      <c r="C134" s="2820" t="str">
        <f>+'DG-PV Organic'!B34</f>
        <v>Korea Kospack</v>
      </c>
      <c r="D134" s="851">
        <f>+'DG-PV Organic'!O34</f>
        <v>556.16</v>
      </c>
      <c r="E134" s="419" t="s">
        <v>125</v>
      </c>
      <c r="F134" s="821">
        <v>1050000000</v>
      </c>
      <c r="G134" s="420">
        <v>0.1</v>
      </c>
      <c r="H134" s="420"/>
      <c r="I134" s="420">
        <v>0.2</v>
      </c>
      <c r="J134" s="420"/>
      <c r="K134" s="420">
        <v>0.4</v>
      </c>
      <c r="L134" s="420"/>
      <c r="M134" s="420">
        <v>0.25</v>
      </c>
      <c r="N134" s="420"/>
      <c r="O134" s="420">
        <v>0.05</v>
      </c>
      <c r="P134" s="858">
        <f t="shared" si="26"/>
        <v>1</v>
      </c>
      <c r="AA134" s="417"/>
    </row>
    <row r="135" spans="2:27">
      <c r="B135" s="2842"/>
      <c r="C135" s="2820"/>
      <c r="D135" s="851">
        <f>+D134</f>
        <v>556.16</v>
      </c>
      <c r="E135" s="419" t="s">
        <v>126</v>
      </c>
      <c r="F135" s="821">
        <v>300000000</v>
      </c>
      <c r="G135" s="586">
        <v>0.3</v>
      </c>
      <c r="H135" s="586"/>
      <c r="I135" s="586">
        <v>0.1</v>
      </c>
      <c r="J135" s="586"/>
      <c r="K135" s="586">
        <v>0.5</v>
      </c>
      <c r="L135" s="586"/>
      <c r="M135" s="586">
        <v>0.1</v>
      </c>
      <c r="N135" s="420"/>
      <c r="O135" s="420"/>
      <c r="P135" s="858">
        <f t="shared" si="26"/>
        <v>1</v>
      </c>
      <c r="AA135" s="417"/>
    </row>
    <row r="136" spans="2:27">
      <c r="B136" s="2842"/>
      <c r="C136" s="2820"/>
      <c r="D136" s="851">
        <f t="shared" ref="D136:D138" si="28">+D135</f>
        <v>556.16</v>
      </c>
      <c r="E136" s="419" t="s">
        <v>286</v>
      </c>
      <c r="F136" s="852"/>
      <c r="G136" s="420"/>
      <c r="H136" s="420"/>
      <c r="I136" s="420"/>
      <c r="J136" s="420"/>
      <c r="K136" s="420"/>
      <c r="L136" s="420"/>
      <c r="M136" s="420"/>
      <c r="N136" s="420"/>
      <c r="O136" s="420"/>
      <c r="P136" s="858">
        <f t="shared" si="26"/>
        <v>0</v>
      </c>
      <c r="AA136" s="417"/>
    </row>
    <row r="137" spans="2:27">
      <c r="B137" s="2842"/>
      <c r="C137" s="2820"/>
      <c r="D137" s="818">
        <f t="shared" si="28"/>
        <v>556.16</v>
      </c>
      <c r="E137" s="419" t="s">
        <v>287</v>
      </c>
      <c r="F137" s="852">
        <v>150000000</v>
      </c>
      <c r="G137" s="586">
        <v>0.3</v>
      </c>
      <c r="H137" s="586"/>
      <c r="I137" s="586">
        <v>0.1</v>
      </c>
      <c r="J137" s="586"/>
      <c r="K137" s="586">
        <v>0.5</v>
      </c>
      <c r="L137" s="586"/>
      <c r="M137" s="586">
        <v>0.1</v>
      </c>
      <c r="N137" s="420"/>
      <c r="O137" s="420"/>
      <c r="P137" s="858">
        <f t="shared" si="26"/>
        <v>1</v>
      </c>
      <c r="AA137" s="417"/>
    </row>
    <row r="138" spans="2:27">
      <c r="B138" s="2842"/>
      <c r="C138" s="2820"/>
      <c r="D138" s="818">
        <f t="shared" si="28"/>
        <v>556.16</v>
      </c>
      <c r="E138" s="419" t="s">
        <v>129</v>
      </c>
      <c r="F138" s="852">
        <f>+'DG-PV Organic'!AI34</f>
        <v>97328000</v>
      </c>
      <c r="G138" s="586">
        <v>1</v>
      </c>
      <c r="H138" s="586"/>
      <c r="I138" s="586"/>
      <c r="J138" s="586"/>
      <c r="K138" s="586"/>
      <c r="L138" s="586"/>
      <c r="M138" s="586"/>
      <c r="N138" s="420"/>
      <c r="O138" s="420"/>
      <c r="P138" s="858">
        <f t="shared" si="26"/>
        <v>1</v>
      </c>
      <c r="AA138" s="417"/>
    </row>
    <row r="139" spans="2:27" ht="16.5" customHeight="1">
      <c r="B139" s="2842"/>
      <c r="C139" s="2820" t="str">
        <f>+'DG-PV Organic'!B35</f>
        <v>Pungcheon Im clan</v>
      </c>
      <c r="D139" s="851">
        <f>+'DG-PV Organic'!O35</f>
        <v>188.16</v>
      </c>
      <c r="E139" s="419" t="s">
        <v>125</v>
      </c>
      <c r="F139" s="821">
        <v>1050000000</v>
      </c>
      <c r="G139" s="420">
        <v>0.1</v>
      </c>
      <c r="H139" s="420"/>
      <c r="I139" s="420">
        <v>0.2</v>
      </c>
      <c r="J139" s="420"/>
      <c r="K139" s="420">
        <v>0.4</v>
      </c>
      <c r="L139" s="420"/>
      <c r="M139" s="420">
        <v>0.25</v>
      </c>
      <c r="N139" s="420"/>
      <c r="O139" s="420">
        <v>0.05</v>
      </c>
      <c r="P139" s="858">
        <f t="shared" si="26"/>
        <v>1</v>
      </c>
      <c r="AA139" s="417"/>
    </row>
    <row r="140" spans="2:27">
      <c r="B140" s="2842"/>
      <c r="C140" s="2820"/>
      <c r="D140" s="851">
        <f>+D139</f>
        <v>188.16</v>
      </c>
      <c r="E140" s="419" t="s">
        <v>126</v>
      </c>
      <c r="F140" s="821">
        <v>300000000</v>
      </c>
      <c r="G140" s="586">
        <v>0.3</v>
      </c>
      <c r="H140" s="586"/>
      <c r="I140" s="586">
        <v>0.1</v>
      </c>
      <c r="J140" s="586"/>
      <c r="K140" s="586">
        <v>0.5</v>
      </c>
      <c r="L140" s="586"/>
      <c r="M140" s="586">
        <v>0.1</v>
      </c>
      <c r="N140" s="420"/>
      <c r="O140" s="420"/>
      <c r="P140" s="858">
        <f t="shared" si="26"/>
        <v>1</v>
      </c>
      <c r="AA140" s="417"/>
    </row>
    <row r="141" spans="2:27">
      <c r="B141" s="2842"/>
      <c r="C141" s="2820"/>
      <c r="D141" s="851">
        <f t="shared" ref="D141:D143" si="29">+D140</f>
        <v>188.16</v>
      </c>
      <c r="E141" s="419" t="s">
        <v>286</v>
      </c>
      <c r="F141" s="852"/>
      <c r="G141" s="420"/>
      <c r="H141" s="420"/>
      <c r="I141" s="420"/>
      <c r="J141" s="420"/>
      <c r="K141" s="420"/>
      <c r="L141" s="420"/>
      <c r="M141" s="420"/>
      <c r="N141" s="420"/>
      <c r="O141" s="420"/>
      <c r="P141" s="858">
        <f t="shared" si="26"/>
        <v>0</v>
      </c>
      <c r="AA141" s="417"/>
    </row>
    <row r="142" spans="2:27">
      <c r="B142" s="2842"/>
      <c r="C142" s="2820"/>
      <c r="D142" s="818">
        <f t="shared" si="29"/>
        <v>188.16</v>
      </c>
      <c r="E142" s="419" t="s">
        <v>287</v>
      </c>
      <c r="F142" s="852">
        <v>150000000</v>
      </c>
      <c r="G142" s="586">
        <v>0.3</v>
      </c>
      <c r="H142" s="586"/>
      <c r="I142" s="586">
        <v>0.1</v>
      </c>
      <c r="J142" s="586"/>
      <c r="K142" s="586">
        <v>0.5</v>
      </c>
      <c r="L142" s="586"/>
      <c r="M142" s="586">
        <v>0.1</v>
      </c>
      <c r="N142" s="420"/>
      <c r="O142" s="420"/>
      <c r="P142" s="858">
        <f t="shared" si="26"/>
        <v>1</v>
      </c>
      <c r="AA142" s="417"/>
    </row>
    <row r="143" spans="2:27">
      <c r="B143" s="2842"/>
      <c r="C143" s="2820"/>
      <c r="D143" s="818">
        <f t="shared" si="29"/>
        <v>188.16</v>
      </c>
      <c r="E143" s="419" t="s">
        <v>129</v>
      </c>
      <c r="F143" s="852">
        <f>+'DG-PV Organic'!AI35</f>
        <v>32928000</v>
      </c>
      <c r="G143" s="586">
        <v>1</v>
      </c>
      <c r="H143" s="586"/>
      <c r="I143" s="586"/>
      <c r="J143" s="586"/>
      <c r="K143" s="586"/>
      <c r="L143" s="586"/>
      <c r="M143" s="586"/>
      <c r="N143" s="420"/>
      <c r="O143" s="420"/>
      <c r="P143" s="858">
        <f t="shared" si="26"/>
        <v>1</v>
      </c>
      <c r="AA143" s="417"/>
    </row>
    <row r="144" spans="2:27">
      <c r="B144" s="2842"/>
      <c r="C144" s="2832" t="str">
        <f>+'DG-PV Organic'!B38</f>
        <v>Guemjeong Techno</v>
      </c>
      <c r="D144" s="868">
        <f>+'DG-PV Organic'!O38</f>
        <v>122</v>
      </c>
      <c r="E144" s="419" t="s">
        <v>125</v>
      </c>
      <c r="F144" s="821">
        <v>1050000000</v>
      </c>
      <c r="G144" s="570">
        <v>0.1</v>
      </c>
      <c r="H144" s="570"/>
      <c r="I144" s="570">
        <v>0.2</v>
      </c>
      <c r="J144" s="570"/>
      <c r="K144" s="570">
        <v>0.4</v>
      </c>
      <c r="L144" s="570"/>
      <c r="M144" s="570">
        <v>0.25</v>
      </c>
      <c r="N144" s="570"/>
      <c r="O144" s="570">
        <v>0.05</v>
      </c>
      <c r="P144" s="870">
        <f t="shared" ref="P144:P153" si="30">SUM(G144:O144)</f>
        <v>1</v>
      </c>
      <c r="AA144" s="417"/>
    </row>
    <row r="145" spans="2:27">
      <c r="B145" s="2842"/>
      <c r="C145" s="2832"/>
      <c r="D145" s="868">
        <f>+D144</f>
        <v>122</v>
      </c>
      <c r="E145" s="419" t="s">
        <v>126</v>
      </c>
      <c r="F145" s="821">
        <v>300000000</v>
      </c>
      <c r="G145" s="586">
        <v>0.3</v>
      </c>
      <c r="H145" s="586"/>
      <c r="I145" s="586">
        <v>0.1</v>
      </c>
      <c r="J145" s="586"/>
      <c r="K145" s="586">
        <v>0.5</v>
      </c>
      <c r="L145" s="586"/>
      <c r="M145" s="586">
        <v>0.1</v>
      </c>
      <c r="N145" s="570"/>
      <c r="O145" s="570"/>
      <c r="P145" s="870">
        <f t="shared" si="30"/>
        <v>1</v>
      </c>
      <c r="AA145" s="417"/>
    </row>
    <row r="146" spans="2:27">
      <c r="B146" s="2842"/>
      <c r="C146" s="2832"/>
      <c r="D146" s="868">
        <f>+D145</f>
        <v>122</v>
      </c>
      <c r="E146" s="419" t="s">
        <v>286</v>
      </c>
      <c r="F146" s="852"/>
      <c r="G146" s="570"/>
      <c r="H146" s="570"/>
      <c r="I146" s="570"/>
      <c r="J146" s="570"/>
      <c r="K146" s="570"/>
      <c r="L146" s="570"/>
      <c r="M146" s="570"/>
      <c r="N146" s="570"/>
      <c r="O146" s="570"/>
      <c r="P146" s="870">
        <f t="shared" si="30"/>
        <v>0</v>
      </c>
      <c r="AA146" s="417"/>
    </row>
    <row r="147" spans="2:27">
      <c r="B147" s="2842"/>
      <c r="C147" s="2832"/>
      <c r="D147" s="818">
        <f>+D146</f>
        <v>122</v>
      </c>
      <c r="E147" s="419" t="s">
        <v>287</v>
      </c>
      <c r="F147" s="852">
        <v>150000000</v>
      </c>
      <c r="G147" s="586">
        <v>0.3</v>
      </c>
      <c r="H147" s="586"/>
      <c r="I147" s="586">
        <v>0.1</v>
      </c>
      <c r="J147" s="586"/>
      <c r="K147" s="586">
        <v>0.5</v>
      </c>
      <c r="L147" s="586"/>
      <c r="M147" s="586">
        <v>0.1</v>
      </c>
      <c r="N147" s="570"/>
      <c r="O147" s="570"/>
      <c r="P147" s="870">
        <f t="shared" si="30"/>
        <v>1</v>
      </c>
      <c r="AA147" s="417"/>
    </row>
    <row r="148" spans="2:27">
      <c r="B148" s="2842"/>
      <c r="C148" s="2832"/>
      <c r="D148" s="818">
        <f>+D147</f>
        <v>122</v>
      </c>
      <c r="E148" s="419" t="s">
        <v>129</v>
      </c>
      <c r="F148" s="852">
        <f>+'DG-PV Organic'!AI38</f>
        <v>21350000</v>
      </c>
      <c r="G148" s="586">
        <v>1</v>
      </c>
      <c r="H148" s="586"/>
      <c r="I148" s="586"/>
      <c r="J148" s="586"/>
      <c r="K148" s="586"/>
      <c r="L148" s="586"/>
      <c r="M148" s="586"/>
      <c r="N148" s="570"/>
      <c r="O148" s="570"/>
      <c r="P148" s="870">
        <f t="shared" si="30"/>
        <v>1</v>
      </c>
      <c r="AA148" s="417"/>
    </row>
    <row r="149" spans="2:27">
      <c r="B149" s="2842"/>
      <c r="C149" s="2832" t="str">
        <f>+'DG-PV Organic'!B39</f>
        <v>Epyeonan nursing home</v>
      </c>
      <c r="D149" s="868">
        <f>+'DG-PV Organic'!O39</f>
        <v>172</v>
      </c>
      <c r="E149" s="419" t="s">
        <v>125</v>
      </c>
      <c r="F149" s="821">
        <v>1050000000</v>
      </c>
      <c r="G149" s="570">
        <v>0.1</v>
      </c>
      <c r="H149" s="570"/>
      <c r="I149" s="570">
        <v>0.2</v>
      </c>
      <c r="J149" s="570"/>
      <c r="K149" s="570">
        <v>0.4</v>
      </c>
      <c r="L149" s="570"/>
      <c r="M149" s="570">
        <v>0.25</v>
      </c>
      <c r="N149" s="570"/>
      <c r="O149" s="570">
        <v>0.05</v>
      </c>
      <c r="P149" s="870">
        <f t="shared" si="30"/>
        <v>1</v>
      </c>
      <c r="AA149" s="417"/>
    </row>
    <row r="150" spans="2:27">
      <c r="B150" s="2842"/>
      <c r="C150" s="2832"/>
      <c r="D150" s="868">
        <f>+D149</f>
        <v>172</v>
      </c>
      <c r="E150" s="419" t="s">
        <v>126</v>
      </c>
      <c r="F150" s="821">
        <v>300000000</v>
      </c>
      <c r="G150" s="586">
        <v>0.3</v>
      </c>
      <c r="H150" s="586"/>
      <c r="I150" s="586">
        <v>0.1</v>
      </c>
      <c r="J150" s="586"/>
      <c r="K150" s="586">
        <v>0.5</v>
      </c>
      <c r="L150" s="586"/>
      <c r="M150" s="586">
        <v>0.1</v>
      </c>
      <c r="N150" s="570"/>
      <c r="O150" s="570"/>
      <c r="P150" s="870">
        <f t="shared" si="30"/>
        <v>1</v>
      </c>
      <c r="AA150" s="417"/>
    </row>
    <row r="151" spans="2:27">
      <c r="B151" s="2842"/>
      <c r="C151" s="2832"/>
      <c r="D151" s="868">
        <f>+D150</f>
        <v>172</v>
      </c>
      <c r="E151" s="419" t="s">
        <v>286</v>
      </c>
      <c r="F151" s="852"/>
      <c r="G151" s="570"/>
      <c r="H151" s="570"/>
      <c r="I151" s="570"/>
      <c r="J151" s="570"/>
      <c r="K151" s="570"/>
      <c r="L151" s="570"/>
      <c r="M151" s="570"/>
      <c r="N151" s="570"/>
      <c r="O151" s="570"/>
      <c r="P151" s="870">
        <f t="shared" si="30"/>
        <v>0</v>
      </c>
      <c r="AA151" s="417"/>
    </row>
    <row r="152" spans="2:27">
      <c r="B152" s="2842"/>
      <c r="C152" s="2832"/>
      <c r="D152" s="818">
        <f>+D151</f>
        <v>172</v>
      </c>
      <c r="E152" s="419" t="s">
        <v>287</v>
      </c>
      <c r="F152" s="852">
        <v>150000000</v>
      </c>
      <c r="G152" s="586">
        <v>0.3</v>
      </c>
      <c r="H152" s="586"/>
      <c r="I152" s="586">
        <v>0.1</v>
      </c>
      <c r="J152" s="586"/>
      <c r="K152" s="586">
        <v>0.5</v>
      </c>
      <c r="L152" s="586"/>
      <c r="M152" s="586">
        <v>0.1</v>
      </c>
      <c r="N152" s="570"/>
      <c r="O152" s="570"/>
      <c r="P152" s="870">
        <f t="shared" si="30"/>
        <v>1</v>
      </c>
      <c r="AA152" s="417"/>
    </row>
    <row r="153" spans="2:27">
      <c r="B153" s="2842"/>
      <c r="C153" s="2832"/>
      <c r="D153" s="818">
        <f>+D152</f>
        <v>172</v>
      </c>
      <c r="E153" s="419" t="s">
        <v>129</v>
      </c>
      <c r="F153" s="852">
        <f>+'DG-PV Organic'!AI39</f>
        <v>30100000</v>
      </c>
      <c r="G153" s="586">
        <v>1</v>
      </c>
      <c r="H153" s="586"/>
      <c r="I153" s="586"/>
      <c r="J153" s="586"/>
      <c r="K153" s="586"/>
      <c r="L153" s="586"/>
      <c r="M153" s="586"/>
      <c r="N153" s="570"/>
      <c r="O153" s="570"/>
      <c r="P153" s="870">
        <f t="shared" si="30"/>
        <v>1</v>
      </c>
      <c r="AA153" s="417"/>
    </row>
    <row r="154" spans="2:27">
      <c r="B154" s="2842"/>
      <c r="C154" s="2820"/>
      <c r="D154" s="851"/>
      <c r="E154" s="419" t="s">
        <v>125</v>
      </c>
      <c r="F154" s="821">
        <v>1050000000</v>
      </c>
      <c r="G154" s="420">
        <v>0.1</v>
      </c>
      <c r="H154" s="420"/>
      <c r="I154" s="420">
        <v>0.2</v>
      </c>
      <c r="J154" s="420"/>
      <c r="K154" s="420">
        <v>0.4</v>
      </c>
      <c r="L154" s="420"/>
      <c r="M154" s="420">
        <v>0.25</v>
      </c>
      <c r="N154" s="420"/>
      <c r="O154" s="420">
        <v>0.05</v>
      </c>
      <c r="P154" s="858">
        <f t="shared" ref="P154:P158" si="31">SUM(G154:O154)</f>
        <v>1</v>
      </c>
      <c r="AA154" s="417"/>
    </row>
    <row r="155" spans="2:27">
      <c r="B155" s="2842"/>
      <c r="C155" s="2820"/>
      <c r="D155" s="851">
        <f>+D154</f>
        <v>0</v>
      </c>
      <c r="E155" s="419" t="s">
        <v>126</v>
      </c>
      <c r="F155" s="821">
        <v>300000000</v>
      </c>
      <c r="G155" s="586">
        <v>0.3</v>
      </c>
      <c r="H155" s="586"/>
      <c r="I155" s="586">
        <v>0.1</v>
      </c>
      <c r="J155" s="586"/>
      <c r="K155" s="586">
        <v>0.5</v>
      </c>
      <c r="L155" s="586"/>
      <c r="M155" s="586">
        <v>0.1</v>
      </c>
      <c r="N155" s="420"/>
      <c r="O155" s="420"/>
      <c r="P155" s="858">
        <f t="shared" si="31"/>
        <v>1</v>
      </c>
      <c r="AA155" s="417"/>
    </row>
    <row r="156" spans="2:27">
      <c r="B156" s="2842"/>
      <c r="C156" s="2820"/>
      <c r="D156" s="851">
        <f t="shared" ref="D156:D158" si="32">+D155</f>
        <v>0</v>
      </c>
      <c r="E156" s="419" t="s">
        <v>286</v>
      </c>
      <c r="F156" s="852">
        <v>150000000</v>
      </c>
      <c r="G156" s="420"/>
      <c r="H156" s="420"/>
      <c r="I156" s="420"/>
      <c r="J156" s="420"/>
      <c r="K156" s="420"/>
      <c r="L156" s="420"/>
      <c r="M156" s="420"/>
      <c r="N156" s="420"/>
      <c r="O156" s="420"/>
      <c r="P156" s="858">
        <f t="shared" si="31"/>
        <v>0</v>
      </c>
      <c r="AA156" s="417"/>
    </row>
    <row r="157" spans="2:27">
      <c r="B157" s="2842"/>
      <c r="C157" s="2820"/>
      <c r="D157" s="818">
        <f t="shared" si="32"/>
        <v>0</v>
      </c>
      <c r="E157" s="419" t="s">
        <v>287</v>
      </c>
      <c r="F157" s="822"/>
      <c r="G157" s="586">
        <v>0.3</v>
      </c>
      <c r="H157" s="586"/>
      <c r="I157" s="586">
        <v>0.1</v>
      </c>
      <c r="J157" s="586"/>
      <c r="K157" s="586">
        <v>0.5</v>
      </c>
      <c r="L157" s="586"/>
      <c r="M157" s="586">
        <v>0.1</v>
      </c>
      <c r="N157" s="420"/>
      <c r="O157" s="420"/>
      <c r="P157" s="858">
        <f t="shared" si="31"/>
        <v>1</v>
      </c>
      <c r="AA157" s="417"/>
    </row>
    <row r="158" spans="2:27" ht="17.25" thickBot="1">
      <c r="B158" s="2843"/>
      <c r="C158" s="2844"/>
      <c r="D158" s="585">
        <f t="shared" si="32"/>
        <v>0</v>
      </c>
      <c r="E158" s="426" t="s">
        <v>129</v>
      </c>
      <c r="F158" s="824"/>
      <c r="G158" s="584">
        <v>1</v>
      </c>
      <c r="H158" s="584"/>
      <c r="I158" s="584"/>
      <c r="J158" s="584"/>
      <c r="K158" s="584"/>
      <c r="L158" s="584"/>
      <c r="M158" s="584"/>
      <c r="N158" s="427"/>
      <c r="O158" s="427"/>
      <c r="P158" s="859">
        <f t="shared" si="31"/>
        <v>1</v>
      </c>
      <c r="AA158" s="417"/>
    </row>
    <row r="159" spans="2:27">
      <c r="B159" s="2834" t="s">
        <v>290</v>
      </c>
      <c r="C159" s="2837" t="s">
        <v>1334</v>
      </c>
      <c r="D159" s="1520">
        <f>+'DG-PV Organic'!O13</f>
        <v>3065.3</v>
      </c>
      <c r="E159" s="854" t="s">
        <v>125</v>
      </c>
      <c r="F159" s="855">
        <v>1050000000</v>
      </c>
      <c r="G159" s="856">
        <v>0.1</v>
      </c>
      <c r="H159" s="856"/>
      <c r="I159" s="856">
        <v>0.2</v>
      </c>
      <c r="J159" s="856"/>
      <c r="K159" s="856">
        <v>0.4</v>
      </c>
      <c r="L159" s="856"/>
      <c r="M159" s="856">
        <v>0.25</v>
      </c>
      <c r="N159" s="856"/>
      <c r="O159" s="856">
        <v>0.05</v>
      </c>
      <c r="P159" s="857">
        <f t="shared" ref="P159:P193" si="33">SUM(G159:O159)</f>
        <v>1</v>
      </c>
      <c r="AA159" s="417"/>
    </row>
    <row r="160" spans="2:27">
      <c r="B160" s="2835"/>
      <c r="C160" s="2820"/>
      <c r="D160" s="1521">
        <f>+D159</f>
        <v>3065.3</v>
      </c>
      <c r="E160" s="419" t="s">
        <v>126</v>
      </c>
      <c r="F160" s="821">
        <v>300000000</v>
      </c>
      <c r="G160" s="420">
        <v>0.2</v>
      </c>
      <c r="H160" s="420"/>
      <c r="I160" s="420">
        <v>0.2</v>
      </c>
      <c r="J160" s="420"/>
      <c r="K160" s="420">
        <v>0.5</v>
      </c>
      <c r="L160" s="420"/>
      <c r="M160" s="420">
        <v>0.1</v>
      </c>
      <c r="N160" s="420"/>
      <c r="O160" s="420"/>
      <c r="P160" s="858">
        <f t="shared" si="33"/>
        <v>1</v>
      </c>
      <c r="AA160" s="417"/>
    </row>
    <row r="161" spans="2:27">
      <c r="B161" s="2835"/>
      <c r="C161" s="2820"/>
      <c r="D161" s="1521">
        <f t="shared" ref="D161:D163" si="34">+D160</f>
        <v>3065.3</v>
      </c>
      <c r="E161" s="419" t="s">
        <v>286</v>
      </c>
      <c r="F161" s="821"/>
      <c r="G161" s="420"/>
      <c r="H161" s="420"/>
      <c r="I161" s="420"/>
      <c r="J161" s="420"/>
      <c r="K161" s="420"/>
      <c r="L161" s="420"/>
      <c r="M161" s="420"/>
      <c r="N161" s="420"/>
      <c r="O161" s="420"/>
      <c r="P161" s="858">
        <f t="shared" si="33"/>
        <v>0</v>
      </c>
      <c r="AA161" s="417"/>
    </row>
    <row r="162" spans="2:27" ht="17.25" customHeight="1">
      <c r="B162" s="2835"/>
      <c r="C162" s="2820"/>
      <c r="D162" s="1521">
        <f t="shared" si="34"/>
        <v>3065.3</v>
      </c>
      <c r="E162" s="419" t="s">
        <v>287</v>
      </c>
      <c r="F162" s="821">
        <v>200000000</v>
      </c>
      <c r="G162" s="420">
        <v>0.2</v>
      </c>
      <c r="H162" s="420"/>
      <c r="I162" s="420">
        <v>0.2</v>
      </c>
      <c r="J162" s="420"/>
      <c r="K162" s="420">
        <v>0.5</v>
      </c>
      <c r="L162" s="420"/>
      <c r="M162" s="420">
        <v>0.1</v>
      </c>
      <c r="N162" s="420"/>
      <c r="O162" s="420"/>
      <c r="P162" s="858">
        <f t="shared" si="33"/>
        <v>1</v>
      </c>
      <c r="AA162" s="417"/>
    </row>
    <row r="163" spans="2:27" ht="17.25" customHeight="1">
      <c r="B163" s="2835"/>
      <c r="C163" s="2820"/>
      <c r="D163" s="1521">
        <f t="shared" si="34"/>
        <v>3065.3</v>
      </c>
      <c r="E163" s="419" t="s">
        <v>129</v>
      </c>
      <c r="F163" s="852">
        <f>+'DG-PV Organic'!AI13</f>
        <v>613060000</v>
      </c>
      <c r="G163" s="586">
        <v>1</v>
      </c>
      <c r="H163" s="586"/>
      <c r="I163" s="586"/>
      <c r="J163" s="586"/>
      <c r="K163" s="586"/>
      <c r="L163" s="586"/>
      <c r="M163" s="586"/>
      <c r="N163" s="420"/>
      <c r="O163" s="420"/>
      <c r="P163" s="858">
        <f t="shared" si="33"/>
        <v>1</v>
      </c>
      <c r="AA163" s="417"/>
    </row>
    <row r="164" spans="2:27">
      <c r="B164" s="2835"/>
      <c r="C164" s="2820" t="s">
        <v>603</v>
      </c>
      <c r="D164" s="851">
        <v>150</v>
      </c>
      <c r="E164" s="419" t="s">
        <v>125</v>
      </c>
      <c r="F164" s="821">
        <v>1050000000</v>
      </c>
      <c r="G164" s="420">
        <v>0.1</v>
      </c>
      <c r="H164" s="420"/>
      <c r="I164" s="420">
        <v>0.2</v>
      </c>
      <c r="J164" s="420"/>
      <c r="K164" s="420">
        <v>0.4</v>
      </c>
      <c r="L164" s="420"/>
      <c r="M164" s="420">
        <v>0.25</v>
      </c>
      <c r="N164" s="420"/>
      <c r="O164" s="420">
        <v>0.05</v>
      </c>
      <c r="P164" s="858">
        <f t="shared" si="33"/>
        <v>1</v>
      </c>
      <c r="AA164" s="417"/>
    </row>
    <row r="165" spans="2:27">
      <c r="B165" s="2835"/>
      <c r="C165" s="2820"/>
      <c r="D165" s="818">
        <v>150</v>
      </c>
      <c r="E165" s="419" t="s">
        <v>126</v>
      </c>
      <c r="F165" s="821">
        <v>300000000</v>
      </c>
      <c r="G165" s="420">
        <v>0.2</v>
      </c>
      <c r="H165" s="420"/>
      <c r="I165" s="420">
        <v>0.2</v>
      </c>
      <c r="J165" s="420"/>
      <c r="K165" s="420">
        <v>0.5</v>
      </c>
      <c r="L165" s="420"/>
      <c r="M165" s="420">
        <v>0.1</v>
      </c>
      <c r="N165" s="420"/>
      <c r="O165" s="420"/>
      <c r="P165" s="858">
        <f t="shared" si="33"/>
        <v>1</v>
      </c>
      <c r="AA165" s="417"/>
    </row>
    <row r="166" spans="2:27">
      <c r="B166" s="2835"/>
      <c r="C166" s="2820"/>
      <c r="D166" s="818">
        <v>150</v>
      </c>
      <c r="E166" s="419" t="s">
        <v>286</v>
      </c>
      <c r="F166" s="821"/>
      <c r="G166" s="420"/>
      <c r="H166" s="420"/>
      <c r="I166" s="420"/>
      <c r="J166" s="420"/>
      <c r="K166" s="420"/>
      <c r="L166" s="420"/>
      <c r="M166" s="420"/>
      <c r="N166" s="420"/>
      <c r="O166" s="420"/>
      <c r="P166" s="858">
        <f t="shared" si="33"/>
        <v>0</v>
      </c>
      <c r="AA166" s="417"/>
    </row>
    <row r="167" spans="2:27" ht="17.25" customHeight="1">
      <c r="B167" s="2835"/>
      <c r="C167" s="2820"/>
      <c r="D167" s="818">
        <v>150</v>
      </c>
      <c r="E167" s="419" t="s">
        <v>287</v>
      </c>
      <c r="F167" s="821">
        <v>200000000</v>
      </c>
      <c r="G167" s="420">
        <v>0.2</v>
      </c>
      <c r="H167" s="420"/>
      <c r="I167" s="420">
        <v>0.2</v>
      </c>
      <c r="J167" s="420"/>
      <c r="K167" s="420">
        <v>0.5</v>
      </c>
      <c r="L167" s="420"/>
      <c r="M167" s="420">
        <v>0.1</v>
      </c>
      <c r="N167" s="420"/>
      <c r="O167" s="420"/>
      <c r="P167" s="858">
        <f t="shared" si="33"/>
        <v>1</v>
      </c>
      <c r="AA167" s="417"/>
    </row>
    <row r="168" spans="2:27" ht="17.25" customHeight="1">
      <c r="B168" s="2835"/>
      <c r="C168" s="2820"/>
      <c r="D168" s="818">
        <f>+D167</f>
        <v>150</v>
      </c>
      <c r="E168" s="419" t="s">
        <v>129</v>
      </c>
      <c r="F168" s="852">
        <f>+'DG-PV Organic'!AI17</f>
        <v>30000000</v>
      </c>
      <c r="G168" s="586">
        <v>1</v>
      </c>
      <c r="H168" s="586"/>
      <c r="I168" s="586"/>
      <c r="J168" s="586"/>
      <c r="K168" s="586"/>
      <c r="L168" s="586"/>
      <c r="M168" s="586"/>
      <c r="N168" s="420"/>
      <c r="O168" s="420"/>
      <c r="P168" s="858">
        <f t="shared" si="33"/>
        <v>1</v>
      </c>
      <c r="AA168" s="417"/>
    </row>
    <row r="169" spans="2:27">
      <c r="B169" s="2835"/>
      <c r="C169" s="2820" t="s">
        <v>1335</v>
      </c>
      <c r="D169" s="425">
        <v>144.15</v>
      </c>
      <c r="E169" s="419" t="s">
        <v>125</v>
      </c>
      <c r="F169" s="821">
        <v>1050000000</v>
      </c>
      <c r="G169" s="420">
        <v>0.1</v>
      </c>
      <c r="H169" s="420"/>
      <c r="I169" s="420">
        <v>0.2</v>
      </c>
      <c r="J169" s="420"/>
      <c r="K169" s="420">
        <v>0.4</v>
      </c>
      <c r="L169" s="420"/>
      <c r="M169" s="420">
        <v>0.25</v>
      </c>
      <c r="N169" s="420"/>
      <c r="O169" s="420">
        <v>0.05</v>
      </c>
      <c r="P169" s="858">
        <f t="shared" si="33"/>
        <v>1</v>
      </c>
      <c r="AA169" s="417"/>
    </row>
    <row r="170" spans="2:27">
      <c r="B170" s="2835"/>
      <c r="C170" s="2820"/>
      <c r="D170" s="418">
        <v>144.15</v>
      </c>
      <c r="E170" s="419" t="s">
        <v>126</v>
      </c>
      <c r="F170" s="821">
        <v>300000000</v>
      </c>
      <c r="G170" s="420">
        <v>0.2</v>
      </c>
      <c r="H170" s="420"/>
      <c r="I170" s="420">
        <v>0.2</v>
      </c>
      <c r="J170" s="420"/>
      <c r="K170" s="420">
        <v>0.5</v>
      </c>
      <c r="L170" s="420"/>
      <c r="M170" s="420">
        <v>0.1</v>
      </c>
      <c r="N170" s="420"/>
      <c r="O170" s="420"/>
      <c r="P170" s="858">
        <f t="shared" si="33"/>
        <v>1</v>
      </c>
      <c r="AA170" s="417"/>
    </row>
    <row r="171" spans="2:27">
      <c r="B171" s="2835"/>
      <c r="C171" s="2820"/>
      <c r="D171" s="418">
        <v>144.15</v>
      </c>
      <c r="E171" s="419" t="s">
        <v>286</v>
      </c>
      <c r="F171" s="821"/>
      <c r="G171" s="420"/>
      <c r="H171" s="420"/>
      <c r="I171" s="420"/>
      <c r="J171" s="420"/>
      <c r="K171" s="420"/>
      <c r="L171" s="420"/>
      <c r="M171" s="420"/>
      <c r="N171" s="420"/>
      <c r="O171" s="420"/>
      <c r="P171" s="858">
        <f t="shared" si="33"/>
        <v>0</v>
      </c>
      <c r="AA171" s="417"/>
    </row>
    <row r="172" spans="2:27" ht="17.25" customHeight="1">
      <c r="B172" s="2835"/>
      <c r="C172" s="2820"/>
      <c r="D172" s="418">
        <v>144.15</v>
      </c>
      <c r="E172" s="419" t="s">
        <v>287</v>
      </c>
      <c r="F172" s="821">
        <v>200000000</v>
      </c>
      <c r="G172" s="420">
        <v>0.2</v>
      </c>
      <c r="H172" s="420"/>
      <c r="I172" s="420">
        <v>0.2</v>
      </c>
      <c r="J172" s="420"/>
      <c r="K172" s="420">
        <v>0.5</v>
      </c>
      <c r="L172" s="420"/>
      <c r="M172" s="420">
        <v>0.1</v>
      </c>
      <c r="N172" s="420"/>
      <c r="O172" s="420"/>
      <c r="P172" s="858">
        <f t="shared" si="33"/>
        <v>1</v>
      </c>
      <c r="AA172" s="417"/>
    </row>
    <row r="173" spans="2:27" ht="17.25" customHeight="1">
      <c r="B173" s="2835"/>
      <c r="C173" s="2820"/>
      <c r="D173" s="818">
        <f>+D172</f>
        <v>144.15</v>
      </c>
      <c r="E173" s="419" t="s">
        <v>129</v>
      </c>
      <c r="F173" s="852">
        <f>+'DG-PV Organic'!AI7</f>
        <v>28830000</v>
      </c>
      <c r="G173" s="586">
        <v>1</v>
      </c>
      <c r="H173" s="586"/>
      <c r="I173" s="586"/>
      <c r="J173" s="586"/>
      <c r="K173" s="586"/>
      <c r="L173" s="586"/>
      <c r="M173" s="586"/>
      <c r="N173" s="420"/>
      <c r="O173" s="420"/>
      <c r="P173" s="858">
        <f t="shared" si="33"/>
        <v>1</v>
      </c>
      <c r="AA173" s="417"/>
    </row>
    <row r="174" spans="2:27">
      <c r="B174" s="2835"/>
      <c r="C174" s="2820" t="s">
        <v>544</v>
      </c>
      <c r="D174" s="425">
        <v>138.43</v>
      </c>
      <c r="E174" s="419" t="s">
        <v>125</v>
      </c>
      <c r="F174" s="821">
        <v>1050000000</v>
      </c>
      <c r="G174" s="420">
        <v>0.1</v>
      </c>
      <c r="H174" s="420"/>
      <c r="I174" s="420">
        <v>0.2</v>
      </c>
      <c r="J174" s="420"/>
      <c r="K174" s="420">
        <v>0.4</v>
      </c>
      <c r="L174" s="420"/>
      <c r="M174" s="420">
        <v>0.25</v>
      </c>
      <c r="N174" s="420"/>
      <c r="O174" s="420">
        <v>0.05</v>
      </c>
      <c r="P174" s="858">
        <f t="shared" si="33"/>
        <v>1</v>
      </c>
      <c r="AA174" s="417"/>
    </row>
    <row r="175" spans="2:27">
      <c r="B175" s="2835"/>
      <c r="C175" s="2820"/>
      <c r="D175" s="418">
        <v>138.43</v>
      </c>
      <c r="E175" s="419" t="s">
        <v>126</v>
      </c>
      <c r="F175" s="821">
        <v>300000000</v>
      </c>
      <c r="G175" s="420">
        <v>0.2</v>
      </c>
      <c r="H175" s="420"/>
      <c r="I175" s="420">
        <v>0.2</v>
      </c>
      <c r="J175" s="420"/>
      <c r="K175" s="420">
        <v>0.5</v>
      </c>
      <c r="L175" s="420"/>
      <c r="M175" s="420">
        <v>0.1</v>
      </c>
      <c r="N175" s="420"/>
      <c r="O175" s="420"/>
      <c r="P175" s="858">
        <f t="shared" si="33"/>
        <v>1</v>
      </c>
      <c r="AA175" s="417"/>
    </row>
    <row r="176" spans="2:27">
      <c r="B176" s="2835"/>
      <c r="C176" s="2820"/>
      <c r="D176" s="418">
        <v>138.43</v>
      </c>
      <c r="E176" s="419" t="s">
        <v>286</v>
      </c>
      <c r="F176" s="821"/>
      <c r="G176" s="420"/>
      <c r="H176" s="420"/>
      <c r="I176" s="420"/>
      <c r="J176" s="420"/>
      <c r="K176" s="420"/>
      <c r="L176" s="420"/>
      <c r="M176" s="420"/>
      <c r="N176" s="420"/>
      <c r="O176" s="420"/>
      <c r="P176" s="858">
        <f t="shared" si="33"/>
        <v>0</v>
      </c>
      <c r="AA176" s="417"/>
    </row>
    <row r="177" spans="2:27" ht="17.25" customHeight="1">
      <c r="B177" s="2835"/>
      <c r="C177" s="2820"/>
      <c r="D177" s="418">
        <v>138.43</v>
      </c>
      <c r="E177" s="419" t="s">
        <v>287</v>
      </c>
      <c r="F177" s="821">
        <v>200000000</v>
      </c>
      <c r="G177" s="420">
        <v>0.2</v>
      </c>
      <c r="H177" s="420"/>
      <c r="I177" s="420">
        <v>0.2</v>
      </c>
      <c r="J177" s="420"/>
      <c r="K177" s="420">
        <v>0.5</v>
      </c>
      <c r="L177" s="420"/>
      <c r="M177" s="420">
        <v>0.1</v>
      </c>
      <c r="N177" s="420"/>
      <c r="O177" s="420"/>
      <c r="P177" s="858">
        <f t="shared" si="33"/>
        <v>1</v>
      </c>
      <c r="AA177" s="417"/>
    </row>
    <row r="178" spans="2:27" ht="17.25" customHeight="1">
      <c r="B178" s="2835"/>
      <c r="C178" s="2820"/>
      <c r="D178" s="818">
        <f>+D177</f>
        <v>138.43</v>
      </c>
      <c r="E178" s="419" t="s">
        <v>129</v>
      </c>
      <c r="F178" s="852">
        <f>+'DG-PV Organic'!AI8</f>
        <v>27686000</v>
      </c>
      <c r="G178" s="586">
        <v>1</v>
      </c>
      <c r="H178" s="586"/>
      <c r="I178" s="586"/>
      <c r="J178" s="586"/>
      <c r="K178" s="586"/>
      <c r="L178" s="586"/>
      <c r="M178" s="586"/>
      <c r="N178" s="420"/>
      <c r="O178" s="420"/>
      <c r="P178" s="858">
        <f t="shared" si="33"/>
        <v>1</v>
      </c>
      <c r="AA178" s="417"/>
    </row>
    <row r="179" spans="2:27">
      <c r="B179" s="2835"/>
      <c r="C179" s="2820" t="s">
        <v>1336</v>
      </c>
      <c r="D179" s="416">
        <v>319.2</v>
      </c>
      <c r="E179" s="419" t="s">
        <v>125</v>
      </c>
      <c r="F179" s="1512">
        <v>1050000000</v>
      </c>
      <c r="G179" s="420">
        <v>0.1</v>
      </c>
      <c r="H179" s="420"/>
      <c r="I179" s="420">
        <v>0.2</v>
      </c>
      <c r="J179" s="420"/>
      <c r="K179" s="420">
        <v>0.4</v>
      </c>
      <c r="L179" s="420"/>
      <c r="M179" s="420">
        <v>0.25</v>
      </c>
      <c r="N179" s="420"/>
      <c r="O179" s="420">
        <v>0.05</v>
      </c>
      <c r="P179" s="858">
        <f t="shared" si="33"/>
        <v>1</v>
      </c>
      <c r="AA179" s="417"/>
    </row>
    <row r="180" spans="2:27">
      <c r="B180" s="2835"/>
      <c r="C180" s="2820"/>
      <c r="D180" s="416">
        <v>319.2</v>
      </c>
      <c r="E180" s="419" t="s">
        <v>126</v>
      </c>
      <c r="F180" s="1512">
        <v>300000000</v>
      </c>
      <c r="G180" s="420">
        <v>0.2</v>
      </c>
      <c r="H180" s="420"/>
      <c r="I180" s="420">
        <v>0.2</v>
      </c>
      <c r="J180" s="420"/>
      <c r="K180" s="420">
        <v>0.5</v>
      </c>
      <c r="L180" s="420"/>
      <c r="M180" s="420">
        <v>0.1</v>
      </c>
      <c r="N180" s="420"/>
      <c r="O180" s="420"/>
      <c r="P180" s="858">
        <f t="shared" si="33"/>
        <v>1</v>
      </c>
      <c r="AA180" s="417"/>
    </row>
    <row r="181" spans="2:27">
      <c r="B181" s="2835"/>
      <c r="C181" s="2820"/>
      <c r="D181" s="416">
        <v>319.2</v>
      </c>
      <c r="E181" s="419" t="s">
        <v>286</v>
      </c>
      <c r="F181" s="1512"/>
      <c r="G181" s="420"/>
      <c r="H181" s="420"/>
      <c r="I181" s="420"/>
      <c r="J181" s="420"/>
      <c r="K181" s="420"/>
      <c r="L181" s="420"/>
      <c r="M181" s="420"/>
      <c r="N181" s="420"/>
      <c r="O181" s="420"/>
      <c r="P181" s="858">
        <f t="shared" si="33"/>
        <v>0</v>
      </c>
      <c r="AA181" s="417"/>
    </row>
    <row r="182" spans="2:27" ht="17.25" customHeight="1">
      <c r="B182" s="2835"/>
      <c r="C182" s="2820"/>
      <c r="D182" s="416">
        <v>319.2</v>
      </c>
      <c r="E182" s="419" t="s">
        <v>287</v>
      </c>
      <c r="F182" s="1512">
        <v>200000000</v>
      </c>
      <c r="G182" s="420">
        <v>0.2</v>
      </c>
      <c r="H182" s="420"/>
      <c r="I182" s="420">
        <v>0.2</v>
      </c>
      <c r="J182" s="420"/>
      <c r="K182" s="420">
        <v>0.5</v>
      </c>
      <c r="L182" s="420"/>
      <c r="M182" s="420">
        <v>0.1</v>
      </c>
      <c r="N182" s="420"/>
      <c r="O182" s="420"/>
      <c r="P182" s="858">
        <f t="shared" si="33"/>
        <v>1</v>
      </c>
      <c r="AA182" s="417"/>
    </row>
    <row r="183" spans="2:27" ht="17.25" customHeight="1">
      <c r="B183" s="2835"/>
      <c r="C183" s="2820"/>
      <c r="D183" s="818">
        <f>+D182</f>
        <v>319.2</v>
      </c>
      <c r="E183" s="419" t="s">
        <v>129</v>
      </c>
      <c r="F183" s="1513">
        <f>+'DG-PV Organic'!AI3</f>
        <v>89376000</v>
      </c>
      <c r="G183" s="586">
        <v>1</v>
      </c>
      <c r="H183" s="586"/>
      <c r="I183" s="586"/>
      <c r="J183" s="586"/>
      <c r="K183" s="586"/>
      <c r="L183" s="586"/>
      <c r="M183" s="586"/>
      <c r="N183" s="420"/>
      <c r="O183" s="420"/>
      <c r="P183" s="858">
        <f t="shared" si="33"/>
        <v>1</v>
      </c>
      <c r="AA183" s="417"/>
    </row>
    <row r="184" spans="2:27">
      <c r="B184" s="2835"/>
      <c r="C184" s="2820" t="s">
        <v>1337</v>
      </c>
      <c r="D184" s="425">
        <v>545.46</v>
      </c>
      <c r="E184" s="419" t="s">
        <v>125</v>
      </c>
      <c r="F184" s="1512">
        <v>1050000000</v>
      </c>
      <c r="G184" s="420">
        <v>0.1</v>
      </c>
      <c r="H184" s="420"/>
      <c r="I184" s="420">
        <v>0.2</v>
      </c>
      <c r="J184" s="420"/>
      <c r="K184" s="420">
        <v>0.4</v>
      </c>
      <c r="L184" s="420"/>
      <c r="M184" s="420">
        <v>0.25</v>
      </c>
      <c r="N184" s="420"/>
      <c r="O184" s="420">
        <v>0.05</v>
      </c>
      <c r="P184" s="858">
        <f t="shared" si="33"/>
        <v>1</v>
      </c>
      <c r="AA184" s="417"/>
    </row>
    <row r="185" spans="2:27">
      <c r="B185" s="2835"/>
      <c r="C185" s="2820"/>
      <c r="D185" s="418">
        <v>545.46</v>
      </c>
      <c r="E185" s="419" t="s">
        <v>126</v>
      </c>
      <c r="F185" s="1512">
        <v>300000000</v>
      </c>
      <c r="G185" s="420">
        <v>0.2</v>
      </c>
      <c r="H185" s="420"/>
      <c r="I185" s="420">
        <v>0.2</v>
      </c>
      <c r="J185" s="420"/>
      <c r="K185" s="420">
        <v>0.5</v>
      </c>
      <c r="L185" s="420"/>
      <c r="M185" s="420">
        <v>0.1</v>
      </c>
      <c r="N185" s="420"/>
      <c r="O185" s="420"/>
      <c r="P185" s="858">
        <f t="shared" si="33"/>
        <v>1</v>
      </c>
      <c r="AA185" s="417"/>
    </row>
    <row r="186" spans="2:27">
      <c r="B186" s="2835"/>
      <c r="C186" s="2820"/>
      <c r="D186" s="418">
        <v>545.46</v>
      </c>
      <c r="E186" s="419" t="s">
        <v>286</v>
      </c>
      <c r="F186" s="1512"/>
      <c r="G186" s="420"/>
      <c r="H186" s="420"/>
      <c r="I186" s="420"/>
      <c r="J186" s="420"/>
      <c r="K186" s="420"/>
      <c r="L186" s="420"/>
      <c r="M186" s="420"/>
      <c r="N186" s="420"/>
      <c r="O186" s="420"/>
      <c r="P186" s="858">
        <f t="shared" si="33"/>
        <v>0</v>
      </c>
      <c r="Q186" s="428"/>
      <c r="AA186" s="417"/>
    </row>
    <row r="187" spans="2:27" ht="17.25" customHeight="1">
      <c r="B187" s="2835"/>
      <c r="C187" s="2820"/>
      <c r="D187" s="418">
        <v>545.46</v>
      </c>
      <c r="E187" s="419" t="s">
        <v>287</v>
      </c>
      <c r="F187" s="1512">
        <v>200000000</v>
      </c>
      <c r="G187" s="420">
        <v>0.2</v>
      </c>
      <c r="H187" s="420"/>
      <c r="I187" s="420">
        <v>0.2</v>
      </c>
      <c r="J187" s="420"/>
      <c r="K187" s="420">
        <v>0.5</v>
      </c>
      <c r="L187" s="420"/>
      <c r="M187" s="420">
        <v>0.1</v>
      </c>
      <c r="N187" s="420"/>
      <c r="O187" s="420"/>
      <c r="P187" s="858">
        <f t="shared" si="33"/>
        <v>1</v>
      </c>
      <c r="AA187" s="417"/>
    </row>
    <row r="188" spans="2:27" ht="17.25" customHeight="1">
      <c r="B188" s="2835"/>
      <c r="C188" s="2820"/>
      <c r="D188" s="818">
        <f>+D187</f>
        <v>545.46</v>
      </c>
      <c r="E188" s="419" t="s">
        <v>129</v>
      </c>
      <c r="F188" s="1513">
        <f>+'DG-PV Organic'!AI4</f>
        <v>103124000</v>
      </c>
      <c r="G188" s="586">
        <v>1</v>
      </c>
      <c r="H188" s="586"/>
      <c r="I188" s="586"/>
      <c r="J188" s="586"/>
      <c r="K188" s="586"/>
      <c r="L188" s="586"/>
      <c r="M188" s="586"/>
      <c r="N188" s="420"/>
      <c r="O188" s="420"/>
      <c r="P188" s="858">
        <f t="shared" si="33"/>
        <v>1</v>
      </c>
      <c r="AA188" s="417"/>
    </row>
    <row r="189" spans="2:27">
      <c r="B189" s="2835"/>
      <c r="C189" s="2820" t="s">
        <v>1338</v>
      </c>
      <c r="D189" s="425">
        <v>148.59</v>
      </c>
      <c r="E189" s="419" t="s">
        <v>125</v>
      </c>
      <c r="F189" s="821">
        <v>1050000000</v>
      </c>
      <c r="G189" s="420">
        <v>0.1</v>
      </c>
      <c r="H189" s="420"/>
      <c r="I189" s="420">
        <v>0.2</v>
      </c>
      <c r="J189" s="420"/>
      <c r="K189" s="420">
        <v>0.4</v>
      </c>
      <c r="L189" s="420"/>
      <c r="M189" s="420">
        <v>0.25</v>
      </c>
      <c r="N189" s="420"/>
      <c r="O189" s="420">
        <v>0.05</v>
      </c>
      <c r="P189" s="858">
        <f t="shared" si="33"/>
        <v>1</v>
      </c>
      <c r="AA189" s="417"/>
    </row>
    <row r="190" spans="2:27">
      <c r="B190" s="2835"/>
      <c r="C190" s="2820"/>
      <c r="D190" s="418">
        <f>+D189</f>
        <v>148.59</v>
      </c>
      <c r="E190" s="419" t="s">
        <v>126</v>
      </c>
      <c r="F190" s="821">
        <v>300000000</v>
      </c>
      <c r="G190" s="420">
        <v>0.2</v>
      </c>
      <c r="H190" s="420"/>
      <c r="I190" s="420">
        <v>0.2</v>
      </c>
      <c r="J190" s="420"/>
      <c r="K190" s="420">
        <v>0.5</v>
      </c>
      <c r="L190" s="420"/>
      <c r="M190" s="420">
        <v>0.1</v>
      </c>
      <c r="N190" s="420"/>
      <c r="O190" s="420"/>
      <c r="P190" s="858">
        <f t="shared" si="33"/>
        <v>1</v>
      </c>
      <c r="Q190" s="428"/>
      <c r="AA190" s="417"/>
    </row>
    <row r="191" spans="2:27">
      <c r="B191" s="2835"/>
      <c r="C191" s="2820"/>
      <c r="D191" s="418">
        <f t="shared" ref="D191:D193" si="35">+D190</f>
        <v>148.59</v>
      </c>
      <c r="E191" s="419" t="s">
        <v>286</v>
      </c>
      <c r="F191" s="821"/>
      <c r="G191" s="420"/>
      <c r="H191" s="420"/>
      <c r="I191" s="420"/>
      <c r="J191" s="420"/>
      <c r="K191" s="420"/>
      <c r="L191" s="420"/>
      <c r="M191" s="420"/>
      <c r="N191" s="420"/>
      <c r="O191" s="420"/>
      <c r="P191" s="858">
        <f t="shared" si="33"/>
        <v>0</v>
      </c>
      <c r="AA191" s="417"/>
    </row>
    <row r="192" spans="2:27">
      <c r="B192" s="2835"/>
      <c r="C192" s="2820"/>
      <c r="D192" s="418">
        <f t="shared" si="35"/>
        <v>148.59</v>
      </c>
      <c r="E192" s="419" t="s">
        <v>287</v>
      </c>
      <c r="F192" s="821">
        <v>200000000</v>
      </c>
      <c r="G192" s="420">
        <v>0.2</v>
      </c>
      <c r="H192" s="420"/>
      <c r="I192" s="420">
        <v>0.2</v>
      </c>
      <c r="J192" s="420"/>
      <c r="K192" s="420">
        <v>0.5</v>
      </c>
      <c r="L192" s="420"/>
      <c r="M192" s="420">
        <v>0.1</v>
      </c>
      <c r="N192" s="420"/>
      <c r="O192" s="420"/>
      <c r="P192" s="858">
        <f t="shared" si="33"/>
        <v>1</v>
      </c>
      <c r="AA192" s="417"/>
    </row>
    <row r="193" spans="2:16">
      <c r="B193" s="2835"/>
      <c r="C193" s="2820"/>
      <c r="D193" s="818">
        <f t="shared" si="35"/>
        <v>148.59</v>
      </c>
      <c r="E193" s="419" t="s">
        <v>129</v>
      </c>
      <c r="F193" s="852">
        <f>+'DG-PV Organic'!AI5</f>
        <v>29718000</v>
      </c>
      <c r="G193" s="586">
        <v>1</v>
      </c>
      <c r="H193" s="586"/>
      <c r="I193" s="586"/>
      <c r="J193" s="586"/>
      <c r="K193" s="586"/>
      <c r="L193" s="586"/>
      <c r="M193" s="586"/>
      <c r="N193" s="420"/>
      <c r="O193" s="420"/>
      <c r="P193" s="858">
        <f t="shared" si="33"/>
        <v>1</v>
      </c>
    </row>
    <row r="194" spans="2:16">
      <c r="B194" s="2835"/>
      <c r="C194" s="2820" t="str">
        <f>+'SPVs Status 3'!J145</f>
        <v>Myunghyun Tech 1</v>
      </c>
      <c r="D194" s="425">
        <v>71.680000000000007</v>
      </c>
      <c r="E194" s="419" t="s">
        <v>125</v>
      </c>
      <c r="F194" s="821">
        <v>1050000000</v>
      </c>
      <c r="G194" s="420">
        <v>0.1</v>
      </c>
      <c r="H194" s="420"/>
      <c r="I194" s="420">
        <v>0.2</v>
      </c>
      <c r="J194" s="420"/>
      <c r="K194" s="420">
        <v>0.4</v>
      </c>
      <c r="L194" s="420"/>
      <c r="M194" s="420">
        <v>0.25</v>
      </c>
      <c r="N194" s="420"/>
      <c r="O194" s="420">
        <v>0.05</v>
      </c>
      <c r="P194" s="858">
        <f t="shared" ref="P194:P208" si="36">SUM(G194:O194)</f>
        <v>1</v>
      </c>
    </row>
    <row r="195" spans="2:16">
      <c r="B195" s="2835"/>
      <c r="C195" s="2820"/>
      <c r="D195" s="425">
        <v>71.680000000000007</v>
      </c>
      <c r="E195" s="419" t="s">
        <v>126</v>
      </c>
      <c r="F195" s="821">
        <v>300000000</v>
      </c>
      <c r="G195" s="420">
        <v>0.2</v>
      </c>
      <c r="H195" s="420"/>
      <c r="I195" s="420">
        <v>0.2</v>
      </c>
      <c r="J195" s="420"/>
      <c r="K195" s="420">
        <v>0.5</v>
      </c>
      <c r="L195" s="420"/>
      <c r="M195" s="420">
        <v>0.1</v>
      </c>
      <c r="N195" s="420"/>
      <c r="O195" s="420"/>
      <c r="P195" s="858">
        <f t="shared" si="36"/>
        <v>1</v>
      </c>
    </row>
    <row r="196" spans="2:16">
      <c r="B196" s="2835"/>
      <c r="C196" s="2820"/>
      <c r="D196" s="425">
        <v>71.680000000000007</v>
      </c>
      <c r="E196" s="419" t="s">
        <v>286</v>
      </c>
      <c r="F196" s="821"/>
      <c r="G196" s="420"/>
      <c r="H196" s="420"/>
      <c r="I196" s="420"/>
      <c r="J196" s="420"/>
      <c r="K196" s="420"/>
      <c r="L196" s="420"/>
      <c r="M196" s="420"/>
      <c r="N196" s="420"/>
      <c r="O196" s="420"/>
      <c r="P196" s="858">
        <f t="shared" si="36"/>
        <v>0</v>
      </c>
    </row>
    <row r="197" spans="2:16">
      <c r="B197" s="2835"/>
      <c r="C197" s="2820"/>
      <c r="D197" s="425">
        <v>71.680000000000007</v>
      </c>
      <c r="E197" s="419" t="s">
        <v>287</v>
      </c>
      <c r="F197" s="821">
        <v>200000000</v>
      </c>
      <c r="G197" s="420">
        <v>0.2</v>
      </c>
      <c r="H197" s="420"/>
      <c r="I197" s="420">
        <v>0.2</v>
      </c>
      <c r="J197" s="420"/>
      <c r="K197" s="420">
        <v>0.5</v>
      </c>
      <c r="L197" s="420"/>
      <c r="M197" s="420">
        <v>0.1</v>
      </c>
      <c r="N197" s="420"/>
      <c r="O197" s="420"/>
      <c r="P197" s="858">
        <f t="shared" si="36"/>
        <v>1</v>
      </c>
    </row>
    <row r="198" spans="2:16">
      <c r="B198" s="2835"/>
      <c r="C198" s="2820"/>
      <c r="D198" s="818">
        <f>+D197</f>
        <v>71.680000000000007</v>
      </c>
      <c r="E198" s="419" t="s">
        <v>129</v>
      </c>
      <c r="F198" s="852">
        <f>+'DG-PV Organic'!$AI$6*(D198/($D$198+$D$203))</f>
        <v>14335999.999999998</v>
      </c>
      <c r="G198" s="586">
        <v>1</v>
      </c>
      <c r="H198" s="586"/>
      <c r="I198" s="586"/>
      <c r="J198" s="586"/>
      <c r="K198" s="586"/>
      <c r="L198" s="586"/>
      <c r="M198" s="586"/>
      <c r="N198" s="420"/>
      <c r="O198" s="420"/>
      <c r="P198" s="858">
        <f t="shared" si="36"/>
        <v>1</v>
      </c>
    </row>
    <row r="199" spans="2:16">
      <c r="B199" s="2835"/>
      <c r="C199" s="2820" t="str">
        <f>+'SPVs Status 3'!J150</f>
        <v>Myunghyun Tech 2</v>
      </c>
      <c r="D199" s="851">
        <v>38.4</v>
      </c>
      <c r="E199" s="419" t="s">
        <v>125</v>
      </c>
      <c r="F199" s="821">
        <v>1050000000</v>
      </c>
      <c r="G199" s="420">
        <v>0.1</v>
      </c>
      <c r="H199" s="420"/>
      <c r="I199" s="420">
        <v>0.2</v>
      </c>
      <c r="J199" s="420"/>
      <c r="K199" s="420">
        <v>0.4</v>
      </c>
      <c r="L199" s="420"/>
      <c r="M199" s="420">
        <v>0.25</v>
      </c>
      <c r="N199" s="420"/>
      <c r="O199" s="420">
        <v>0.05</v>
      </c>
      <c r="P199" s="858">
        <f t="shared" ref="P199:P203" si="37">SUM(G199:O199)</f>
        <v>1</v>
      </c>
    </row>
    <row r="200" spans="2:16">
      <c r="B200" s="2835"/>
      <c r="C200" s="2820"/>
      <c r="D200" s="851">
        <v>38.4</v>
      </c>
      <c r="E200" s="419" t="s">
        <v>126</v>
      </c>
      <c r="F200" s="821">
        <v>300000000</v>
      </c>
      <c r="G200" s="420">
        <v>0.2</v>
      </c>
      <c r="H200" s="420"/>
      <c r="I200" s="420">
        <v>0.2</v>
      </c>
      <c r="J200" s="420"/>
      <c r="K200" s="420">
        <v>0.5</v>
      </c>
      <c r="L200" s="420"/>
      <c r="M200" s="420">
        <v>0.1</v>
      </c>
      <c r="N200" s="420"/>
      <c r="O200" s="420"/>
      <c r="P200" s="858">
        <f t="shared" si="37"/>
        <v>1</v>
      </c>
    </row>
    <row r="201" spans="2:16">
      <c r="B201" s="2835"/>
      <c r="C201" s="2820"/>
      <c r="D201" s="851">
        <v>38.4</v>
      </c>
      <c r="E201" s="419" t="s">
        <v>286</v>
      </c>
      <c r="F201" s="821"/>
      <c r="G201" s="420"/>
      <c r="H201" s="420"/>
      <c r="I201" s="420"/>
      <c r="J201" s="420"/>
      <c r="K201" s="420"/>
      <c r="L201" s="420"/>
      <c r="M201" s="420"/>
      <c r="N201" s="420"/>
      <c r="O201" s="420"/>
      <c r="P201" s="858">
        <f t="shared" si="37"/>
        <v>0</v>
      </c>
    </row>
    <row r="202" spans="2:16">
      <c r="B202" s="2835"/>
      <c r="C202" s="2820"/>
      <c r="D202" s="851">
        <v>38.4</v>
      </c>
      <c r="E202" s="419" t="s">
        <v>287</v>
      </c>
      <c r="F202" s="821">
        <v>200000000</v>
      </c>
      <c r="G202" s="420">
        <v>0.2</v>
      </c>
      <c r="H202" s="420"/>
      <c r="I202" s="420">
        <v>0.2</v>
      </c>
      <c r="J202" s="420"/>
      <c r="K202" s="420">
        <v>0.5</v>
      </c>
      <c r="L202" s="420"/>
      <c r="M202" s="420">
        <v>0.1</v>
      </c>
      <c r="N202" s="420"/>
      <c r="O202" s="420"/>
      <c r="P202" s="858">
        <f t="shared" si="37"/>
        <v>1</v>
      </c>
    </row>
    <row r="203" spans="2:16">
      <c r="B203" s="2835"/>
      <c r="C203" s="2820"/>
      <c r="D203" s="818">
        <f>+D202</f>
        <v>38.4</v>
      </c>
      <c r="E203" s="419" t="s">
        <v>129</v>
      </c>
      <c r="F203" s="852">
        <f>+'DG-PV Organic'!$AI$6*(D203/($D$198+$D$203))</f>
        <v>7679999.9999999991</v>
      </c>
      <c r="G203" s="586">
        <v>1</v>
      </c>
      <c r="H203" s="586"/>
      <c r="I203" s="586"/>
      <c r="J203" s="586"/>
      <c r="K203" s="586"/>
      <c r="L203" s="586"/>
      <c r="M203" s="586"/>
      <c r="N203" s="420"/>
      <c r="O203" s="420"/>
      <c r="P203" s="858">
        <f t="shared" si="37"/>
        <v>1</v>
      </c>
    </row>
    <row r="204" spans="2:16">
      <c r="B204" s="2835"/>
      <c r="C204" s="2820" t="str">
        <f>+'SPVs Status 3'!J155</f>
        <v>Sehyun Chemical</v>
      </c>
      <c r="D204" s="425">
        <v>158.75</v>
      </c>
      <c r="E204" s="419" t="s">
        <v>125</v>
      </c>
      <c r="F204" s="821">
        <v>1050000000</v>
      </c>
      <c r="G204" s="420">
        <v>0.1</v>
      </c>
      <c r="H204" s="420"/>
      <c r="I204" s="420">
        <v>0.2</v>
      </c>
      <c r="J204" s="420"/>
      <c r="K204" s="420">
        <v>0.4</v>
      </c>
      <c r="L204" s="420"/>
      <c r="M204" s="420">
        <v>0.25</v>
      </c>
      <c r="N204" s="420"/>
      <c r="O204" s="420">
        <v>0.05</v>
      </c>
      <c r="P204" s="858">
        <f t="shared" si="36"/>
        <v>1</v>
      </c>
    </row>
    <row r="205" spans="2:16">
      <c r="B205" s="2835"/>
      <c r="C205" s="2820"/>
      <c r="D205" s="425">
        <v>158.75</v>
      </c>
      <c r="E205" s="419" t="s">
        <v>126</v>
      </c>
      <c r="F205" s="821">
        <v>300000000</v>
      </c>
      <c r="G205" s="420">
        <v>0.2</v>
      </c>
      <c r="H205" s="420"/>
      <c r="I205" s="420">
        <v>0.2</v>
      </c>
      <c r="J205" s="420"/>
      <c r="K205" s="420">
        <v>0.5</v>
      </c>
      <c r="L205" s="420"/>
      <c r="M205" s="420">
        <v>0.1</v>
      </c>
      <c r="N205" s="420"/>
      <c r="O205" s="420"/>
      <c r="P205" s="858">
        <f t="shared" si="36"/>
        <v>1</v>
      </c>
    </row>
    <row r="206" spans="2:16">
      <c r="B206" s="2835"/>
      <c r="C206" s="2820"/>
      <c r="D206" s="425">
        <v>158.75</v>
      </c>
      <c r="E206" s="419" t="s">
        <v>286</v>
      </c>
      <c r="F206" s="821"/>
      <c r="G206" s="420"/>
      <c r="H206" s="420"/>
      <c r="I206" s="420"/>
      <c r="J206" s="420"/>
      <c r="K206" s="420"/>
      <c r="L206" s="420"/>
      <c r="M206" s="420"/>
      <c r="N206" s="420"/>
      <c r="O206" s="420"/>
      <c r="P206" s="858">
        <f t="shared" si="36"/>
        <v>0</v>
      </c>
    </row>
    <row r="207" spans="2:16">
      <c r="B207" s="2835"/>
      <c r="C207" s="2820"/>
      <c r="D207" s="425">
        <v>158.75</v>
      </c>
      <c r="E207" s="419" t="s">
        <v>287</v>
      </c>
      <c r="F207" s="821">
        <v>200000000</v>
      </c>
      <c r="G207" s="420">
        <v>0.2</v>
      </c>
      <c r="H207" s="420"/>
      <c r="I207" s="420">
        <v>0.2</v>
      </c>
      <c r="J207" s="420"/>
      <c r="K207" s="420">
        <v>0.5</v>
      </c>
      <c r="L207" s="420"/>
      <c r="M207" s="420">
        <v>0.1</v>
      </c>
      <c r="N207" s="420"/>
      <c r="O207" s="420"/>
      <c r="P207" s="858">
        <f t="shared" si="36"/>
        <v>1</v>
      </c>
    </row>
    <row r="208" spans="2:16">
      <c r="B208" s="2835"/>
      <c r="C208" s="2820"/>
      <c r="D208" s="818">
        <f>+D207</f>
        <v>158.75</v>
      </c>
      <c r="E208" s="419" t="s">
        <v>129</v>
      </c>
      <c r="F208" s="852">
        <f>+'DG-PV Organic'!AI12</f>
        <v>31750000</v>
      </c>
      <c r="G208" s="586">
        <v>1</v>
      </c>
      <c r="H208" s="586"/>
      <c r="I208" s="586"/>
      <c r="J208" s="586"/>
      <c r="K208" s="586"/>
      <c r="L208" s="586"/>
      <c r="M208" s="586"/>
      <c r="N208" s="420"/>
      <c r="O208" s="420"/>
      <c r="P208" s="858">
        <f t="shared" si="36"/>
        <v>1</v>
      </c>
    </row>
    <row r="209" spans="2:16">
      <c r="B209" s="2835"/>
      <c r="C209" s="2832" t="str">
        <f>+'DG-PV Organic'!B18</f>
        <v>Seun BNC</v>
      </c>
      <c r="D209" s="1053">
        <f>+'DG-PV Organic'!K18</f>
        <v>458.226</v>
      </c>
      <c r="E209" s="419" t="s">
        <v>125</v>
      </c>
      <c r="F209" s="821">
        <v>1050000000</v>
      </c>
      <c r="G209" s="570">
        <v>0.1</v>
      </c>
      <c r="H209" s="570"/>
      <c r="I209" s="570">
        <v>0.2</v>
      </c>
      <c r="J209" s="570"/>
      <c r="K209" s="570">
        <v>0.4</v>
      </c>
      <c r="L209" s="570"/>
      <c r="M209" s="570">
        <v>0.25</v>
      </c>
      <c r="N209" s="570"/>
      <c r="O209" s="570">
        <v>0.05</v>
      </c>
      <c r="P209" s="870">
        <f t="shared" ref="P209:P223" si="38">SUM(G209:O209)</f>
        <v>1</v>
      </c>
    </row>
    <row r="210" spans="2:16">
      <c r="B210" s="2835"/>
      <c r="C210" s="2832"/>
      <c r="D210" s="1053">
        <f>+D209</f>
        <v>458.226</v>
      </c>
      <c r="E210" s="419" t="s">
        <v>126</v>
      </c>
      <c r="F210" s="821">
        <v>300000000</v>
      </c>
      <c r="G210" s="570">
        <v>0.2</v>
      </c>
      <c r="H210" s="570"/>
      <c r="I210" s="570">
        <v>0.2</v>
      </c>
      <c r="J210" s="570"/>
      <c r="K210" s="570">
        <v>0.5</v>
      </c>
      <c r="L210" s="570"/>
      <c r="M210" s="570">
        <v>0.1</v>
      </c>
      <c r="N210" s="570"/>
      <c r="O210" s="570"/>
      <c r="P210" s="870">
        <f t="shared" si="38"/>
        <v>1</v>
      </c>
    </row>
    <row r="211" spans="2:16">
      <c r="B211" s="2835"/>
      <c r="C211" s="2832"/>
      <c r="D211" s="1053">
        <f>+D210</f>
        <v>458.226</v>
      </c>
      <c r="E211" s="419" t="s">
        <v>286</v>
      </c>
      <c r="F211" s="821"/>
      <c r="G211" s="570"/>
      <c r="H211" s="570"/>
      <c r="I211" s="570"/>
      <c r="J211" s="570"/>
      <c r="K211" s="570"/>
      <c r="L211" s="570"/>
      <c r="M211" s="570"/>
      <c r="N211" s="570"/>
      <c r="O211" s="570"/>
      <c r="P211" s="870">
        <f t="shared" si="38"/>
        <v>0</v>
      </c>
    </row>
    <row r="212" spans="2:16">
      <c r="B212" s="2835"/>
      <c r="C212" s="2832"/>
      <c r="D212" s="1053">
        <f>+D211</f>
        <v>458.226</v>
      </c>
      <c r="E212" s="419" t="s">
        <v>287</v>
      </c>
      <c r="F212" s="821">
        <v>200000000</v>
      </c>
      <c r="G212" s="570">
        <v>0.2</v>
      </c>
      <c r="H212" s="570"/>
      <c r="I212" s="570">
        <v>0.2</v>
      </c>
      <c r="J212" s="570"/>
      <c r="K212" s="570">
        <v>0.5</v>
      </c>
      <c r="L212" s="570"/>
      <c r="M212" s="570">
        <v>0.1</v>
      </c>
      <c r="N212" s="570"/>
      <c r="O212" s="570"/>
      <c r="P212" s="870">
        <f t="shared" si="38"/>
        <v>1</v>
      </c>
    </row>
    <row r="213" spans="2:16">
      <c r="B213" s="2835"/>
      <c r="C213" s="2832"/>
      <c r="D213" s="818">
        <f>+D212</f>
        <v>458.226</v>
      </c>
      <c r="E213" s="419" t="s">
        <v>129</v>
      </c>
      <c r="F213" s="852">
        <f>+'DG-PV Organic'!AI18</f>
        <v>70230999.999999985</v>
      </c>
      <c r="G213" s="586">
        <v>1</v>
      </c>
      <c r="H213" s="586"/>
      <c r="I213" s="586"/>
      <c r="J213" s="586"/>
      <c r="K213" s="586"/>
      <c r="L213" s="586"/>
      <c r="M213" s="586"/>
      <c r="N213" s="570"/>
      <c r="O213" s="570"/>
      <c r="P213" s="870">
        <f t="shared" si="38"/>
        <v>1</v>
      </c>
    </row>
    <row r="214" spans="2:16">
      <c r="B214" s="2835"/>
      <c r="C214" s="2832" t="str">
        <f>+'DG-PV Organic'!B19</f>
        <v>Seun Steel Gyeongju</v>
      </c>
      <c r="D214" s="1053">
        <f>+'DG-PV Organic'!K19</f>
        <v>707.71400000000006</v>
      </c>
      <c r="E214" s="419" t="s">
        <v>125</v>
      </c>
      <c r="F214" s="821">
        <v>1050000000</v>
      </c>
      <c r="G214" s="570">
        <v>0.1</v>
      </c>
      <c r="H214" s="570"/>
      <c r="I214" s="570">
        <v>0.2</v>
      </c>
      <c r="J214" s="570"/>
      <c r="K214" s="570">
        <v>0.4</v>
      </c>
      <c r="L214" s="570"/>
      <c r="M214" s="570">
        <v>0.25</v>
      </c>
      <c r="N214" s="570"/>
      <c r="O214" s="570">
        <v>0.05</v>
      </c>
      <c r="P214" s="870">
        <f t="shared" si="38"/>
        <v>1</v>
      </c>
    </row>
    <row r="215" spans="2:16">
      <c r="B215" s="2835"/>
      <c r="C215" s="2832"/>
      <c r="D215" s="1053">
        <f>+D214</f>
        <v>707.71400000000006</v>
      </c>
      <c r="E215" s="419" t="s">
        <v>126</v>
      </c>
      <c r="F215" s="821">
        <v>300000000</v>
      </c>
      <c r="G215" s="570">
        <v>0.2</v>
      </c>
      <c r="H215" s="570"/>
      <c r="I215" s="570">
        <v>0.2</v>
      </c>
      <c r="J215" s="570"/>
      <c r="K215" s="570">
        <v>0.5</v>
      </c>
      <c r="L215" s="570"/>
      <c r="M215" s="570">
        <v>0.1</v>
      </c>
      <c r="N215" s="570"/>
      <c r="O215" s="570"/>
      <c r="P215" s="870">
        <f t="shared" si="38"/>
        <v>1</v>
      </c>
    </row>
    <row r="216" spans="2:16">
      <c r="B216" s="2835"/>
      <c r="C216" s="2832"/>
      <c r="D216" s="1053">
        <f>+D215</f>
        <v>707.71400000000006</v>
      </c>
      <c r="E216" s="419" t="s">
        <v>286</v>
      </c>
      <c r="F216" s="821"/>
      <c r="G216" s="570"/>
      <c r="H216" s="570"/>
      <c r="I216" s="570"/>
      <c r="J216" s="570"/>
      <c r="K216" s="570"/>
      <c r="L216" s="570"/>
      <c r="M216" s="570"/>
      <c r="N216" s="570"/>
      <c r="O216" s="570"/>
      <c r="P216" s="870">
        <f t="shared" si="38"/>
        <v>0</v>
      </c>
    </row>
    <row r="217" spans="2:16">
      <c r="B217" s="2835"/>
      <c r="C217" s="2832"/>
      <c r="D217" s="1053">
        <f>+D216</f>
        <v>707.71400000000006</v>
      </c>
      <c r="E217" s="419" t="s">
        <v>287</v>
      </c>
      <c r="F217" s="821">
        <v>200000000</v>
      </c>
      <c r="G217" s="570">
        <v>0.2</v>
      </c>
      <c r="H217" s="570"/>
      <c r="I217" s="570">
        <v>0.2</v>
      </c>
      <c r="J217" s="570"/>
      <c r="K217" s="570">
        <v>0.5</v>
      </c>
      <c r="L217" s="570"/>
      <c r="M217" s="570">
        <v>0.1</v>
      </c>
      <c r="N217" s="570"/>
      <c r="O217" s="570"/>
      <c r="P217" s="870">
        <f t="shared" si="38"/>
        <v>1</v>
      </c>
    </row>
    <row r="218" spans="2:16">
      <c r="B218" s="2835"/>
      <c r="C218" s="2832"/>
      <c r="D218" s="818">
        <f>+D217</f>
        <v>707.71400000000006</v>
      </c>
      <c r="E218" s="419" t="s">
        <v>129</v>
      </c>
      <c r="F218" s="852">
        <f>+'DG-PV Organic'!AI19</f>
        <v>141859000</v>
      </c>
      <c r="G218" s="586">
        <v>1</v>
      </c>
      <c r="H218" s="586"/>
      <c r="I218" s="586"/>
      <c r="J218" s="586"/>
      <c r="K218" s="586"/>
      <c r="L218" s="586"/>
      <c r="M218" s="586"/>
      <c r="N218" s="570"/>
      <c r="O218" s="570"/>
      <c r="P218" s="870">
        <f t="shared" si="38"/>
        <v>1</v>
      </c>
    </row>
    <row r="219" spans="2:16">
      <c r="B219" s="2835"/>
      <c r="C219" s="2832" t="str">
        <f>+'DG-PV Organic'!B22</f>
        <v xml:space="preserve">Oneel </v>
      </c>
      <c r="D219" s="1053">
        <f>+'DG-PV Organic'!K22</f>
        <v>522.60500000000002</v>
      </c>
      <c r="E219" s="419" t="s">
        <v>125</v>
      </c>
      <c r="F219" s="821">
        <v>1050000000</v>
      </c>
      <c r="G219" s="570">
        <v>0.1</v>
      </c>
      <c r="H219" s="570"/>
      <c r="I219" s="570">
        <v>0.2</v>
      </c>
      <c r="J219" s="570"/>
      <c r="K219" s="570">
        <v>0.4</v>
      </c>
      <c r="L219" s="570"/>
      <c r="M219" s="570">
        <v>0.25</v>
      </c>
      <c r="N219" s="570"/>
      <c r="O219" s="570">
        <v>0.05</v>
      </c>
      <c r="P219" s="870">
        <f t="shared" si="38"/>
        <v>1</v>
      </c>
    </row>
    <row r="220" spans="2:16">
      <c r="B220" s="2835"/>
      <c r="C220" s="2832"/>
      <c r="D220" s="1053">
        <f>+D219</f>
        <v>522.60500000000002</v>
      </c>
      <c r="E220" s="419" t="s">
        <v>126</v>
      </c>
      <c r="F220" s="821">
        <v>300000000</v>
      </c>
      <c r="G220" s="570">
        <v>0.2</v>
      </c>
      <c r="H220" s="570"/>
      <c r="I220" s="570">
        <v>0.2</v>
      </c>
      <c r="J220" s="570"/>
      <c r="K220" s="570">
        <v>0.5</v>
      </c>
      <c r="L220" s="570"/>
      <c r="M220" s="570">
        <v>0.1</v>
      </c>
      <c r="N220" s="570"/>
      <c r="O220" s="570"/>
      <c r="P220" s="870">
        <f t="shared" si="38"/>
        <v>1</v>
      </c>
    </row>
    <row r="221" spans="2:16">
      <c r="B221" s="2835"/>
      <c r="C221" s="2832"/>
      <c r="D221" s="1053">
        <f>+D220</f>
        <v>522.60500000000002</v>
      </c>
      <c r="E221" s="419" t="s">
        <v>286</v>
      </c>
      <c r="F221" s="821"/>
      <c r="G221" s="570"/>
      <c r="H221" s="570"/>
      <c r="I221" s="570"/>
      <c r="J221" s="570"/>
      <c r="K221" s="570"/>
      <c r="L221" s="570"/>
      <c r="M221" s="570"/>
      <c r="N221" s="570"/>
      <c r="O221" s="570"/>
      <c r="P221" s="870">
        <f t="shared" si="38"/>
        <v>0</v>
      </c>
    </row>
    <row r="222" spans="2:16">
      <c r="B222" s="2835"/>
      <c r="C222" s="2832"/>
      <c r="D222" s="1053">
        <f>+D221</f>
        <v>522.60500000000002</v>
      </c>
      <c r="E222" s="419" t="s">
        <v>287</v>
      </c>
      <c r="F222" s="821">
        <v>200000000</v>
      </c>
      <c r="G222" s="570">
        <v>0.2</v>
      </c>
      <c r="H222" s="570"/>
      <c r="I222" s="570">
        <v>0.2</v>
      </c>
      <c r="J222" s="570"/>
      <c r="K222" s="570">
        <v>0.5</v>
      </c>
      <c r="L222" s="570"/>
      <c r="M222" s="570">
        <v>0.1</v>
      </c>
      <c r="N222" s="570"/>
      <c r="O222" s="570"/>
      <c r="P222" s="870">
        <f t="shared" si="38"/>
        <v>1</v>
      </c>
    </row>
    <row r="223" spans="2:16">
      <c r="B223" s="2835"/>
      <c r="C223" s="2832"/>
      <c r="D223" s="818">
        <f>+D222</f>
        <v>522.60500000000002</v>
      </c>
      <c r="E223" s="419" t="s">
        <v>129</v>
      </c>
      <c r="F223" s="852">
        <f>+'DG-PV Organic'!AI22</f>
        <v>104521000</v>
      </c>
      <c r="G223" s="586">
        <v>1</v>
      </c>
      <c r="H223" s="586"/>
      <c r="I223" s="586"/>
      <c r="J223" s="586"/>
      <c r="K223" s="586"/>
      <c r="L223" s="586"/>
      <c r="M223" s="586"/>
      <c r="N223" s="570"/>
      <c r="O223" s="570"/>
      <c r="P223" s="870">
        <f t="shared" si="38"/>
        <v>1</v>
      </c>
    </row>
    <row r="224" spans="2:16">
      <c r="B224" s="2835"/>
      <c r="C224" s="2832" t="str">
        <f>+'DG-PV Organic'!B21</f>
        <v>MPM Trade</v>
      </c>
      <c r="D224" s="1053">
        <f>+'DG-PV Organic'!O21</f>
        <v>210.82</v>
      </c>
      <c r="E224" s="419" t="s">
        <v>125</v>
      </c>
      <c r="F224" s="821">
        <v>1050000000</v>
      </c>
      <c r="G224" s="570">
        <v>0.1</v>
      </c>
      <c r="H224" s="570"/>
      <c r="I224" s="570">
        <v>0.2</v>
      </c>
      <c r="J224" s="570"/>
      <c r="K224" s="570">
        <v>0.4</v>
      </c>
      <c r="L224" s="570"/>
      <c r="M224" s="570">
        <v>0.25</v>
      </c>
      <c r="N224" s="570"/>
      <c r="O224" s="570">
        <v>0.05</v>
      </c>
      <c r="P224" s="870">
        <f>SUM(G224:O224)</f>
        <v>1</v>
      </c>
    </row>
    <row r="225" spans="2:16">
      <c r="B225" s="2835"/>
      <c r="C225" s="2832"/>
      <c r="D225" s="1053">
        <f>+D224</f>
        <v>210.82</v>
      </c>
      <c r="E225" s="419" t="s">
        <v>126</v>
      </c>
      <c r="F225" s="821">
        <v>300000000</v>
      </c>
      <c r="G225" s="570">
        <v>0.2</v>
      </c>
      <c r="H225" s="570"/>
      <c r="I225" s="570">
        <v>0.2</v>
      </c>
      <c r="J225" s="570"/>
      <c r="K225" s="570">
        <v>0.5</v>
      </c>
      <c r="L225" s="570"/>
      <c r="M225" s="570">
        <v>0.1</v>
      </c>
      <c r="N225" s="570"/>
      <c r="O225" s="570"/>
      <c r="P225" s="870">
        <f>SUM(G225:O225)</f>
        <v>1</v>
      </c>
    </row>
    <row r="226" spans="2:16">
      <c r="B226" s="2835"/>
      <c r="C226" s="2832"/>
      <c r="D226" s="1053">
        <f>+D225</f>
        <v>210.82</v>
      </c>
      <c r="E226" s="419" t="s">
        <v>286</v>
      </c>
      <c r="F226" s="821"/>
      <c r="G226" s="570"/>
      <c r="H226" s="570"/>
      <c r="I226" s="570"/>
      <c r="J226" s="570"/>
      <c r="K226" s="570"/>
      <c r="L226" s="570"/>
      <c r="M226" s="570"/>
      <c r="N226" s="570"/>
      <c r="O226" s="570"/>
      <c r="P226" s="870">
        <f>SUM(G226:O226)</f>
        <v>0</v>
      </c>
    </row>
    <row r="227" spans="2:16">
      <c r="B227" s="2835"/>
      <c r="C227" s="2832"/>
      <c r="D227" s="1053">
        <f>+D226</f>
        <v>210.82</v>
      </c>
      <c r="E227" s="419" t="s">
        <v>287</v>
      </c>
      <c r="F227" s="821">
        <v>200000000</v>
      </c>
      <c r="G227" s="570">
        <v>0.2</v>
      </c>
      <c r="H227" s="570"/>
      <c r="I227" s="570">
        <v>0.2</v>
      </c>
      <c r="J227" s="570"/>
      <c r="K227" s="570">
        <v>0.5</v>
      </c>
      <c r="L227" s="570"/>
      <c r="M227" s="570">
        <v>0.1</v>
      </c>
      <c r="N227" s="570"/>
      <c r="O227" s="570"/>
      <c r="P227" s="870">
        <f>SUM(G227:O227)</f>
        <v>1</v>
      </c>
    </row>
    <row r="228" spans="2:16" ht="17.25" thickBot="1">
      <c r="B228" s="2835"/>
      <c r="C228" s="2832"/>
      <c r="D228" s="585">
        <f>+D227</f>
        <v>210.82</v>
      </c>
      <c r="E228" s="426" t="s">
        <v>129</v>
      </c>
      <c r="F228" s="824">
        <f>+'DG-PV Organic'!AI21</f>
        <v>42164000</v>
      </c>
      <c r="G228" s="584">
        <v>1</v>
      </c>
      <c r="H228" s="584"/>
      <c r="I228" s="584"/>
      <c r="J228" s="584"/>
      <c r="K228" s="584"/>
      <c r="L228" s="584"/>
      <c r="M228" s="584"/>
      <c r="N228" s="1032"/>
      <c r="O228" s="1032"/>
      <c r="P228" s="1033">
        <f>SUM(G228:O228)</f>
        <v>1</v>
      </c>
    </row>
    <row r="229" spans="2:16">
      <c r="B229" s="2835"/>
      <c r="C229" s="2832" t="str">
        <f>+'DG-PV Organic'!B21</f>
        <v>MPM Trade</v>
      </c>
      <c r="D229" s="1053" t="str">
        <f>+'DG-PV Organic'!K32</f>
        <v>TBD</v>
      </c>
      <c r="E229" s="419" t="s">
        <v>125</v>
      </c>
      <c r="F229" s="821">
        <v>1050000000</v>
      </c>
      <c r="G229" s="570">
        <v>0.1</v>
      </c>
      <c r="H229" s="570"/>
      <c r="I229" s="570">
        <v>0.2</v>
      </c>
      <c r="J229" s="570"/>
      <c r="K229" s="570">
        <v>0.4</v>
      </c>
      <c r="L229" s="570"/>
      <c r="M229" s="570">
        <v>0.25</v>
      </c>
      <c r="N229" s="570"/>
      <c r="O229" s="570">
        <v>0.05</v>
      </c>
      <c r="P229" s="870">
        <f t="shared" ref="P229:P233" si="39">SUM(G229:O229)</f>
        <v>1</v>
      </c>
    </row>
    <row r="230" spans="2:16">
      <c r="B230" s="2835"/>
      <c r="C230" s="2832"/>
      <c r="D230" s="1053" t="str">
        <f>+D229</f>
        <v>TBD</v>
      </c>
      <c r="E230" s="419" t="s">
        <v>126</v>
      </c>
      <c r="F230" s="821">
        <v>300000000</v>
      </c>
      <c r="G230" s="570">
        <v>0.2</v>
      </c>
      <c r="H230" s="570"/>
      <c r="I230" s="570">
        <v>0.2</v>
      </c>
      <c r="J230" s="570"/>
      <c r="K230" s="570">
        <v>0.5</v>
      </c>
      <c r="L230" s="570"/>
      <c r="M230" s="570">
        <v>0.1</v>
      </c>
      <c r="N230" s="570"/>
      <c r="O230" s="570"/>
      <c r="P230" s="870">
        <f t="shared" si="39"/>
        <v>1</v>
      </c>
    </row>
    <row r="231" spans="2:16">
      <c r="B231" s="2835"/>
      <c r="C231" s="2832"/>
      <c r="D231" s="1053" t="str">
        <f>+D230</f>
        <v>TBD</v>
      </c>
      <c r="E231" s="419" t="s">
        <v>286</v>
      </c>
      <c r="F231" s="821"/>
      <c r="G231" s="570"/>
      <c r="H231" s="570"/>
      <c r="I231" s="570"/>
      <c r="J231" s="570"/>
      <c r="K231" s="570"/>
      <c r="L231" s="570"/>
      <c r="M231" s="570"/>
      <c r="N231" s="570"/>
      <c r="O231" s="570"/>
      <c r="P231" s="870">
        <f t="shared" si="39"/>
        <v>0</v>
      </c>
    </row>
    <row r="232" spans="2:16">
      <c r="B232" s="2835"/>
      <c r="C232" s="2832"/>
      <c r="D232" s="1053" t="str">
        <f>+D231</f>
        <v>TBD</v>
      </c>
      <c r="E232" s="419" t="s">
        <v>287</v>
      </c>
      <c r="F232" s="821">
        <v>200000000</v>
      </c>
      <c r="G232" s="570">
        <v>0.2</v>
      </c>
      <c r="H232" s="570"/>
      <c r="I232" s="570">
        <v>0.2</v>
      </c>
      <c r="J232" s="570"/>
      <c r="K232" s="570">
        <v>0.5</v>
      </c>
      <c r="L232" s="570"/>
      <c r="M232" s="570">
        <v>0.1</v>
      </c>
      <c r="N232" s="570"/>
      <c r="O232" s="570"/>
      <c r="P232" s="870">
        <f t="shared" si="39"/>
        <v>1</v>
      </c>
    </row>
    <row r="233" spans="2:16" ht="17.25" thickBot="1">
      <c r="B233" s="2835"/>
      <c r="C233" s="2833"/>
      <c r="D233" s="818" t="str">
        <f>+D232</f>
        <v>TBD</v>
      </c>
      <c r="E233" s="419" t="s">
        <v>129</v>
      </c>
      <c r="F233" s="852">
        <f>+'DG-PV Organic'!AI32</f>
        <v>66640000</v>
      </c>
      <c r="G233" s="586">
        <v>1</v>
      </c>
      <c r="H233" s="586"/>
      <c r="I233" s="586"/>
      <c r="J233" s="586"/>
      <c r="K233" s="586"/>
      <c r="L233" s="586"/>
      <c r="M233" s="586"/>
      <c r="N233" s="570"/>
      <c r="O233" s="570"/>
      <c r="P233" s="870">
        <f t="shared" si="39"/>
        <v>1</v>
      </c>
    </row>
    <row r="234" spans="2:16">
      <c r="B234" s="2835"/>
      <c r="C234" s="2832" t="str">
        <f>+'DG-PV Organic'!B20</f>
        <v xml:space="preserve">Tyson Foods Korea </v>
      </c>
      <c r="D234" s="1053">
        <f>+'DG-PV Organic'!O20</f>
        <v>650.24</v>
      </c>
      <c r="E234" s="419" t="s">
        <v>125</v>
      </c>
      <c r="F234" s="821">
        <v>1050000000</v>
      </c>
      <c r="G234" s="570">
        <v>0.1</v>
      </c>
      <c r="H234" s="570"/>
      <c r="I234" s="570">
        <v>0.2</v>
      </c>
      <c r="J234" s="570"/>
      <c r="K234" s="570">
        <v>0.4</v>
      </c>
      <c r="L234" s="570"/>
      <c r="M234" s="570">
        <v>0.25</v>
      </c>
      <c r="N234" s="570"/>
      <c r="O234" s="570">
        <v>0.05</v>
      </c>
      <c r="P234" s="870">
        <f t="shared" ref="P234:P238" si="40">SUM(G234:O234)</f>
        <v>1</v>
      </c>
    </row>
    <row r="235" spans="2:16">
      <c r="B235" s="2835"/>
      <c r="C235" s="2832"/>
      <c r="D235" s="1053">
        <f>+D234</f>
        <v>650.24</v>
      </c>
      <c r="E235" s="419" t="s">
        <v>126</v>
      </c>
      <c r="F235" s="821">
        <v>300000000</v>
      </c>
      <c r="G235" s="570">
        <v>0.2</v>
      </c>
      <c r="H235" s="570"/>
      <c r="I235" s="570">
        <v>0.2</v>
      </c>
      <c r="J235" s="570"/>
      <c r="K235" s="570">
        <v>0.5</v>
      </c>
      <c r="L235" s="570"/>
      <c r="M235" s="570">
        <v>0.1</v>
      </c>
      <c r="N235" s="570"/>
      <c r="O235" s="570"/>
      <c r="P235" s="870">
        <f t="shared" si="40"/>
        <v>1</v>
      </c>
    </row>
    <row r="236" spans="2:16">
      <c r="B236" s="2835"/>
      <c r="C236" s="2832"/>
      <c r="D236" s="1053">
        <f>+D235</f>
        <v>650.24</v>
      </c>
      <c r="E236" s="419" t="s">
        <v>286</v>
      </c>
      <c r="F236" s="821"/>
      <c r="G236" s="570"/>
      <c r="H236" s="570"/>
      <c r="I236" s="570"/>
      <c r="J236" s="570"/>
      <c r="K236" s="570"/>
      <c r="L236" s="570"/>
      <c r="M236" s="570"/>
      <c r="N236" s="570"/>
      <c r="O236" s="570"/>
      <c r="P236" s="870">
        <f t="shared" si="40"/>
        <v>0</v>
      </c>
    </row>
    <row r="237" spans="2:16">
      <c r="B237" s="2835"/>
      <c r="C237" s="2832"/>
      <c r="D237" s="1053">
        <f>+D236</f>
        <v>650.24</v>
      </c>
      <c r="E237" s="419" t="s">
        <v>287</v>
      </c>
      <c r="F237" s="821">
        <v>200000000</v>
      </c>
      <c r="G237" s="570">
        <v>0.2</v>
      </c>
      <c r="H237" s="570"/>
      <c r="I237" s="570">
        <v>0.2</v>
      </c>
      <c r="J237" s="570"/>
      <c r="K237" s="570">
        <v>0.5</v>
      </c>
      <c r="L237" s="570"/>
      <c r="M237" s="570">
        <v>0.1</v>
      </c>
      <c r="N237" s="570"/>
      <c r="O237" s="570"/>
      <c r="P237" s="870">
        <f t="shared" si="40"/>
        <v>1</v>
      </c>
    </row>
    <row r="238" spans="2:16" ht="17.25" thickBot="1">
      <c r="B238" s="2836"/>
      <c r="C238" s="2833"/>
      <c r="D238" s="818">
        <f>+D237</f>
        <v>650.24</v>
      </c>
      <c r="E238" s="419" t="s">
        <v>129</v>
      </c>
      <c r="F238" s="852">
        <f>+'DG-PV Organic'!AI37</f>
        <v>0</v>
      </c>
      <c r="G238" s="586">
        <v>1</v>
      </c>
      <c r="H238" s="586"/>
      <c r="I238" s="586"/>
      <c r="J238" s="586"/>
      <c r="K238" s="586"/>
      <c r="L238" s="586"/>
      <c r="M238" s="586"/>
      <c r="N238" s="570"/>
      <c r="O238" s="570"/>
      <c r="P238" s="870">
        <f t="shared" si="40"/>
        <v>1</v>
      </c>
    </row>
    <row r="239" spans="2:16">
      <c r="C239" s="413"/>
      <c r="D239" s="413"/>
      <c r="E239" s="413"/>
    </row>
    <row r="240" spans="2:16">
      <c r="C240" s="413"/>
      <c r="D240" s="413"/>
      <c r="E240" s="413"/>
    </row>
    <row r="241" spans="3:5">
      <c r="C241" s="413"/>
      <c r="D241" s="413"/>
      <c r="E241" s="413"/>
    </row>
    <row r="242" spans="3:5">
      <c r="C242" s="413"/>
      <c r="D242" s="413"/>
      <c r="E242" s="413"/>
    </row>
    <row r="243" spans="3:5">
      <c r="C243" s="413"/>
      <c r="D243" s="413"/>
      <c r="E243" s="413"/>
    </row>
    <row r="244" spans="3:5">
      <c r="C244" s="413"/>
      <c r="D244" s="413"/>
      <c r="E244" s="413"/>
    </row>
    <row r="245" spans="3:5">
      <c r="C245" s="413"/>
      <c r="D245" s="413"/>
      <c r="E245" s="413"/>
    </row>
    <row r="246" spans="3:5">
      <c r="C246" s="413"/>
      <c r="D246" s="413"/>
      <c r="E246" s="413"/>
    </row>
    <row r="247" spans="3:5">
      <c r="C247" s="413"/>
      <c r="D247" s="413"/>
      <c r="E247" s="413"/>
    </row>
    <row r="248" spans="3:5">
      <c r="C248" s="413"/>
      <c r="D248" s="413"/>
      <c r="E248" s="413"/>
    </row>
    <row r="249" spans="3:5">
      <c r="C249" s="413"/>
      <c r="D249" s="413"/>
      <c r="E249" s="413"/>
    </row>
    <row r="250" spans="3:5">
      <c r="C250" s="413"/>
      <c r="D250" s="413"/>
      <c r="E250" s="413"/>
    </row>
    <row r="251" spans="3:5">
      <c r="C251" s="413"/>
      <c r="D251" s="413"/>
      <c r="E251" s="413"/>
    </row>
    <row r="252" spans="3:5">
      <c r="C252" s="413"/>
      <c r="D252" s="413"/>
      <c r="E252" s="413"/>
    </row>
  </sheetData>
  <mergeCells count="52">
    <mergeCell ref="B44:B93"/>
    <mergeCell ref="C44:C48"/>
    <mergeCell ref="C224:C228"/>
    <mergeCell ref="B94:B158"/>
    <mergeCell ref="C119:C123"/>
    <mergeCell ref="C154:C158"/>
    <mergeCell ref="C134:C138"/>
    <mergeCell ref="C144:C148"/>
    <mergeCell ref="C129:C133"/>
    <mergeCell ref="C149:C153"/>
    <mergeCell ref="C109:C113"/>
    <mergeCell ref="C114:C118"/>
    <mergeCell ref="C64:C68"/>
    <mergeCell ref="C49:C53"/>
    <mergeCell ref="C94:C98"/>
    <mergeCell ref="C99:C103"/>
    <mergeCell ref="C234:C238"/>
    <mergeCell ref="B159:B238"/>
    <mergeCell ref="C229:C233"/>
    <mergeCell ref="C189:C193"/>
    <mergeCell ref="C194:C198"/>
    <mergeCell ref="C159:C163"/>
    <mergeCell ref="C199:C203"/>
    <mergeCell ref="C204:C208"/>
    <mergeCell ref="C164:C168"/>
    <mergeCell ref="C169:C173"/>
    <mergeCell ref="C219:C223"/>
    <mergeCell ref="C179:C183"/>
    <mergeCell ref="C209:C213"/>
    <mergeCell ref="C184:C188"/>
    <mergeCell ref="C214:C218"/>
    <mergeCell ref="C174:C178"/>
    <mergeCell ref="B3:E3"/>
    <mergeCell ref="B4:B43"/>
    <mergeCell ref="C4:C8"/>
    <mergeCell ref="C9:C13"/>
    <mergeCell ref="C14:C18"/>
    <mergeCell ref="C19:C23"/>
    <mergeCell ref="C24:C28"/>
    <mergeCell ref="C29:C33"/>
    <mergeCell ref="C34:C38"/>
    <mergeCell ref="C39:C43"/>
    <mergeCell ref="C104:C108"/>
    <mergeCell ref="C124:C128"/>
    <mergeCell ref="C139:C143"/>
    <mergeCell ref="C54:C58"/>
    <mergeCell ref="C74:C78"/>
    <mergeCell ref="C79:C83"/>
    <mergeCell ref="C84:C88"/>
    <mergeCell ref="C89:C93"/>
    <mergeCell ref="C59:C63"/>
    <mergeCell ref="C69:C73"/>
  </mergeCells>
  <phoneticPr fontId="1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7DCE-A6F4-47F7-9F8B-7CFC47C10580}">
  <sheetPr codeName="Sheet6">
    <tabColor theme="4" tint="-0.249977111117893"/>
    <pageSetUpPr fitToPage="1"/>
  </sheetPr>
  <dimension ref="A1:CM203"/>
  <sheetViews>
    <sheetView showGridLines="0" zoomScaleNormal="100" zoomScaleSheetLayoutView="100" workbookViewId="0">
      <pane xSplit="5" ySplit="2" topLeftCell="F3" activePane="bottomRight" state="frozen"/>
      <selection pane="topRight" activeCell="S63" sqref="S63"/>
      <selection pane="bottomLeft" activeCell="S63" sqref="S63"/>
      <selection pane="bottomRight" activeCell="S63" sqref="S63"/>
    </sheetView>
  </sheetViews>
  <sheetFormatPr defaultColWidth="14.25" defaultRowHeight="15" customHeight="1" outlineLevelRow="1" outlineLevelCol="1"/>
  <cols>
    <col min="1" max="1" width="18.375" style="3" bestFit="1" customWidth="1"/>
    <col min="2" max="2" width="19.125" style="1" bestFit="1" customWidth="1"/>
    <col min="3" max="3" width="30.375" style="3" hidden="1" customWidth="1" outlineLevel="1"/>
    <col min="4" max="4" width="24.375" style="3" hidden="1" customWidth="1" outlineLevel="1"/>
    <col min="5" max="5" width="17.5" style="2" hidden="1" customWidth="1" outlineLevel="1"/>
    <col min="6" max="6" width="8.125" style="2" bestFit="1" customWidth="1" collapsed="1"/>
    <col min="7" max="7" width="17.5" style="2" hidden="1" customWidth="1" outlineLevel="1"/>
    <col min="8" max="8" width="8.25" style="2" bestFit="1" customWidth="1" collapsed="1"/>
    <col min="9" max="9" width="8.25" style="2" bestFit="1" customWidth="1"/>
    <col min="10" max="10" width="9.5" style="3" customWidth="1"/>
    <col min="11" max="12" width="5.125" style="2" customWidth="1"/>
    <col min="13" max="13" width="18.875" style="2" bestFit="1" customWidth="1"/>
    <col min="14" max="14" width="10.125" style="32" hidden="1" customWidth="1"/>
    <col min="15" max="15" width="10.375" style="4" customWidth="1"/>
    <col min="16" max="16" width="9.625" style="4" customWidth="1"/>
    <col min="17" max="17" width="10.375" style="4" customWidth="1"/>
    <col min="18" max="18" width="13.125" style="2" customWidth="1" outlineLevel="1"/>
    <col min="19" max="19" width="6" style="2" customWidth="1"/>
    <col min="20" max="20" width="13.625" style="11" customWidth="1"/>
    <col min="21" max="21" width="9.625" style="2" customWidth="1"/>
    <col min="22" max="22" width="15.625" style="2" customWidth="1"/>
    <col min="23" max="23" width="9.375" style="2" hidden="1" customWidth="1"/>
    <col min="24" max="24" width="9.125" style="2" customWidth="1"/>
    <col min="25" max="25" width="14.75" style="11" customWidth="1"/>
    <col min="26" max="26" width="11.875" style="8" customWidth="1"/>
    <col min="27" max="27" width="12.75" style="8" customWidth="1"/>
    <col min="28" max="28" width="12.875" style="8" customWidth="1"/>
    <col min="29" max="29" width="10.875" style="145" customWidth="1"/>
    <col min="30" max="30" width="13.75" style="2" customWidth="1"/>
    <col min="31" max="31" width="11" style="12" customWidth="1"/>
    <col min="32" max="32" width="8.375" style="2" customWidth="1"/>
    <col min="33" max="33" width="8.25" style="2" customWidth="1"/>
    <col min="34" max="34" width="8.125" style="2" customWidth="1"/>
    <col min="35" max="35" width="11.375" style="2" customWidth="1"/>
    <col min="36" max="36" width="27.375" style="342" customWidth="1"/>
    <col min="37" max="38" width="9.375" style="2" customWidth="1" outlineLevel="1"/>
    <col min="39" max="39" width="10.75" style="2" customWidth="1" outlineLevel="1"/>
    <col min="40" max="40" width="27.5" style="36" customWidth="1"/>
    <col min="41" max="41" width="11.625" style="36" customWidth="1"/>
    <col min="42" max="42" width="15.875" style="36" customWidth="1"/>
    <col min="43" max="43" width="13.875" style="36" bestFit="1" customWidth="1"/>
    <col min="44" max="44" width="11.875" style="36" customWidth="1"/>
    <col min="45" max="45" width="11.25" style="14" customWidth="1"/>
    <col min="46" max="46" width="10.125" style="14" bestFit="1" customWidth="1"/>
    <col min="47" max="47" width="16.25" style="14" customWidth="1"/>
    <col min="48" max="49" width="14.625" style="14" hidden="1" customWidth="1" outlineLevel="1"/>
    <col min="50" max="50" width="11.25" style="2" bestFit="1" customWidth="1" collapsed="1"/>
    <col min="51" max="51" width="25.5" style="3" customWidth="1"/>
    <col min="52" max="16384" width="14.25" style="3"/>
  </cols>
  <sheetData>
    <row r="1" spans="1:91" ht="33.75" customHeight="1">
      <c r="A1" s="332" t="s">
        <v>1339</v>
      </c>
      <c r="B1" s="147"/>
      <c r="G1" s="2" t="s">
        <v>454</v>
      </c>
      <c r="P1" s="2"/>
      <c r="Q1" s="2"/>
      <c r="T1" s="48" t="s">
        <v>455</v>
      </c>
      <c r="U1" s="48"/>
      <c r="V1" s="48"/>
      <c r="W1" s="41" t="s">
        <v>1340</v>
      </c>
      <c r="X1" s="41" t="s">
        <v>1340</v>
      </c>
      <c r="Y1" s="43"/>
      <c r="Z1" s="42"/>
      <c r="AA1" s="42"/>
      <c r="AB1" s="42"/>
      <c r="AC1" s="143"/>
      <c r="AD1" s="42"/>
      <c r="AE1" s="44"/>
      <c r="AF1" s="466" t="s">
        <v>1341</v>
      </c>
      <c r="AG1" s="467" t="s">
        <v>458</v>
      </c>
      <c r="AH1" s="46"/>
      <c r="AI1" s="46"/>
      <c r="AJ1" s="46"/>
      <c r="AK1" s="46"/>
      <c r="AL1" s="46"/>
      <c r="AM1" s="46"/>
      <c r="AN1" s="47"/>
      <c r="AO1" s="467" t="s">
        <v>1342</v>
      </c>
      <c r="AP1" s="46"/>
      <c r="AQ1" s="133"/>
      <c r="AR1" s="46"/>
      <c r="AS1" s="467" t="s">
        <v>1343</v>
      </c>
      <c r="AT1" s="655"/>
      <c r="AU1" s="46"/>
      <c r="AV1" s="46"/>
      <c r="AW1" s="46"/>
      <c r="AX1" s="46"/>
      <c r="AY1" s="47"/>
    </row>
    <row r="2" spans="1:91" s="654" customFormat="1" ht="48" customHeight="1" thickBot="1">
      <c r="A2" s="647" t="s">
        <v>1344</v>
      </c>
      <c r="B2" s="647" t="s">
        <v>1345</v>
      </c>
      <c r="C2" s="647" t="s">
        <v>1346</v>
      </c>
      <c r="D2" s="647" t="s">
        <v>1347</v>
      </c>
      <c r="E2" s="647" t="s">
        <v>1348</v>
      </c>
      <c r="F2" s="647" t="s">
        <v>132</v>
      </c>
      <c r="G2" s="647" t="s">
        <v>1349</v>
      </c>
      <c r="H2" s="647" t="s">
        <v>1350</v>
      </c>
      <c r="I2" s="647" t="s">
        <v>1351</v>
      </c>
      <c r="J2" s="647" t="s">
        <v>1352</v>
      </c>
      <c r="K2" s="2846" t="s">
        <v>471</v>
      </c>
      <c r="L2" s="2847"/>
      <c r="M2" s="647" t="s">
        <v>473</v>
      </c>
      <c r="N2" s="652" t="s">
        <v>1353</v>
      </c>
      <c r="O2" s="647" t="s">
        <v>1354</v>
      </c>
      <c r="P2" s="647" t="s">
        <v>1355</v>
      </c>
      <c r="Q2" s="647" t="s">
        <v>1356</v>
      </c>
      <c r="R2" s="647" t="s">
        <v>1357</v>
      </c>
      <c r="S2" s="647" t="s">
        <v>1358</v>
      </c>
      <c r="T2" s="647" t="s">
        <v>1359</v>
      </c>
      <c r="U2" s="647" t="s">
        <v>1360</v>
      </c>
      <c r="V2" s="647" t="s">
        <v>1361</v>
      </c>
      <c r="W2" s="647" t="s">
        <v>1362</v>
      </c>
      <c r="X2" s="647" t="s">
        <v>1363</v>
      </c>
      <c r="Y2" s="647" t="s">
        <v>1364</v>
      </c>
      <c r="Z2" s="647" t="s">
        <v>1365</v>
      </c>
      <c r="AA2" s="647" t="s">
        <v>1366</v>
      </c>
      <c r="AB2" s="647" t="s">
        <v>1367</v>
      </c>
      <c r="AC2" s="647" t="s">
        <v>1368</v>
      </c>
      <c r="AD2" s="647" t="s">
        <v>1369</v>
      </c>
      <c r="AE2" s="647" t="s">
        <v>1370</v>
      </c>
      <c r="AF2" s="647" t="s">
        <v>1371</v>
      </c>
      <c r="AG2" s="647" t="s">
        <v>1372</v>
      </c>
      <c r="AH2" s="647" t="s">
        <v>1373</v>
      </c>
      <c r="AI2" s="647" t="s">
        <v>1374</v>
      </c>
      <c r="AJ2" s="647" t="s">
        <v>1375</v>
      </c>
      <c r="AK2" s="647" t="s">
        <v>1376</v>
      </c>
      <c r="AL2" s="647" t="s">
        <v>1377</v>
      </c>
      <c r="AM2" s="647" t="s">
        <v>1378</v>
      </c>
      <c r="AN2" s="647" t="s">
        <v>1379</v>
      </c>
      <c r="AO2" s="647" t="s">
        <v>1380</v>
      </c>
      <c r="AP2" s="647" t="s">
        <v>1381</v>
      </c>
      <c r="AQ2" s="647" t="s">
        <v>1382</v>
      </c>
      <c r="AR2" s="647" t="s">
        <v>1383</v>
      </c>
      <c r="AS2" s="647" t="s">
        <v>1384</v>
      </c>
      <c r="AT2" s="647" t="s">
        <v>1385</v>
      </c>
      <c r="AU2" s="647" t="s">
        <v>1386</v>
      </c>
      <c r="AV2" s="653" t="s">
        <v>1387</v>
      </c>
      <c r="AW2" s="653" t="s">
        <v>1388</v>
      </c>
      <c r="AX2" s="653" t="s">
        <v>1389</v>
      </c>
      <c r="AY2" s="653" t="s">
        <v>1390</v>
      </c>
    </row>
    <row r="3" spans="1:91" ht="18" customHeight="1" outlineLevel="1">
      <c r="A3" s="1565"/>
      <c r="B3" s="476" t="s">
        <v>151</v>
      </c>
      <c r="C3" s="67" t="s">
        <v>1391</v>
      </c>
      <c r="D3" s="347" t="s">
        <v>1392</v>
      </c>
      <c r="E3" s="350" t="s">
        <v>1393</v>
      </c>
      <c r="F3" s="350" t="s">
        <v>1394</v>
      </c>
      <c r="G3" s="325">
        <v>45569</v>
      </c>
      <c r="H3" s="470">
        <v>6.4699999999999994E-2</v>
      </c>
      <c r="I3" s="470"/>
      <c r="J3" s="1063">
        <v>2617.79</v>
      </c>
      <c r="K3" s="1553">
        <v>1342</v>
      </c>
      <c r="L3" s="471">
        <f>K3/365</f>
        <v>3.6767123287671235</v>
      </c>
      <c r="M3" s="471">
        <v>999.58</v>
      </c>
      <c r="N3" s="327"/>
      <c r="O3" s="1475">
        <v>45838</v>
      </c>
      <c r="P3" s="325" t="s">
        <v>1395</v>
      </c>
      <c r="Q3" s="325" t="s">
        <v>742</v>
      </c>
      <c r="R3" s="1475">
        <f t="shared" ref="R3:R6" si="0">+EDATE(O3,6)</f>
        <v>46021</v>
      </c>
      <c r="S3" s="71">
        <v>1</v>
      </c>
      <c r="T3" s="370" t="s">
        <v>793</v>
      </c>
      <c r="U3" s="350">
        <v>6</v>
      </c>
      <c r="V3" s="71" t="s">
        <v>1396</v>
      </c>
      <c r="W3" s="92"/>
      <c r="X3" s="71" t="s">
        <v>1397</v>
      </c>
      <c r="Y3" s="738">
        <f t="shared" ref="Y3:Y10" si="1">(AE3/3.305)*Z3*1.8</f>
        <v>342166864.00847208</v>
      </c>
      <c r="Z3" s="717">
        <f>11500*3.3058*1.8</f>
        <v>68430.060000000012</v>
      </c>
      <c r="AA3" s="717">
        <v>20000000</v>
      </c>
      <c r="AB3" s="717">
        <f t="shared" ref="AB3:AB10" si="2">AA3/AE3*3.3058</f>
        <v>7201.3941836401264</v>
      </c>
      <c r="AC3" s="717" t="s">
        <v>1394</v>
      </c>
      <c r="AD3" s="71" t="s">
        <v>1398</v>
      </c>
      <c r="AE3" s="460">
        <v>9181</v>
      </c>
      <c r="AF3" s="100">
        <v>46191</v>
      </c>
      <c r="AG3" s="100" t="s">
        <v>1399</v>
      </c>
      <c r="AH3" s="1107">
        <v>45808</v>
      </c>
      <c r="AI3" s="1114">
        <v>45901</v>
      </c>
      <c r="AJ3" s="981" t="s">
        <v>1400</v>
      </c>
      <c r="AK3" s="71" t="s">
        <v>1399</v>
      </c>
      <c r="AL3" s="71" t="s">
        <v>1401</v>
      </c>
      <c r="AM3" s="71" t="s">
        <v>1402</v>
      </c>
      <c r="AN3" s="503" t="s">
        <v>1403</v>
      </c>
      <c r="AO3" s="508">
        <f t="shared" ref="AO3:AO10" si="3">20000000*M3/1000</f>
        <v>19991600</v>
      </c>
      <c r="AP3" s="504" t="s">
        <v>1404</v>
      </c>
      <c r="AQ3" s="508">
        <f t="shared" ref="AQ3:AQ10" si="4">+ROUND(M3/SUM($M$3:$M$10)*3556000000-200000000,)</f>
        <v>244551145</v>
      </c>
      <c r="AR3" s="508">
        <f t="shared" ref="AR3:AR10" si="5">1050000000*M3/1000</f>
        <v>1049559000</v>
      </c>
      <c r="AS3" s="100">
        <f t="shared" ref="AS3" ca="1" si="6">TODAY()</f>
        <v>46037</v>
      </c>
      <c r="AT3" s="498" t="s">
        <v>517</v>
      </c>
      <c r="AU3" s="461">
        <f t="shared" ref="AU3:AU10" si="7">3.6*365*M3*0.98</f>
        <v>1287179.1576</v>
      </c>
      <c r="AV3" s="71" t="s">
        <v>1405</v>
      </c>
      <c r="AW3" s="71" t="s">
        <v>1405</v>
      </c>
      <c r="AX3" s="71" t="s">
        <v>1406</v>
      </c>
      <c r="AY3" s="2853" t="s">
        <v>1407</v>
      </c>
    </row>
    <row r="4" spans="1:91" ht="18" customHeight="1" outlineLevel="1">
      <c r="A4" s="1565"/>
      <c r="B4" s="476" t="s">
        <v>152</v>
      </c>
      <c r="C4" s="67" t="s">
        <v>1408</v>
      </c>
      <c r="D4" s="355" t="s">
        <v>1409</v>
      </c>
      <c r="E4" s="350" t="s">
        <v>1393</v>
      </c>
      <c r="F4" s="350" t="s">
        <v>1394</v>
      </c>
      <c r="G4" s="325">
        <v>45569</v>
      </c>
      <c r="H4" s="470">
        <v>6.4699999999999994E-2</v>
      </c>
      <c r="I4" s="470"/>
      <c r="J4" s="1063">
        <v>2617.79</v>
      </c>
      <c r="K4" s="1553">
        <v>1342</v>
      </c>
      <c r="L4" s="471">
        <f t="shared" ref="L4:L20" si="8">K4/365</f>
        <v>3.6767123287671235</v>
      </c>
      <c r="M4" s="471">
        <v>999.58</v>
      </c>
      <c r="N4" s="348"/>
      <c r="O4" s="1475">
        <v>45838</v>
      </c>
      <c r="P4" s="325" t="s">
        <v>1395</v>
      </c>
      <c r="Q4" s="325" t="s">
        <v>742</v>
      </c>
      <c r="R4" s="1475">
        <f t="shared" si="0"/>
        <v>46021</v>
      </c>
      <c r="S4" s="71">
        <v>1</v>
      </c>
      <c r="T4" s="370" t="s">
        <v>793</v>
      </c>
      <c r="U4" s="350">
        <v>6</v>
      </c>
      <c r="V4" s="71" t="s">
        <v>1410</v>
      </c>
      <c r="W4" s="92"/>
      <c r="X4" s="71" t="s">
        <v>1397</v>
      </c>
      <c r="Y4" s="738">
        <f t="shared" si="1"/>
        <v>350962352.50711048</v>
      </c>
      <c r="Z4" s="717">
        <f>11500*3.3058*1.8</f>
        <v>68430.060000000012</v>
      </c>
      <c r="AA4" s="717">
        <v>20000000</v>
      </c>
      <c r="AB4" s="717">
        <f t="shared" si="2"/>
        <v>7020.9196134650092</v>
      </c>
      <c r="AC4" s="717" t="s">
        <v>1394</v>
      </c>
      <c r="AD4" s="71" t="s">
        <v>1398</v>
      </c>
      <c r="AE4" s="460">
        <v>9417</v>
      </c>
      <c r="AF4" s="100">
        <v>46191</v>
      </c>
      <c r="AG4" s="100" t="s">
        <v>1399</v>
      </c>
      <c r="AH4" s="1107">
        <v>45808</v>
      </c>
      <c r="AI4" s="1114">
        <v>45901</v>
      </c>
      <c r="AJ4" s="981" t="s">
        <v>1400</v>
      </c>
      <c r="AK4" s="71" t="s">
        <v>1399</v>
      </c>
      <c r="AL4" s="71" t="s">
        <v>1401</v>
      </c>
      <c r="AM4" s="71" t="s">
        <v>1402</v>
      </c>
      <c r="AN4" s="503" t="s">
        <v>1411</v>
      </c>
      <c r="AO4" s="508">
        <f t="shared" si="3"/>
        <v>19991600</v>
      </c>
      <c r="AP4" s="504" t="s">
        <v>1404</v>
      </c>
      <c r="AQ4" s="508">
        <f t="shared" si="4"/>
        <v>244551145</v>
      </c>
      <c r="AR4" s="508">
        <f t="shared" si="5"/>
        <v>1049559000</v>
      </c>
      <c r="AS4" s="100">
        <v>45720</v>
      </c>
      <c r="AT4" s="498" t="s">
        <v>517</v>
      </c>
      <c r="AU4" s="461">
        <f t="shared" si="7"/>
        <v>1287179.1576</v>
      </c>
      <c r="AV4" s="71" t="s">
        <v>1405</v>
      </c>
      <c r="AW4" s="71" t="s">
        <v>1405</v>
      </c>
      <c r="AX4" s="71" t="s">
        <v>1406</v>
      </c>
      <c r="AY4" s="2854"/>
    </row>
    <row r="5" spans="1:91" ht="18" customHeight="1" outlineLevel="1">
      <c r="A5" s="1565"/>
      <c r="B5" s="476" t="s">
        <v>153</v>
      </c>
      <c r="C5" s="67" t="s">
        <v>1412</v>
      </c>
      <c r="D5" s="1434" t="s">
        <v>1413</v>
      </c>
      <c r="E5" s="350" t="s">
        <v>1414</v>
      </c>
      <c r="F5" s="350" t="s">
        <v>1394</v>
      </c>
      <c r="G5" s="325">
        <v>45569</v>
      </c>
      <c r="H5" s="470">
        <v>6.1899999999999997E-2</v>
      </c>
      <c r="I5" s="470"/>
      <c r="J5" s="1063">
        <v>2185.15</v>
      </c>
      <c r="K5" s="1553">
        <v>1319</v>
      </c>
      <c r="L5" s="471">
        <f t="shared" si="8"/>
        <v>3.6136986301369864</v>
      </c>
      <c r="M5" s="471">
        <v>999.6</v>
      </c>
      <c r="N5" s="348"/>
      <c r="O5" s="1475">
        <v>45838</v>
      </c>
      <c r="P5" s="325" t="s">
        <v>1395</v>
      </c>
      <c r="Q5" s="325" t="s">
        <v>742</v>
      </c>
      <c r="R5" s="1475">
        <f t="shared" si="0"/>
        <v>46021</v>
      </c>
      <c r="S5" s="71">
        <v>1</v>
      </c>
      <c r="T5" s="370" t="s">
        <v>793</v>
      </c>
      <c r="U5" s="350">
        <v>6</v>
      </c>
      <c r="V5" s="71" t="s">
        <v>1410</v>
      </c>
      <c r="W5" s="92"/>
      <c r="X5" s="71" t="s">
        <v>1397</v>
      </c>
      <c r="Y5" s="738">
        <f t="shared" si="1"/>
        <v>339105943.2689864</v>
      </c>
      <c r="Z5" s="717">
        <f>13000*3.3058*1.8</f>
        <v>77355.72</v>
      </c>
      <c r="AA5" s="717">
        <v>20000000</v>
      </c>
      <c r="AB5" s="717">
        <f t="shared" si="2"/>
        <v>8214.1880979003599</v>
      </c>
      <c r="AC5" s="717" t="s">
        <v>1394</v>
      </c>
      <c r="AD5" s="71" t="s">
        <v>1415</v>
      </c>
      <c r="AE5" s="460">
        <v>8049</v>
      </c>
      <c r="AF5" s="100">
        <v>46191</v>
      </c>
      <c r="AG5" s="100" t="s">
        <v>1399</v>
      </c>
      <c r="AH5" s="1107">
        <v>45808</v>
      </c>
      <c r="AI5" s="1114">
        <v>45901</v>
      </c>
      <c r="AJ5" s="981" t="s">
        <v>1416</v>
      </c>
      <c r="AK5" s="71" t="s">
        <v>1399</v>
      </c>
      <c r="AL5" s="71" t="s">
        <v>1401</v>
      </c>
      <c r="AM5" s="71" t="s">
        <v>1402</v>
      </c>
      <c r="AN5" s="503" t="s">
        <v>1411</v>
      </c>
      <c r="AO5" s="508">
        <f t="shared" si="3"/>
        <v>19992000</v>
      </c>
      <c r="AP5" s="504" t="s">
        <v>1404</v>
      </c>
      <c r="AQ5" s="508">
        <f t="shared" si="4"/>
        <v>244560040</v>
      </c>
      <c r="AR5" s="508">
        <f t="shared" si="5"/>
        <v>1049580000</v>
      </c>
      <c r="AS5" s="100">
        <v>45720</v>
      </c>
      <c r="AT5" s="498" t="s">
        <v>517</v>
      </c>
      <c r="AU5" s="461">
        <f t="shared" si="7"/>
        <v>1287204.912</v>
      </c>
      <c r="AV5" s="71" t="s">
        <v>1405</v>
      </c>
      <c r="AW5" s="71" t="s">
        <v>1405</v>
      </c>
      <c r="AX5" s="71" t="s">
        <v>1406</v>
      </c>
      <c r="AY5" s="2854"/>
    </row>
    <row r="6" spans="1:91" ht="18" customHeight="1" outlineLevel="1">
      <c r="A6" s="1559" t="str">
        <f>"GM Batch1"</f>
        <v>GM Batch1</v>
      </c>
      <c r="B6" s="476" t="s">
        <v>154</v>
      </c>
      <c r="C6" s="67" t="s">
        <v>1412</v>
      </c>
      <c r="D6" s="355" t="s">
        <v>1413</v>
      </c>
      <c r="E6" s="350" t="s">
        <v>1414</v>
      </c>
      <c r="F6" s="350" t="s">
        <v>1394</v>
      </c>
      <c r="G6" s="325">
        <v>45569</v>
      </c>
      <c r="H6" s="470">
        <v>6.1899999999999997E-2</v>
      </c>
      <c r="I6" s="470"/>
      <c r="J6" s="1063">
        <v>2185.15</v>
      </c>
      <c r="K6" s="1553">
        <v>1319</v>
      </c>
      <c r="L6" s="471">
        <f t="shared" si="8"/>
        <v>3.6136986301369864</v>
      </c>
      <c r="M6" s="471">
        <v>999.6</v>
      </c>
      <c r="N6" s="348"/>
      <c r="O6" s="1475">
        <v>45838</v>
      </c>
      <c r="P6" s="325" t="s">
        <v>1395</v>
      </c>
      <c r="Q6" s="325" t="s">
        <v>742</v>
      </c>
      <c r="R6" s="1475">
        <f t="shared" si="0"/>
        <v>46021</v>
      </c>
      <c r="S6" s="71">
        <v>1</v>
      </c>
      <c r="T6" s="370" t="s">
        <v>793</v>
      </c>
      <c r="U6" s="350">
        <v>6</v>
      </c>
      <c r="V6" s="71" t="s">
        <v>1410</v>
      </c>
      <c r="W6" s="92"/>
      <c r="X6" s="71" t="s">
        <v>1397</v>
      </c>
      <c r="Y6" s="738">
        <f t="shared" si="1"/>
        <v>358527963.37670195</v>
      </c>
      <c r="Z6" s="717">
        <f>13000*3.3058*1.8</f>
        <v>77355.72</v>
      </c>
      <c r="AA6" s="717">
        <v>20000000</v>
      </c>
      <c r="AB6" s="717">
        <f t="shared" si="2"/>
        <v>7769.212690951822</v>
      </c>
      <c r="AC6" s="717" t="s">
        <v>1394</v>
      </c>
      <c r="AD6" s="71" t="s">
        <v>1415</v>
      </c>
      <c r="AE6" s="460">
        <v>8510</v>
      </c>
      <c r="AF6" s="100">
        <v>46191</v>
      </c>
      <c r="AG6" s="100" t="s">
        <v>1399</v>
      </c>
      <c r="AH6" s="1107">
        <v>45808</v>
      </c>
      <c r="AI6" s="1114">
        <v>45901</v>
      </c>
      <c r="AJ6" s="981" t="s">
        <v>1416</v>
      </c>
      <c r="AK6" s="71" t="s">
        <v>1399</v>
      </c>
      <c r="AL6" s="71" t="s">
        <v>1401</v>
      </c>
      <c r="AM6" s="71" t="s">
        <v>1402</v>
      </c>
      <c r="AN6" s="503" t="s">
        <v>1411</v>
      </c>
      <c r="AO6" s="508">
        <f t="shared" si="3"/>
        <v>19992000</v>
      </c>
      <c r="AP6" s="504" t="s">
        <v>1404</v>
      </c>
      <c r="AQ6" s="508">
        <f t="shared" si="4"/>
        <v>244560040</v>
      </c>
      <c r="AR6" s="508">
        <f t="shared" si="5"/>
        <v>1049580000</v>
      </c>
      <c r="AS6" s="100">
        <v>45720</v>
      </c>
      <c r="AT6" s="498" t="s">
        <v>517</v>
      </c>
      <c r="AU6" s="461">
        <f t="shared" si="7"/>
        <v>1287204.912</v>
      </c>
      <c r="AV6" s="71" t="s">
        <v>1405</v>
      </c>
      <c r="AW6" s="71" t="s">
        <v>1405</v>
      </c>
      <c r="AX6" s="71" t="s">
        <v>1406</v>
      </c>
      <c r="AY6" s="2854"/>
    </row>
    <row r="7" spans="1:91" ht="18" customHeight="1" outlineLevel="1">
      <c r="A7" s="1564">
        <f>SUM(M3:M10)</f>
        <v>7995.7200000000012</v>
      </c>
      <c r="B7" s="476" t="s">
        <v>155</v>
      </c>
      <c r="C7" s="67" t="s">
        <v>1417</v>
      </c>
      <c r="D7" s="355" t="s">
        <v>1418</v>
      </c>
      <c r="E7" s="350" t="s">
        <v>1419</v>
      </c>
      <c r="F7" s="350" t="s">
        <v>1394</v>
      </c>
      <c r="G7" s="325">
        <v>45569</v>
      </c>
      <c r="H7" s="470">
        <v>7.3400000000000007E-2</v>
      </c>
      <c r="I7" s="470"/>
      <c r="J7" s="1063">
        <v>2952.07</v>
      </c>
      <c r="K7" s="1553">
        <v>1428</v>
      </c>
      <c r="L7" s="471">
        <f t="shared" si="8"/>
        <v>3.9123287671232876</v>
      </c>
      <c r="M7" s="471">
        <v>999.24</v>
      </c>
      <c r="N7" s="348"/>
      <c r="O7" s="1116" t="s">
        <v>1420</v>
      </c>
      <c r="P7" s="325" t="s">
        <v>1395</v>
      </c>
      <c r="Q7" s="325" t="s">
        <v>742</v>
      </c>
      <c r="R7" s="1116" t="s">
        <v>1421</v>
      </c>
      <c r="S7" s="71">
        <v>1</v>
      </c>
      <c r="T7" s="370" t="s">
        <v>793</v>
      </c>
      <c r="U7" s="350">
        <v>6</v>
      </c>
      <c r="V7" s="71" t="s">
        <v>1410</v>
      </c>
      <c r="W7" s="92"/>
      <c r="X7" s="71" t="s">
        <v>1397</v>
      </c>
      <c r="Y7" s="738">
        <f t="shared" si="1"/>
        <v>479091392.79532832</v>
      </c>
      <c r="Z7" s="717">
        <f>18110*3.3058*1.8</f>
        <v>107762.4684</v>
      </c>
      <c r="AA7" s="717">
        <v>20000000</v>
      </c>
      <c r="AB7" s="717">
        <f t="shared" si="2"/>
        <v>8099.4732328800683</v>
      </c>
      <c r="AC7" s="717" t="s">
        <v>1394</v>
      </c>
      <c r="AD7" s="71" t="s">
        <v>1415</v>
      </c>
      <c r="AE7" s="460">
        <v>8163</v>
      </c>
      <c r="AF7" s="1107">
        <v>45870</v>
      </c>
      <c r="AG7" s="100" t="s">
        <v>1399</v>
      </c>
      <c r="AH7" s="1107">
        <v>45904</v>
      </c>
      <c r="AI7" s="1114">
        <v>46054</v>
      </c>
      <c r="AJ7" s="981" t="s">
        <v>1422</v>
      </c>
      <c r="AK7" s="71" t="s">
        <v>1399</v>
      </c>
      <c r="AL7" s="71" t="s">
        <v>1401</v>
      </c>
      <c r="AM7" s="71" t="s">
        <v>1402</v>
      </c>
      <c r="AN7" s="503" t="s">
        <v>1403</v>
      </c>
      <c r="AO7" s="508">
        <f t="shared" si="3"/>
        <v>19984800</v>
      </c>
      <c r="AP7" s="504" t="s">
        <v>1404</v>
      </c>
      <c r="AQ7" s="508">
        <f t="shared" si="4"/>
        <v>244399934</v>
      </c>
      <c r="AR7" s="508">
        <f t="shared" si="5"/>
        <v>1049202000</v>
      </c>
      <c r="AS7" s="100">
        <v>45720</v>
      </c>
      <c r="AT7" s="498" t="s">
        <v>517</v>
      </c>
      <c r="AU7" s="461">
        <f t="shared" si="7"/>
        <v>1286741.3328</v>
      </c>
      <c r="AV7" s="71" t="s">
        <v>1423</v>
      </c>
      <c r="AW7" s="71" t="s">
        <v>1423</v>
      </c>
      <c r="AX7" s="71" t="s">
        <v>1406</v>
      </c>
      <c r="AY7" s="2854"/>
    </row>
    <row r="8" spans="1:91" ht="18" customHeight="1" outlineLevel="1">
      <c r="A8" s="1565"/>
      <c r="B8" s="476" t="s">
        <v>156</v>
      </c>
      <c r="C8" s="67" t="s">
        <v>1424</v>
      </c>
      <c r="D8" s="355" t="s">
        <v>1425</v>
      </c>
      <c r="E8" s="350" t="s">
        <v>1419</v>
      </c>
      <c r="F8" s="350" t="s">
        <v>1394</v>
      </c>
      <c r="G8" s="325">
        <v>45569</v>
      </c>
      <c r="H8" s="470">
        <v>7.3400000000000007E-2</v>
      </c>
      <c r="I8" s="470"/>
      <c r="J8" s="1063">
        <v>2952.07</v>
      </c>
      <c r="K8" s="1553">
        <v>1428</v>
      </c>
      <c r="L8" s="471">
        <f t="shared" si="8"/>
        <v>3.9123287671232876</v>
      </c>
      <c r="M8" s="471">
        <v>999.24</v>
      </c>
      <c r="N8" s="348"/>
      <c r="O8" s="1116" t="s">
        <v>1420</v>
      </c>
      <c r="P8" s="325" t="s">
        <v>1395</v>
      </c>
      <c r="Q8" s="325" t="s">
        <v>742</v>
      </c>
      <c r="R8" s="1116" t="s">
        <v>1421</v>
      </c>
      <c r="S8" s="71">
        <v>1</v>
      </c>
      <c r="T8" s="370" t="s">
        <v>793</v>
      </c>
      <c r="U8" s="350">
        <v>6</v>
      </c>
      <c r="V8" s="71" t="s">
        <v>1410</v>
      </c>
      <c r="W8" s="92"/>
      <c r="X8" s="71" t="s">
        <v>1397</v>
      </c>
      <c r="Y8" s="738">
        <f t="shared" si="1"/>
        <v>458549681.72361875</v>
      </c>
      <c r="Z8" s="717">
        <f>18110*3.3058*1.8</f>
        <v>107762.4684</v>
      </c>
      <c r="AA8" s="717">
        <v>20000000</v>
      </c>
      <c r="AB8" s="717">
        <f t="shared" si="2"/>
        <v>8462.3064123896074</v>
      </c>
      <c r="AC8" s="717" t="s">
        <v>1394</v>
      </c>
      <c r="AD8" s="71" t="s">
        <v>1415</v>
      </c>
      <c r="AE8" s="460">
        <v>7813</v>
      </c>
      <c r="AF8" s="1107">
        <v>45870</v>
      </c>
      <c r="AG8" s="100" t="s">
        <v>1399</v>
      </c>
      <c r="AH8" s="1107">
        <v>45904</v>
      </c>
      <c r="AI8" s="1114">
        <v>46054</v>
      </c>
      <c r="AJ8" s="981" t="s">
        <v>1426</v>
      </c>
      <c r="AK8" s="71" t="s">
        <v>1399</v>
      </c>
      <c r="AL8" s="71" t="s">
        <v>1401</v>
      </c>
      <c r="AM8" s="71" t="s">
        <v>1402</v>
      </c>
      <c r="AN8" s="503" t="s">
        <v>1411</v>
      </c>
      <c r="AO8" s="508">
        <f t="shared" si="3"/>
        <v>19984800</v>
      </c>
      <c r="AP8" s="504" t="s">
        <v>1404</v>
      </c>
      <c r="AQ8" s="508">
        <f t="shared" si="4"/>
        <v>244399934</v>
      </c>
      <c r="AR8" s="508">
        <f t="shared" si="5"/>
        <v>1049202000</v>
      </c>
      <c r="AS8" s="100">
        <v>45720</v>
      </c>
      <c r="AT8" s="498" t="s">
        <v>517</v>
      </c>
      <c r="AU8" s="461">
        <f t="shared" si="7"/>
        <v>1286741.3328</v>
      </c>
      <c r="AV8" s="71" t="s">
        <v>1427</v>
      </c>
      <c r="AW8" s="71" t="s">
        <v>1427</v>
      </c>
      <c r="AX8" s="71" t="s">
        <v>1406</v>
      </c>
      <c r="AY8" s="2854"/>
    </row>
    <row r="9" spans="1:91" ht="18" customHeight="1" outlineLevel="1">
      <c r="A9" s="1565"/>
      <c r="B9" s="476" t="s">
        <v>157</v>
      </c>
      <c r="C9" s="67" t="s">
        <v>1428</v>
      </c>
      <c r="D9" s="67" t="s">
        <v>1429</v>
      </c>
      <c r="E9" s="350" t="s">
        <v>1430</v>
      </c>
      <c r="F9" s="350" t="s">
        <v>1394</v>
      </c>
      <c r="G9" s="325">
        <v>45569</v>
      </c>
      <c r="H9" s="470">
        <v>6.8500000000000005E-2</v>
      </c>
      <c r="I9" s="470"/>
      <c r="J9" s="1063">
        <v>1411.3</v>
      </c>
      <c r="K9" s="1553">
        <v>1379</v>
      </c>
      <c r="L9" s="471">
        <f t="shared" si="8"/>
        <v>3.7780821917808218</v>
      </c>
      <c r="M9" s="471">
        <v>999.44</v>
      </c>
      <c r="N9" s="327"/>
      <c r="O9" s="1116" t="s">
        <v>1431</v>
      </c>
      <c r="P9" s="325" t="s">
        <v>1395</v>
      </c>
      <c r="Q9" s="325" t="s">
        <v>742</v>
      </c>
      <c r="R9" s="1116" t="s">
        <v>1432</v>
      </c>
      <c r="S9" s="71">
        <v>1</v>
      </c>
      <c r="T9" s="370" t="s">
        <v>793</v>
      </c>
      <c r="U9" s="350">
        <v>6</v>
      </c>
      <c r="V9" s="71" t="s">
        <v>1410</v>
      </c>
      <c r="W9" s="92"/>
      <c r="X9" s="71" t="s">
        <v>1397</v>
      </c>
      <c r="Y9" s="738">
        <f t="shared" si="1"/>
        <v>209528337.22943419</v>
      </c>
      <c r="Z9" s="717">
        <f>7510*3.3058*1.8</f>
        <v>44687.804400000001</v>
      </c>
      <c r="AA9" s="717">
        <v>20000000</v>
      </c>
      <c r="AB9" s="717">
        <f t="shared" si="2"/>
        <v>7679.8699035892678</v>
      </c>
      <c r="AC9" s="717" t="s">
        <v>1394</v>
      </c>
      <c r="AD9" s="71" t="s">
        <v>1415</v>
      </c>
      <c r="AE9" s="460">
        <v>8609</v>
      </c>
      <c r="AF9" s="100">
        <v>46449</v>
      </c>
      <c r="AG9" s="100" t="s">
        <v>1399</v>
      </c>
      <c r="AH9" s="100">
        <v>46054</v>
      </c>
      <c r="AI9" s="1114">
        <v>46054</v>
      </c>
      <c r="AJ9" s="981" t="s">
        <v>1426</v>
      </c>
      <c r="AK9" s="71" t="s">
        <v>1399</v>
      </c>
      <c r="AL9" s="71" t="s">
        <v>1401</v>
      </c>
      <c r="AM9" s="71" t="s">
        <v>1402</v>
      </c>
      <c r="AN9" s="503" t="s">
        <v>1411</v>
      </c>
      <c r="AO9" s="508">
        <f t="shared" si="3"/>
        <v>19988800</v>
      </c>
      <c r="AP9" s="504" t="s">
        <v>1404</v>
      </c>
      <c r="AQ9" s="508">
        <f t="shared" si="4"/>
        <v>244488882</v>
      </c>
      <c r="AR9" s="508">
        <f t="shared" si="5"/>
        <v>1049412000</v>
      </c>
      <c r="AS9" s="100">
        <v>45720</v>
      </c>
      <c r="AT9" s="498" t="s">
        <v>517</v>
      </c>
      <c r="AU9" s="461">
        <f t="shared" si="7"/>
        <v>1286998.8768000002</v>
      </c>
      <c r="AV9" s="71" t="s">
        <v>1433</v>
      </c>
      <c r="AW9" s="71" t="s">
        <v>1433</v>
      </c>
      <c r="AX9" s="71" t="s">
        <v>1406</v>
      </c>
      <c r="AY9" s="2854"/>
    </row>
    <row r="10" spans="1:91" s="161" customFormat="1" ht="18" customHeight="1" outlineLevel="1">
      <c r="A10" s="1566"/>
      <c r="B10" s="718" t="s">
        <v>158</v>
      </c>
      <c r="C10" s="719" t="s">
        <v>1434</v>
      </c>
      <c r="D10" s="719" t="s">
        <v>1435</v>
      </c>
      <c r="E10" s="720" t="s">
        <v>1436</v>
      </c>
      <c r="F10" s="720" t="s">
        <v>1394</v>
      </c>
      <c r="G10" s="722">
        <v>45569</v>
      </c>
      <c r="H10" s="721">
        <v>6.7799999999999999E-2</v>
      </c>
      <c r="I10" s="721"/>
      <c r="J10" s="1064">
        <v>1806.8</v>
      </c>
      <c r="K10" s="1554">
        <v>1373</v>
      </c>
      <c r="L10" s="737">
        <f t="shared" si="8"/>
        <v>3.7616438356164386</v>
      </c>
      <c r="M10" s="737">
        <v>999.44</v>
      </c>
      <c r="N10" s="723"/>
      <c r="O10" s="1116" t="s">
        <v>1437</v>
      </c>
      <c r="P10" s="722" t="s">
        <v>1395</v>
      </c>
      <c r="Q10" s="722" t="s">
        <v>742</v>
      </c>
      <c r="R10" s="1116" t="s">
        <v>1438</v>
      </c>
      <c r="S10" s="725">
        <v>1</v>
      </c>
      <c r="T10" s="726" t="s">
        <v>793</v>
      </c>
      <c r="U10" s="720">
        <v>6</v>
      </c>
      <c r="V10" s="725" t="s">
        <v>1410</v>
      </c>
      <c r="W10" s="728"/>
      <c r="X10" s="725" t="s">
        <v>1397</v>
      </c>
      <c r="Y10" s="739">
        <f t="shared" si="1"/>
        <v>219818507.83951586</v>
      </c>
      <c r="Z10" s="729">
        <f>7800*3.3058*1.8</f>
        <v>46413.432000000001</v>
      </c>
      <c r="AA10" s="729">
        <v>20000000</v>
      </c>
      <c r="AB10" s="729">
        <f t="shared" si="2"/>
        <v>7603.0358785648577</v>
      </c>
      <c r="AC10" s="729" t="s">
        <v>1394</v>
      </c>
      <c r="AD10" s="725" t="s">
        <v>1415</v>
      </c>
      <c r="AE10" s="730">
        <f>385+8311</f>
        <v>8696</v>
      </c>
      <c r="AF10" s="727">
        <v>46449</v>
      </c>
      <c r="AG10" s="727" t="s">
        <v>1399</v>
      </c>
      <c r="AH10" s="727">
        <v>46054</v>
      </c>
      <c r="AI10" s="1115">
        <v>46054</v>
      </c>
      <c r="AJ10" s="981" t="s">
        <v>1426</v>
      </c>
      <c r="AK10" s="725" t="s">
        <v>1399</v>
      </c>
      <c r="AL10" s="725" t="s">
        <v>1401</v>
      </c>
      <c r="AM10" s="725" t="s">
        <v>1402</v>
      </c>
      <c r="AN10" s="735" t="s">
        <v>1411</v>
      </c>
      <c r="AO10" s="731">
        <f t="shared" si="3"/>
        <v>19988800</v>
      </c>
      <c r="AP10" s="732" t="s">
        <v>1404</v>
      </c>
      <c r="AQ10" s="508">
        <f t="shared" si="4"/>
        <v>244488882</v>
      </c>
      <c r="AR10" s="731">
        <f t="shared" si="5"/>
        <v>1049412000</v>
      </c>
      <c r="AS10" s="727">
        <v>45720</v>
      </c>
      <c r="AT10" s="740" t="s">
        <v>517</v>
      </c>
      <c r="AU10" s="733">
        <f t="shared" si="7"/>
        <v>1286998.8768000002</v>
      </c>
      <c r="AV10" s="725" t="s">
        <v>1439</v>
      </c>
      <c r="AW10" s="725" t="s">
        <v>1439</v>
      </c>
      <c r="AX10" s="725" t="s">
        <v>1406</v>
      </c>
      <c r="AY10" s="2855"/>
    </row>
    <row r="11" spans="1:91" s="63" customFormat="1" ht="18" customHeight="1">
      <c r="A11" s="1561"/>
      <c r="B11" s="1087" t="s">
        <v>159</v>
      </c>
      <c r="C11" s="1088" t="s">
        <v>1440</v>
      </c>
      <c r="D11" s="1108" t="s">
        <v>1441</v>
      </c>
      <c r="E11" s="1089" t="s">
        <v>1442</v>
      </c>
      <c r="F11" s="1089" t="s">
        <v>1394</v>
      </c>
      <c r="G11" s="1090">
        <v>45572</v>
      </c>
      <c r="H11" s="1091">
        <v>7.2700000000000001E-2</v>
      </c>
      <c r="I11" s="1091"/>
      <c r="J11" s="1092">
        <v>1285.0226399999999</v>
      </c>
      <c r="K11" s="1093">
        <v>1286</v>
      </c>
      <c r="L11" s="1094">
        <f t="shared" si="8"/>
        <v>3.5232876712328767</v>
      </c>
      <c r="M11" s="1094">
        <v>999.24</v>
      </c>
      <c r="N11" s="1095"/>
      <c r="O11" s="1096">
        <v>45839</v>
      </c>
      <c r="P11" s="1090" t="s">
        <v>1395</v>
      </c>
      <c r="Q11" s="1090" t="s">
        <v>742</v>
      </c>
      <c r="R11" s="1096">
        <f t="shared" ref="R11:R23" si="9">+EDATE(O11,6)</f>
        <v>46023</v>
      </c>
      <c r="S11" s="1089">
        <v>1</v>
      </c>
      <c r="T11" s="1097">
        <f t="shared" ref="T11:T20" si="10">20000000*M11/1000</f>
        <v>19984800</v>
      </c>
      <c r="U11" s="1089">
        <v>6</v>
      </c>
      <c r="V11" s="1089" t="s">
        <v>1443</v>
      </c>
      <c r="W11" s="1089"/>
      <c r="X11" s="1089" t="s">
        <v>1397</v>
      </c>
      <c r="Y11" s="1098">
        <f t="shared" ref="Y11:Y20" si="11">300000000*M11/1000</f>
        <v>299772000</v>
      </c>
      <c r="Z11" s="1099" t="s">
        <v>793</v>
      </c>
      <c r="AA11" s="1099" t="s">
        <v>793</v>
      </c>
      <c r="AB11" s="1099" t="s">
        <v>793</v>
      </c>
      <c r="AC11" s="1099">
        <v>1934479985</v>
      </c>
      <c r="AD11" s="1089" t="s">
        <v>1398</v>
      </c>
      <c r="AE11" s="1097">
        <v>5871</v>
      </c>
      <c r="AF11" s="1100">
        <v>45835</v>
      </c>
      <c r="AG11" s="1090" t="s">
        <v>1399</v>
      </c>
      <c r="AH11" s="1090">
        <v>46200</v>
      </c>
      <c r="AI11" s="1120">
        <v>45986</v>
      </c>
      <c r="AJ11" s="1123" t="s">
        <v>1444</v>
      </c>
      <c r="AK11" s="1089" t="s">
        <v>1399</v>
      </c>
      <c r="AL11" s="1089" t="s">
        <v>1401</v>
      </c>
      <c r="AM11" s="1089" t="s">
        <v>1402</v>
      </c>
      <c r="AN11" s="1110">
        <v>400000000</v>
      </c>
      <c r="AO11" s="1111"/>
      <c r="AP11" s="1112" t="s">
        <v>1445</v>
      </c>
      <c r="AQ11" s="1111">
        <f t="shared" ref="AQ11:AQ20" si="12">+M11/(SUM($M$11:$M$30)+SUM($M$11:$M$30))*2906550000</f>
        <v>104504425.87605734</v>
      </c>
      <c r="AR11" s="1111">
        <f t="shared" ref="AR11:AR17" si="13">+M11*1050000000/1000</f>
        <v>1049202000</v>
      </c>
      <c r="AS11" s="1090">
        <v>45720</v>
      </c>
      <c r="AT11" s="1109" t="s">
        <v>517</v>
      </c>
      <c r="AU11" s="1113">
        <f>365*Sheet1!F19*Sheet1!G19</f>
        <v>1652252.8</v>
      </c>
      <c r="AV11" s="1089" t="s">
        <v>1446</v>
      </c>
      <c r="AW11" s="1089" t="s">
        <v>1446</v>
      </c>
      <c r="AX11" s="1089" t="s">
        <v>1406</v>
      </c>
      <c r="AY11" s="2862" t="s">
        <v>1447</v>
      </c>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row>
    <row r="12" spans="1:91" ht="18" customHeight="1">
      <c r="A12" s="1562"/>
      <c r="B12" s="476" t="s">
        <v>160</v>
      </c>
      <c r="C12" s="67" t="s">
        <v>1448</v>
      </c>
      <c r="D12" s="67" t="s">
        <v>1449</v>
      </c>
      <c r="E12" s="71" t="s">
        <v>1450</v>
      </c>
      <c r="F12" s="71" t="s">
        <v>1394</v>
      </c>
      <c r="G12" s="100">
        <v>45572</v>
      </c>
      <c r="H12" s="468">
        <v>8.09E-2</v>
      </c>
      <c r="I12" s="468"/>
      <c r="J12" s="1101">
        <v>568.23296000000005</v>
      </c>
      <c r="K12" s="1102">
        <v>1424</v>
      </c>
      <c r="L12" s="1103">
        <f t="shared" si="8"/>
        <v>3.9013698630136986</v>
      </c>
      <c r="M12" s="1103">
        <v>399.04</v>
      </c>
      <c r="N12" s="1104"/>
      <c r="O12" s="500">
        <v>45839</v>
      </c>
      <c r="P12" s="100" t="s">
        <v>1395</v>
      </c>
      <c r="Q12" s="100" t="s">
        <v>742</v>
      </c>
      <c r="R12" s="500">
        <f t="shared" si="9"/>
        <v>46023</v>
      </c>
      <c r="S12" s="71">
        <v>1</v>
      </c>
      <c r="T12" s="1105">
        <f t="shared" si="10"/>
        <v>7980800</v>
      </c>
      <c r="U12" s="71">
        <v>6</v>
      </c>
      <c r="V12" s="71" t="s">
        <v>567</v>
      </c>
      <c r="W12" s="71"/>
      <c r="X12" s="71" t="s">
        <v>1397</v>
      </c>
      <c r="Y12" s="1556">
        <f t="shared" si="11"/>
        <v>119712000</v>
      </c>
      <c r="Z12" s="717" t="s">
        <v>793</v>
      </c>
      <c r="AA12" s="717" t="s">
        <v>793</v>
      </c>
      <c r="AB12" s="717" t="s">
        <v>793</v>
      </c>
      <c r="AC12" s="1106">
        <v>773053842</v>
      </c>
      <c r="AD12" s="71" t="s">
        <v>1398</v>
      </c>
      <c r="AE12" s="1105">
        <v>4096</v>
      </c>
      <c r="AF12" s="100">
        <v>46320</v>
      </c>
      <c r="AG12" s="100" t="s">
        <v>1399</v>
      </c>
      <c r="AH12" s="1107">
        <v>45868</v>
      </c>
      <c r="AI12" s="1120">
        <v>45986</v>
      </c>
      <c r="AJ12" s="981" t="s">
        <v>1451</v>
      </c>
      <c r="AK12" s="71" t="s">
        <v>1399</v>
      </c>
      <c r="AL12" s="71" t="s">
        <v>1401</v>
      </c>
      <c r="AM12" s="71" t="s">
        <v>1402</v>
      </c>
      <c r="AN12" s="503">
        <v>400000000</v>
      </c>
      <c r="AO12" s="508"/>
      <c r="AP12" s="504" t="s">
        <v>1445</v>
      </c>
      <c r="AQ12" s="508">
        <f t="shared" si="12"/>
        <v>41733163.305694252</v>
      </c>
      <c r="AR12" s="508">
        <f t="shared" si="13"/>
        <v>418992000</v>
      </c>
      <c r="AS12" s="100">
        <v>45720</v>
      </c>
      <c r="AT12" s="498" t="s">
        <v>517</v>
      </c>
      <c r="AU12" s="461">
        <f>365*Sheet1!F20*Sheet1!G20</f>
        <v>2027064</v>
      </c>
      <c r="AV12" s="71" t="s">
        <v>1452</v>
      </c>
      <c r="AW12" s="71" t="s">
        <v>1452</v>
      </c>
      <c r="AX12" s="71" t="s">
        <v>1406</v>
      </c>
      <c r="AY12" s="2863"/>
    </row>
    <row r="13" spans="1:91" s="63" customFormat="1" ht="18" customHeight="1">
      <c r="A13" s="1562"/>
      <c r="B13" s="476" t="s">
        <v>161</v>
      </c>
      <c r="C13" s="67" t="s">
        <v>1453</v>
      </c>
      <c r="D13" s="67" t="s">
        <v>1454</v>
      </c>
      <c r="E13" s="71" t="s">
        <v>1455</v>
      </c>
      <c r="F13" s="71" t="s">
        <v>1394</v>
      </c>
      <c r="G13" s="100">
        <v>45572</v>
      </c>
      <c r="H13" s="468">
        <v>8.3699999999999997E-2</v>
      </c>
      <c r="I13" s="468"/>
      <c r="J13" s="1101">
        <v>723.44212000000005</v>
      </c>
      <c r="K13" s="1102">
        <v>1447</v>
      </c>
      <c r="L13" s="1103">
        <f t="shared" si="8"/>
        <v>3.9643835616438357</v>
      </c>
      <c r="M13" s="1103">
        <v>499.96</v>
      </c>
      <c r="N13" s="1104"/>
      <c r="O13" s="500">
        <v>45937</v>
      </c>
      <c r="P13" s="100" t="s">
        <v>1395</v>
      </c>
      <c r="Q13" s="100" t="s">
        <v>742</v>
      </c>
      <c r="R13" s="500">
        <f t="shared" si="9"/>
        <v>46119</v>
      </c>
      <c r="S13" s="71">
        <v>1</v>
      </c>
      <c r="T13" s="1105">
        <f t="shared" si="10"/>
        <v>9999200</v>
      </c>
      <c r="U13" s="71">
        <v>6</v>
      </c>
      <c r="V13" s="71" t="s">
        <v>503</v>
      </c>
      <c r="W13" s="71"/>
      <c r="X13" s="71" t="s">
        <v>1397</v>
      </c>
      <c r="Y13" s="1556">
        <f t="shared" si="11"/>
        <v>149988000</v>
      </c>
      <c r="Z13" s="717" t="s">
        <v>793</v>
      </c>
      <c r="AA13" s="717" t="s">
        <v>793</v>
      </c>
      <c r="AB13" s="717" t="s">
        <v>793</v>
      </c>
      <c r="AC13" s="717">
        <v>967946059</v>
      </c>
      <c r="AD13" s="71" t="s">
        <v>1398</v>
      </c>
      <c r="AE13" s="1105">
        <v>4586</v>
      </c>
      <c r="AF13" s="1107">
        <v>45984</v>
      </c>
      <c r="AG13" s="100" t="s">
        <v>1399</v>
      </c>
      <c r="AH13" s="100" t="s">
        <v>1456</v>
      </c>
      <c r="AI13" s="1114">
        <v>46082</v>
      </c>
      <c r="AJ13" s="981" t="s">
        <v>1457</v>
      </c>
      <c r="AK13" s="71" t="s">
        <v>1399</v>
      </c>
      <c r="AL13" s="71" t="s">
        <v>1401</v>
      </c>
      <c r="AM13" s="71" t="s">
        <v>1402</v>
      </c>
      <c r="AN13" s="503">
        <v>400000000</v>
      </c>
      <c r="AO13" s="508"/>
      <c r="AP13" s="504" t="s">
        <v>1445</v>
      </c>
      <c r="AQ13" s="508">
        <f t="shared" si="12"/>
        <v>52287771.467308789</v>
      </c>
      <c r="AR13" s="508">
        <f t="shared" si="13"/>
        <v>524958000</v>
      </c>
      <c r="AS13" s="100">
        <v>45720</v>
      </c>
      <c r="AT13" s="498" t="s">
        <v>517</v>
      </c>
      <c r="AU13" s="461">
        <f>365*Sheet1!F14*Sheet1!G14</f>
        <v>2091493.8</v>
      </c>
      <c r="AV13" s="71" t="s">
        <v>1458</v>
      </c>
      <c r="AW13" s="71" t="s">
        <v>1458</v>
      </c>
      <c r="AX13" s="71" t="s">
        <v>1406</v>
      </c>
      <c r="AY13" s="286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row>
    <row r="14" spans="1:91" ht="18" customHeight="1">
      <c r="A14" s="1562"/>
      <c r="B14" s="476" t="s">
        <v>162</v>
      </c>
      <c r="C14" s="67" t="s">
        <v>1459</v>
      </c>
      <c r="D14" s="67" t="s">
        <v>1460</v>
      </c>
      <c r="E14" s="1105" t="s">
        <v>1461</v>
      </c>
      <c r="F14" s="1105" t="s">
        <v>1394</v>
      </c>
      <c r="G14" s="100">
        <v>45572</v>
      </c>
      <c r="H14" s="468">
        <v>7.8399999999999997E-2</v>
      </c>
      <c r="I14" s="468"/>
      <c r="J14" s="1101">
        <v>691.94464000000005</v>
      </c>
      <c r="K14" s="1102">
        <v>1384</v>
      </c>
      <c r="L14" s="1103">
        <f t="shared" si="8"/>
        <v>3.7917808219178082</v>
      </c>
      <c r="M14" s="1103">
        <v>499.96</v>
      </c>
      <c r="N14" s="1104"/>
      <c r="O14" s="500">
        <v>45937</v>
      </c>
      <c r="P14" s="100" t="s">
        <v>1395</v>
      </c>
      <c r="Q14" s="100" t="s">
        <v>742</v>
      </c>
      <c r="R14" s="500">
        <f t="shared" si="9"/>
        <v>46119</v>
      </c>
      <c r="S14" s="71">
        <v>1</v>
      </c>
      <c r="T14" s="1105">
        <f t="shared" si="10"/>
        <v>9999200</v>
      </c>
      <c r="U14" s="71">
        <v>6</v>
      </c>
      <c r="V14" s="71" t="s">
        <v>685</v>
      </c>
      <c r="W14" s="71"/>
      <c r="X14" s="71" t="s">
        <v>1397</v>
      </c>
      <c r="Y14" s="1556">
        <f t="shared" si="11"/>
        <v>149988000</v>
      </c>
      <c r="Z14" s="717" t="s">
        <v>793</v>
      </c>
      <c r="AA14" s="717" t="s">
        <v>793</v>
      </c>
      <c r="AB14" s="717" t="s">
        <v>793</v>
      </c>
      <c r="AC14" s="717">
        <v>967914320</v>
      </c>
      <c r="AD14" s="71" t="s">
        <v>1398</v>
      </c>
      <c r="AE14" s="1105">
        <v>7095</v>
      </c>
      <c r="AF14" s="100">
        <v>46074</v>
      </c>
      <c r="AG14" s="100" t="s">
        <v>1399</v>
      </c>
      <c r="AH14" s="100">
        <v>46142</v>
      </c>
      <c r="AI14" s="1114">
        <v>46082</v>
      </c>
      <c r="AJ14" s="981" t="s">
        <v>1462</v>
      </c>
      <c r="AK14" s="71" t="s">
        <v>1399</v>
      </c>
      <c r="AL14" s="71" t="s">
        <v>1401</v>
      </c>
      <c r="AM14" s="71" t="s">
        <v>1402</v>
      </c>
      <c r="AN14" s="503">
        <v>400000000</v>
      </c>
      <c r="AO14" s="508"/>
      <c r="AP14" s="504" t="s">
        <v>1445</v>
      </c>
      <c r="AQ14" s="508">
        <f t="shared" si="12"/>
        <v>52287771.467308789</v>
      </c>
      <c r="AR14" s="508">
        <f t="shared" si="13"/>
        <v>524958000</v>
      </c>
      <c r="AS14" s="100">
        <v>45720</v>
      </c>
      <c r="AT14" s="498" t="s">
        <v>517</v>
      </c>
      <c r="AU14" s="461">
        <f>365*Sheet1!F12*Sheet1!G12</f>
        <v>1914556.4</v>
      </c>
      <c r="AV14" s="71" t="s">
        <v>348</v>
      </c>
      <c r="AW14" s="71" t="s">
        <v>348</v>
      </c>
      <c r="AX14" s="71" t="s">
        <v>1406</v>
      </c>
      <c r="AY14" s="2863"/>
    </row>
    <row r="15" spans="1:91" ht="18" customHeight="1">
      <c r="A15" s="1560" t="str">
        <f>"GM Batch2 "</f>
        <v xml:space="preserve">GM Batch2 </v>
      </c>
      <c r="B15" s="476" t="s">
        <v>163</v>
      </c>
      <c r="C15" s="67" t="s">
        <v>1463</v>
      </c>
      <c r="D15" s="355" t="s">
        <v>1464</v>
      </c>
      <c r="E15" s="1105" t="s">
        <v>1461</v>
      </c>
      <c r="F15" s="1105" t="s">
        <v>1394</v>
      </c>
      <c r="G15" s="100">
        <v>45572</v>
      </c>
      <c r="H15" s="468">
        <v>6.8500000000000005E-2</v>
      </c>
      <c r="I15" s="468"/>
      <c r="J15" s="1101">
        <v>207.10175999999998</v>
      </c>
      <c r="K15" s="1102">
        <v>1384</v>
      </c>
      <c r="L15" s="1103">
        <f t="shared" si="8"/>
        <v>3.7917808219178082</v>
      </c>
      <c r="M15" s="1103">
        <v>149.63999999999999</v>
      </c>
      <c r="N15" s="1104"/>
      <c r="O15" s="500">
        <v>45937</v>
      </c>
      <c r="P15" s="100" t="s">
        <v>1395</v>
      </c>
      <c r="Q15" s="100" t="s">
        <v>742</v>
      </c>
      <c r="R15" s="500">
        <f t="shared" si="9"/>
        <v>46119</v>
      </c>
      <c r="S15" s="71">
        <v>1</v>
      </c>
      <c r="T15" s="1105">
        <f t="shared" si="10"/>
        <v>2992799.9999999995</v>
      </c>
      <c r="U15" s="71">
        <v>6</v>
      </c>
      <c r="V15" s="71" t="s">
        <v>685</v>
      </c>
      <c r="W15" s="71"/>
      <c r="X15" s="71" t="s">
        <v>1397</v>
      </c>
      <c r="Y15" s="1556">
        <f t="shared" si="11"/>
        <v>44891999.999999993</v>
      </c>
      <c r="Z15" s="717" t="s">
        <v>793</v>
      </c>
      <c r="AA15" s="717" t="s">
        <v>793</v>
      </c>
      <c r="AB15" s="717" t="s">
        <v>793</v>
      </c>
      <c r="AC15" s="717">
        <v>289971857</v>
      </c>
      <c r="AD15" s="71" t="s">
        <v>1465</v>
      </c>
      <c r="AE15" s="1105">
        <v>2408</v>
      </c>
      <c r="AF15" s="100">
        <v>46074</v>
      </c>
      <c r="AG15" s="100" t="s">
        <v>1399</v>
      </c>
      <c r="AH15" s="100">
        <v>46142</v>
      </c>
      <c r="AI15" s="1114">
        <v>46082</v>
      </c>
      <c r="AJ15" s="981" t="s">
        <v>1462</v>
      </c>
      <c r="AK15" s="71" t="s">
        <v>1399</v>
      </c>
      <c r="AL15" s="71" t="s">
        <v>1401</v>
      </c>
      <c r="AM15" s="71" t="s">
        <v>1402</v>
      </c>
      <c r="AN15" s="503">
        <v>400000000</v>
      </c>
      <c r="AO15" s="508"/>
      <c r="AP15" s="504" t="s">
        <v>1445</v>
      </c>
      <c r="AQ15" s="508">
        <f t="shared" si="12"/>
        <v>15649936.239635343</v>
      </c>
      <c r="AR15" s="508">
        <f t="shared" si="13"/>
        <v>157122000</v>
      </c>
      <c r="AS15" s="100">
        <v>45720</v>
      </c>
      <c r="AT15" s="498" t="s">
        <v>517</v>
      </c>
      <c r="AU15" s="461">
        <f>365*Sheet1!F15*Sheet1!G15</f>
        <v>1914556.4</v>
      </c>
      <c r="AV15" s="71" t="s">
        <v>350</v>
      </c>
      <c r="AW15" s="71" t="s">
        <v>350</v>
      </c>
      <c r="AX15" s="71" t="s">
        <v>1406</v>
      </c>
      <c r="AY15" s="2863"/>
    </row>
    <row r="16" spans="1:91" s="63" customFormat="1" ht="18" customHeight="1">
      <c r="A16" s="1564">
        <f>SUM(M11:M20)</f>
        <v>6821.52</v>
      </c>
      <c r="B16" s="476" t="s">
        <v>164</v>
      </c>
      <c r="C16" s="67" t="s">
        <v>1466</v>
      </c>
      <c r="D16" s="67" t="s">
        <v>1467</v>
      </c>
      <c r="E16" s="1105" t="s">
        <v>1468</v>
      </c>
      <c r="F16" s="1105" t="s">
        <v>1394</v>
      </c>
      <c r="G16" s="100">
        <v>45572</v>
      </c>
      <c r="H16" s="468">
        <v>8.5000000000000006E-2</v>
      </c>
      <c r="I16" s="468"/>
      <c r="J16" s="1101">
        <v>446.82504</v>
      </c>
      <c r="K16" s="1102">
        <v>1493</v>
      </c>
      <c r="L16" s="1103">
        <f t="shared" si="8"/>
        <v>4.0904109589041093</v>
      </c>
      <c r="M16" s="1103">
        <v>299.27999999999997</v>
      </c>
      <c r="N16" s="1104"/>
      <c r="O16" s="500">
        <v>45968</v>
      </c>
      <c r="P16" s="100" t="s">
        <v>1395</v>
      </c>
      <c r="Q16" s="100" t="s">
        <v>742</v>
      </c>
      <c r="R16" s="500">
        <f t="shared" si="9"/>
        <v>46149</v>
      </c>
      <c r="S16" s="71">
        <v>1</v>
      </c>
      <c r="T16" s="1105">
        <f t="shared" si="10"/>
        <v>5985599.9999999991</v>
      </c>
      <c r="U16" s="71">
        <v>6</v>
      </c>
      <c r="V16" s="71" t="s">
        <v>1469</v>
      </c>
      <c r="W16" s="71"/>
      <c r="X16" s="71" t="s">
        <v>1397</v>
      </c>
      <c r="Y16" s="1556">
        <f t="shared" si="11"/>
        <v>89783999.999999985</v>
      </c>
      <c r="Z16" s="717" t="s">
        <v>793</v>
      </c>
      <c r="AA16" s="717" t="s">
        <v>793</v>
      </c>
      <c r="AB16" s="717" t="s">
        <v>793</v>
      </c>
      <c r="AC16" s="717">
        <v>579645174</v>
      </c>
      <c r="AD16" s="71" t="s">
        <v>1398</v>
      </c>
      <c r="AE16" s="1105">
        <v>2719</v>
      </c>
      <c r="AF16" s="100">
        <v>46428</v>
      </c>
      <c r="AG16" s="100" t="s">
        <v>1399</v>
      </c>
      <c r="AH16" s="1107">
        <v>45836</v>
      </c>
      <c r="AI16" s="1114">
        <v>46113</v>
      </c>
      <c r="AJ16" s="981" t="s">
        <v>1470</v>
      </c>
      <c r="AK16" s="71" t="s">
        <v>1399</v>
      </c>
      <c r="AL16" s="71" t="s">
        <v>1401</v>
      </c>
      <c r="AM16" s="71" t="s">
        <v>1402</v>
      </c>
      <c r="AN16" s="503">
        <v>400000000</v>
      </c>
      <c r="AO16" s="508"/>
      <c r="AP16" s="504" t="s">
        <v>1445</v>
      </c>
      <c r="AQ16" s="508">
        <f t="shared" si="12"/>
        <v>31299872.479270685</v>
      </c>
      <c r="AR16" s="508">
        <f t="shared" si="13"/>
        <v>314244000</v>
      </c>
      <c r="AS16" s="100">
        <v>45720</v>
      </c>
      <c r="AT16" s="498" t="s">
        <v>517</v>
      </c>
      <c r="AU16" s="461">
        <f>365*Sheet1!F13*Sheet1!G13</f>
        <v>2228825.0499999998</v>
      </c>
      <c r="AV16" s="71" t="s">
        <v>355</v>
      </c>
      <c r="AW16" s="71" t="s">
        <v>355</v>
      </c>
      <c r="AX16" s="71" t="s">
        <v>1406</v>
      </c>
      <c r="AY16" s="286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row>
    <row r="17" spans="1:51" ht="18" customHeight="1">
      <c r="A17" s="1562"/>
      <c r="B17" s="476" t="s">
        <v>165</v>
      </c>
      <c r="C17" s="67" t="s">
        <v>1471</v>
      </c>
      <c r="D17" s="355" t="s">
        <v>1472</v>
      </c>
      <c r="E17" s="350" t="s">
        <v>1473</v>
      </c>
      <c r="F17" s="350" t="s">
        <v>1474</v>
      </c>
      <c r="G17" s="325">
        <v>45572</v>
      </c>
      <c r="H17" s="470">
        <v>8.5699999999999998E-2</v>
      </c>
      <c r="I17" s="470"/>
      <c r="J17" s="1063">
        <v>1448.8109999999999</v>
      </c>
      <c r="K17" s="741">
        <v>1450</v>
      </c>
      <c r="L17" s="471">
        <f t="shared" si="8"/>
        <v>3.9726027397260273</v>
      </c>
      <c r="M17" s="471">
        <v>993.6</v>
      </c>
      <c r="N17" s="327"/>
      <c r="O17" s="1116">
        <v>46149</v>
      </c>
      <c r="P17" s="749" t="s">
        <v>1475</v>
      </c>
      <c r="Q17" s="325" t="s">
        <v>742</v>
      </c>
      <c r="R17" s="523" t="s">
        <v>1476</v>
      </c>
      <c r="S17" s="71">
        <v>1</v>
      </c>
      <c r="T17" s="370">
        <f t="shared" si="10"/>
        <v>19872000</v>
      </c>
      <c r="U17" s="350">
        <v>6</v>
      </c>
      <c r="V17" s="71" t="s">
        <v>531</v>
      </c>
      <c r="W17" s="92"/>
      <c r="X17" s="71" t="s">
        <v>1397</v>
      </c>
      <c r="Y17" s="1556">
        <f t="shared" si="11"/>
        <v>298080000</v>
      </c>
      <c r="Z17" s="717" t="s">
        <v>793</v>
      </c>
      <c r="AA17" s="717" t="s">
        <v>793</v>
      </c>
      <c r="AB17" s="717" t="s">
        <v>793</v>
      </c>
      <c r="AC17" s="2856">
        <v>6883736110</v>
      </c>
      <c r="AD17" s="2858" t="s">
        <v>1398</v>
      </c>
      <c r="AE17" s="167">
        <v>8251</v>
      </c>
      <c r="AF17" s="100">
        <v>46752</v>
      </c>
      <c r="AG17" s="100" t="s">
        <v>1399</v>
      </c>
      <c r="AH17" s="100">
        <v>46387</v>
      </c>
      <c r="AI17" s="1120">
        <v>46296</v>
      </c>
      <c r="AJ17" s="981" t="s">
        <v>1477</v>
      </c>
      <c r="AK17" s="71" t="s">
        <v>1399</v>
      </c>
      <c r="AL17" s="71" t="s">
        <v>1401</v>
      </c>
      <c r="AM17" s="71" t="s">
        <v>1402</v>
      </c>
      <c r="AN17" s="503">
        <v>400000000</v>
      </c>
      <c r="AO17" s="508"/>
      <c r="AP17" s="504" t="s">
        <v>1445</v>
      </c>
      <c r="AQ17" s="2860">
        <f t="shared" si="12"/>
        <v>103914572.62564607</v>
      </c>
      <c r="AR17" s="508">
        <f t="shared" si="13"/>
        <v>1043280000</v>
      </c>
      <c r="AS17" s="100">
        <v>45720</v>
      </c>
      <c r="AT17" s="498" t="s">
        <v>517</v>
      </c>
      <c r="AU17" s="461">
        <f>365*Sheet1!F17*Sheet1!G17</f>
        <v>1777221.5</v>
      </c>
      <c r="AV17" s="68" t="s">
        <v>1478</v>
      </c>
      <c r="AW17" s="68" t="s">
        <v>1478</v>
      </c>
      <c r="AX17" s="71" t="s">
        <v>1406</v>
      </c>
      <c r="AY17" s="1023"/>
    </row>
    <row r="18" spans="1:51" ht="18" customHeight="1">
      <c r="A18" s="1562"/>
      <c r="B18" s="476" t="s">
        <v>166</v>
      </c>
      <c r="C18" s="67" t="s">
        <v>1479</v>
      </c>
      <c r="D18" s="67" t="s">
        <v>1480</v>
      </c>
      <c r="E18" s="350" t="s">
        <v>1473</v>
      </c>
      <c r="F18" s="350" t="s">
        <v>1394</v>
      </c>
      <c r="G18" s="325">
        <v>45572</v>
      </c>
      <c r="H18" s="470">
        <v>9.7699999999999995E-2</v>
      </c>
      <c r="I18" s="470"/>
      <c r="J18" s="1063">
        <v>724.40549999999996</v>
      </c>
      <c r="K18" s="741">
        <v>1450</v>
      </c>
      <c r="L18" s="471">
        <f t="shared" si="8"/>
        <v>3.9726027397260273</v>
      </c>
      <c r="M18" s="471">
        <v>993.6</v>
      </c>
      <c r="N18" s="327"/>
      <c r="O18" s="1116">
        <v>46149</v>
      </c>
      <c r="P18" s="749" t="s">
        <v>1475</v>
      </c>
      <c r="Q18" s="325" t="s">
        <v>742</v>
      </c>
      <c r="R18" s="523" t="s">
        <v>1476</v>
      </c>
      <c r="S18" s="71">
        <v>1</v>
      </c>
      <c r="T18" s="370">
        <f t="shared" si="10"/>
        <v>19872000</v>
      </c>
      <c r="U18" s="350">
        <v>6</v>
      </c>
      <c r="V18" s="71" t="s">
        <v>531</v>
      </c>
      <c r="W18" s="92"/>
      <c r="X18" s="71" t="s">
        <v>1397</v>
      </c>
      <c r="Y18" s="1556">
        <f t="shared" si="11"/>
        <v>298080000</v>
      </c>
      <c r="Z18" s="717" t="s">
        <v>793</v>
      </c>
      <c r="AA18" s="717" t="s">
        <v>793</v>
      </c>
      <c r="AB18" s="717" t="s">
        <v>793</v>
      </c>
      <c r="AC18" s="2856"/>
      <c r="AD18" s="2858"/>
      <c r="AE18" s="167">
        <v>8094</v>
      </c>
      <c r="AF18" s="100">
        <v>46752</v>
      </c>
      <c r="AG18" s="100" t="s">
        <v>1399</v>
      </c>
      <c r="AH18" s="100">
        <v>46387</v>
      </c>
      <c r="AI18" s="1120">
        <v>46296</v>
      </c>
      <c r="AJ18" s="981" t="s">
        <v>1477</v>
      </c>
      <c r="AK18" s="71" t="s">
        <v>1399</v>
      </c>
      <c r="AL18" s="71" t="s">
        <v>1401</v>
      </c>
      <c r="AM18" s="71" t="s">
        <v>1402</v>
      </c>
      <c r="AN18" s="503">
        <v>400000000</v>
      </c>
      <c r="AO18" s="508"/>
      <c r="AP18" s="504" t="s">
        <v>1445</v>
      </c>
      <c r="AQ18" s="2860">
        <f t="shared" si="12"/>
        <v>103914572.62564607</v>
      </c>
      <c r="AR18" s="508">
        <f>+M18*1050000000/1000</f>
        <v>1043280000</v>
      </c>
      <c r="AS18" s="100">
        <v>45720</v>
      </c>
      <c r="AT18" s="498" t="s">
        <v>517</v>
      </c>
      <c r="AU18" s="461">
        <f>365*Sheet1!F18*Sheet1!G18</f>
        <v>1777221.5</v>
      </c>
      <c r="AV18" s="68" t="s">
        <v>1481</v>
      </c>
      <c r="AW18" s="68" t="s">
        <v>1481</v>
      </c>
      <c r="AX18" s="71" t="s">
        <v>1406</v>
      </c>
      <c r="AY18" s="1023"/>
    </row>
    <row r="19" spans="1:51" ht="18" customHeight="1">
      <c r="A19" s="1562"/>
      <c r="B19" s="476" t="s">
        <v>167</v>
      </c>
      <c r="C19" s="67" t="s">
        <v>1482</v>
      </c>
      <c r="D19" s="67" t="s">
        <v>1480</v>
      </c>
      <c r="E19" s="350" t="s">
        <v>1473</v>
      </c>
      <c r="F19" s="350" t="s">
        <v>1394</v>
      </c>
      <c r="G19" s="325">
        <v>45572</v>
      </c>
      <c r="H19" s="470">
        <v>9.7900000000000001E-2</v>
      </c>
      <c r="I19" s="470"/>
      <c r="J19" s="1063">
        <v>723.94207999999992</v>
      </c>
      <c r="K19" s="741">
        <v>1448</v>
      </c>
      <c r="L19" s="471">
        <f t="shared" si="8"/>
        <v>3.967123287671233</v>
      </c>
      <c r="M19" s="471">
        <v>993.6</v>
      </c>
      <c r="N19" s="327"/>
      <c r="O19" s="1116">
        <v>46149</v>
      </c>
      <c r="P19" s="749" t="s">
        <v>1475</v>
      </c>
      <c r="Q19" s="325" t="s">
        <v>742</v>
      </c>
      <c r="R19" s="523" t="s">
        <v>1476</v>
      </c>
      <c r="S19" s="71">
        <v>1</v>
      </c>
      <c r="T19" s="370">
        <f t="shared" si="10"/>
        <v>19872000</v>
      </c>
      <c r="U19" s="350">
        <v>6</v>
      </c>
      <c r="V19" s="71" t="s">
        <v>531</v>
      </c>
      <c r="W19" s="92"/>
      <c r="X19" s="71" t="s">
        <v>1397</v>
      </c>
      <c r="Y19" s="1556">
        <f t="shared" si="11"/>
        <v>298080000</v>
      </c>
      <c r="Z19" s="717" t="s">
        <v>793</v>
      </c>
      <c r="AA19" s="717" t="s">
        <v>793</v>
      </c>
      <c r="AB19" s="717" t="s">
        <v>793</v>
      </c>
      <c r="AC19" s="2856"/>
      <c r="AD19" s="2858"/>
      <c r="AE19" s="167">
        <v>7391</v>
      </c>
      <c r="AF19" s="100">
        <v>46752</v>
      </c>
      <c r="AG19" s="100" t="s">
        <v>1399</v>
      </c>
      <c r="AH19" s="100">
        <v>46387</v>
      </c>
      <c r="AI19" s="1120">
        <v>46296</v>
      </c>
      <c r="AJ19" s="981" t="s">
        <v>1477</v>
      </c>
      <c r="AK19" s="71" t="s">
        <v>1399</v>
      </c>
      <c r="AL19" s="71" t="s">
        <v>1401</v>
      </c>
      <c r="AM19" s="71" t="s">
        <v>1402</v>
      </c>
      <c r="AN19" s="503">
        <v>400000000</v>
      </c>
      <c r="AO19" s="508"/>
      <c r="AP19" s="504" t="s">
        <v>1445</v>
      </c>
      <c r="AQ19" s="2860">
        <f t="shared" si="12"/>
        <v>103914572.62564607</v>
      </c>
      <c r="AR19" s="508">
        <f>+M19*1050000000/1000</f>
        <v>1043280000</v>
      </c>
      <c r="AS19" s="100">
        <v>45720</v>
      </c>
      <c r="AT19" s="498" t="s">
        <v>517</v>
      </c>
      <c r="AU19" s="461">
        <f>365*Sheet1!F19*Sheet1!G19</f>
        <v>1652252.8</v>
      </c>
      <c r="AV19" s="68" t="s">
        <v>1483</v>
      </c>
      <c r="AW19" s="68" t="s">
        <v>1483</v>
      </c>
      <c r="AX19" s="71" t="s">
        <v>1406</v>
      </c>
      <c r="AY19" s="1023"/>
    </row>
    <row r="20" spans="1:51" ht="18" customHeight="1">
      <c r="A20" s="1563"/>
      <c r="B20" s="718" t="s">
        <v>168</v>
      </c>
      <c r="C20" s="719" t="s">
        <v>1484</v>
      </c>
      <c r="D20" s="719" t="s">
        <v>1480</v>
      </c>
      <c r="E20" s="720" t="s">
        <v>1473</v>
      </c>
      <c r="F20" s="720" t="s">
        <v>1394</v>
      </c>
      <c r="G20" s="722">
        <v>45572</v>
      </c>
      <c r="H20" s="721">
        <v>9.7900000000000001E-2</v>
      </c>
      <c r="I20" s="721"/>
      <c r="J20" s="1064">
        <v>1014.246</v>
      </c>
      <c r="K20" s="742">
        <v>1450</v>
      </c>
      <c r="L20" s="737">
        <f t="shared" si="8"/>
        <v>3.9726027397260273</v>
      </c>
      <c r="M20" s="737">
        <v>993.6</v>
      </c>
      <c r="N20" s="723"/>
      <c r="O20" s="1117">
        <v>46149</v>
      </c>
      <c r="P20" s="750" t="s">
        <v>1475</v>
      </c>
      <c r="Q20" s="722" t="s">
        <v>742</v>
      </c>
      <c r="R20" s="724" t="s">
        <v>1476</v>
      </c>
      <c r="S20" s="725">
        <v>1</v>
      </c>
      <c r="T20" s="726">
        <f t="shared" si="10"/>
        <v>19872000</v>
      </c>
      <c r="U20" s="720">
        <v>6</v>
      </c>
      <c r="V20" s="725" t="s">
        <v>531</v>
      </c>
      <c r="W20" s="728"/>
      <c r="X20" s="725" t="s">
        <v>1397</v>
      </c>
      <c r="Y20" s="739">
        <f t="shared" si="11"/>
        <v>298080000</v>
      </c>
      <c r="Z20" s="729" t="s">
        <v>793</v>
      </c>
      <c r="AA20" s="729" t="s">
        <v>793</v>
      </c>
      <c r="AB20" s="729" t="s">
        <v>793</v>
      </c>
      <c r="AC20" s="2857"/>
      <c r="AD20" s="2859"/>
      <c r="AE20" s="734">
        <v>7181</v>
      </c>
      <c r="AF20" s="727">
        <v>46752</v>
      </c>
      <c r="AG20" s="727" t="s">
        <v>1399</v>
      </c>
      <c r="AH20" s="727">
        <v>46387</v>
      </c>
      <c r="AI20" s="1121">
        <v>46296</v>
      </c>
      <c r="AJ20" s="981" t="s">
        <v>1477</v>
      </c>
      <c r="AK20" s="725" t="s">
        <v>1399</v>
      </c>
      <c r="AL20" s="725" t="s">
        <v>1401</v>
      </c>
      <c r="AM20" s="725" t="s">
        <v>1402</v>
      </c>
      <c r="AN20" s="735">
        <v>400000000</v>
      </c>
      <c r="AO20" s="731"/>
      <c r="AP20" s="732" t="s">
        <v>1445</v>
      </c>
      <c r="AQ20" s="2861">
        <f t="shared" si="12"/>
        <v>103914572.62564607</v>
      </c>
      <c r="AR20" s="1389">
        <f>+M20*1050000000/1000</f>
        <v>1043280000</v>
      </c>
      <c r="AS20" s="727">
        <v>45720</v>
      </c>
      <c r="AT20" s="740" t="s">
        <v>517</v>
      </c>
      <c r="AU20" s="733">
        <f>365*Sheet1!F20*Sheet1!G20</f>
        <v>2027064</v>
      </c>
      <c r="AV20" s="736" t="s">
        <v>1485</v>
      </c>
      <c r="AW20" s="736" t="s">
        <v>1485</v>
      </c>
      <c r="AX20" s="725" t="s">
        <v>1406</v>
      </c>
      <c r="AY20" s="1024"/>
    </row>
    <row r="21" spans="1:51" s="252" customFormat="1" ht="18" hidden="1" customHeight="1">
      <c r="A21" s="265"/>
      <c r="B21" s="478" t="s">
        <v>1486</v>
      </c>
      <c r="C21" s="239" t="s">
        <v>1487</v>
      </c>
      <c r="D21" s="462" t="s">
        <v>1488</v>
      </c>
      <c r="E21" s="367" t="s">
        <v>1489</v>
      </c>
      <c r="F21" s="367"/>
      <c r="G21" s="329">
        <v>45572</v>
      </c>
      <c r="H21" s="367"/>
      <c r="I21" s="367"/>
      <c r="J21" s="1065">
        <v>1306.1031399999999</v>
      </c>
      <c r="K21" s="473">
        <v>1451</v>
      </c>
      <c r="L21" s="473"/>
      <c r="M21" s="473">
        <v>899.25</v>
      </c>
      <c r="N21" s="330"/>
      <c r="O21" s="330">
        <v>46210</v>
      </c>
      <c r="P21" s="329" t="s">
        <v>1395</v>
      </c>
      <c r="Q21" s="329" t="s">
        <v>742</v>
      </c>
      <c r="R21" s="330">
        <f t="shared" si="9"/>
        <v>46394</v>
      </c>
      <c r="S21" s="240">
        <v>1</v>
      </c>
      <c r="T21" s="242">
        <f t="shared" ref="T21:T39" si="14">20000000*M21</f>
        <v>17985000000</v>
      </c>
      <c r="U21" s="241">
        <v>6</v>
      </c>
      <c r="V21" s="240" t="s">
        <v>531</v>
      </c>
      <c r="W21" s="241" t="s">
        <v>1397</v>
      </c>
      <c r="X21" s="241" t="s">
        <v>1397</v>
      </c>
      <c r="Y21" s="263"/>
      <c r="Z21" s="264"/>
      <c r="AA21" s="264"/>
      <c r="AB21" s="264"/>
      <c r="AC21" s="248">
        <v>653000000</v>
      </c>
      <c r="AD21" s="240" t="s">
        <v>1398</v>
      </c>
      <c r="AE21" s="249">
        <v>26920</v>
      </c>
      <c r="AF21" s="243" t="s">
        <v>1399</v>
      </c>
      <c r="AG21" s="243" t="s">
        <v>1399</v>
      </c>
      <c r="AH21" s="243" t="s">
        <v>1399</v>
      </c>
      <c r="AI21" s="240">
        <v>2027</v>
      </c>
      <c r="AJ21" s="498"/>
      <c r="AK21" s="240" t="s">
        <v>1399</v>
      </c>
      <c r="AL21" s="240" t="s">
        <v>1401</v>
      </c>
      <c r="AM21" s="240" t="s">
        <v>1402</v>
      </c>
      <c r="AN21" s="509">
        <v>400000000</v>
      </c>
      <c r="AO21" s="510"/>
      <c r="AP21" s="511" t="s">
        <v>1445</v>
      </c>
      <c r="AQ21" s="512" t="e">
        <f>+#REF!/(SUM(#REF!)+SUM(#REF!))*2906550000</f>
        <v>#REF!</v>
      </c>
      <c r="AR21" s="510">
        <f>+M21*1050000000/1000</f>
        <v>944212500</v>
      </c>
      <c r="AS21" s="513"/>
      <c r="AT21" s="513"/>
      <c r="AU21" s="250">
        <f>365*Sheet1!F16*Sheet1!G16</f>
        <v>1777221.5</v>
      </c>
      <c r="AV21" s="240" t="s">
        <v>1486</v>
      </c>
      <c r="AW21" s="240" t="s">
        <v>1486</v>
      </c>
      <c r="AX21" s="240" t="s">
        <v>1406</v>
      </c>
    </row>
    <row r="22" spans="1:51" s="252" customFormat="1" ht="18" hidden="1" customHeight="1">
      <c r="A22" s="265"/>
      <c r="B22" s="478" t="s">
        <v>1490</v>
      </c>
      <c r="C22" s="239" t="s">
        <v>1491</v>
      </c>
      <c r="D22" s="462" t="s">
        <v>1492</v>
      </c>
      <c r="E22" s="367" t="s">
        <v>1493</v>
      </c>
      <c r="F22" s="367"/>
      <c r="G22" s="329">
        <v>45572</v>
      </c>
      <c r="H22" s="367"/>
      <c r="I22" s="367"/>
      <c r="J22" s="1065">
        <v>1158.0987600000001</v>
      </c>
      <c r="K22" s="473">
        <v>1449</v>
      </c>
      <c r="L22" s="473"/>
      <c r="M22" s="473">
        <v>778.26</v>
      </c>
      <c r="N22" s="330"/>
      <c r="O22" s="330">
        <v>46210</v>
      </c>
      <c r="P22" s="329" t="s">
        <v>1395</v>
      </c>
      <c r="Q22" s="329" t="s">
        <v>742</v>
      </c>
      <c r="R22" s="330">
        <f t="shared" si="9"/>
        <v>46394</v>
      </c>
      <c r="S22" s="240">
        <v>1</v>
      </c>
      <c r="T22" s="242">
        <f t="shared" si="14"/>
        <v>15565200000</v>
      </c>
      <c r="U22" s="241">
        <v>6</v>
      </c>
      <c r="V22" s="240" t="s">
        <v>531</v>
      </c>
      <c r="W22" s="241" t="s">
        <v>1397</v>
      </c>
      <c r="X22" s="241" t="s">
        <v>1397</v>
      </c>
      <c r="Y22" s="275" t="s">
        <v>793</v>
      </c>
      <c r="Z22" s="247" t="s">
        <v>793</v>
      </c>
      <c r="AA22" s="246"/>
      <c r="AB22" s="247"/>
      <c r="AC22" s="248">
        <v>233000000</v>
      </c>
      <c r="AD22" s="240" t="s">
        <v>1398</v>
      </c>
      <c r="AE22" s="249"/>
      <c r="AF22" s="243" t="s">
        <v>1399</v>
      </c>
      <c r="AG22" s="243" t="s">
        <v>1399</v>
      </c>
      <c r="AH22" s="243" t="s">
        <v>1399</v>
      </c>
      <c r="AI22" s="240">
        <v>2027</v>
      </c>
      <c r="AJ22" s="498"/>
      <c r="AK22" s="240" t="s">
        <v>1399</v>
      </c>
      <c r="AL22" s="240" t="s">
        <v>1401</v>
      </c>
      <c r="AM22" s="240" t="s">
        <v>1402</v>
      </c>
      <c r="AN22" s="509">
        <v>400000000</v>
      </c>
      <c r="AO22" s="510"/>
      <c r="AP22" s="511" t="s">
        <v>1445</v>
      </c>
      <c r="AQ22" s="512"/>
      <c r="AR22" s="510"/>
      <c r="AS22" s="513"/>
      <c r="AT22" s="513"/>
      <c r="AU22" s="250">
        <f>365*Sheet1!F17*Sheet1!G17</f>
        <v>1777221.5</v>
      </c>
      <c r="AV22" s="240" t="s">
        <v>1490</v>
      </c>
      <c r="AW22" s="240" t="s">
        <v>1490</v>
      </c>
      <c r="AX22" s="240" t="s">
        <v>1406</v>
      </c>
    </row>
    <row r="23" spans="1:51" s="252" customFormat="1" ht="18" hidden="1" customHeight="1">
      <c r="A23" s="265"/>
      <c r="B23" s="478" t="s">
        <v>1494</v>
      </c>
      <c r="C23" s="239" t="s">
        <v>1495</v>
      </c>
      <c r="D23" s="462" t="s">
        <v>1496</v>
      </c>
      <c r="E23" s="367" t="s">
        <v>1497</v>
      </c>
      <c r="F23" s="367"/>
      <c r="G23" s="329">
        <v>45572</v>
      </c>
      <c r="H23" s="367"/>
      <c r="I23" s="367"/>
      <c r="J23" s="1065">
        <v>725.94191999999998</v>
      </c>
      <c r="K23" s="473">
        <v>1452</v>
      </c>
      <c r="L23" s="473"/>
      <c r="M23" s="473">
        <v>499.2</v>
      </c>
      <c r="N23" s="330"/>
      <c r="O23" s="330">
        <v>46210</v>
      </c>
      <c r="P23" s="329" t="s">
        <v>1395</v>
      </c>
      <c r="Q23" s="329" t="s">
        <v>742</v>
      </c>
      <c r="R23" s="330">
        <f t="shared" si="9"/>
        <v>46394</v>
      </c>
      <c r="S23" s="240">
        <v>1</v>
      </c>
      <c r="T23" s="242">
        <f t="shared" si="14"/>
        <v>9984000000</v>
      </c>
      <c r="U23" s="241">
        <v>6</v>
      </c>
      <c r="V23" s="240" t="s">
        <v>531</v>
      </c>
      <c r="W23" s="241" t="s">
        <v>1397</v>
      </c>
      <c r="X23" s="241" t="s">
        <v>1397</v>
      </c>
      <c r="Y23" s="275">
        <f>(AE21/3.305)*Z23*1.8</f>
        <v>293220067.73707712</v>
      </c>
      <c r="Z23" s="247">
        <f>3361*3.3058*1.8</f>
        <v>19999.42884</v>
      </c>
      <c r="AA23" s="246">
        <f>20000000*M23/1000</f>
        <v>9984000</v>
      </c>
      <c r="AB23" s="247">
        <f>AA23/AE21*3.3058</f>
        <v>1226.0441010401189</v>
      </c>
      <c r="AC23" s="248"/>
      <c r="AD23" s="240" t="s">
        <v>1398</v>
      </c>
      <c r="AE23" s="249"/>
      <c r="AF23" s="243" t="s">
        <v>1399</v>
      </c>
      <c r="AG23" s="243" t="s">
        <v>1399</v>
      </c>
      <c r="AH23" s="243" t="s">
        <v>1399</v>
      </c>
      <c r="AI23" s="240">
        <v>2027</v>
      </c>
      <c r="AJ23" s="498"/>
      <c r="AK23" s="240" t="s">
        <v>1399</v>
      </c>
      <c r="AL23" s="240" t="s">
        <v>1401</v>
      </c>
      <c r="AM23" s="240" t="s">
        <v>1402</v>
      </c>
      <c r="AN23" s="509">
        <v>400000000</v>
      </c>
      <c r="AO23" s="510"/>
      <c r="AP23" s="511" t="s">
        <v>1445</v>
      </c>
      <c r="AQ23" s="512"/>
      <c r="AR23" s="510"/>
      <c r="AS23" s="513"/>
      <c r="AT23" s="513"/>
      <c r="AU23" s="250">
        <f>365*Sheet1!F18*Sheet1!G18</f>
        <v>1777221.5</v>
      </c>
      <c r="AV23" s="240" t="s">
        <v>1494</v>
      </c>
      <c r="AW23" s="240" t="s">
        <v>1494</v>
      </c>
      <c r="AX23" s="240" t="s">
        <v>1406</v>
      </c>
    </row>
    <row r="24" spans="1:51" s="252" customFormat="1" ht="18" hidden="1" customHeight="1">
      <c r="A24" s="265"/>
      <c r="B24" s="478" t="s">
        <v>1498</v>
      </c>
      <c r="C24" s="239" t="s">
        <v>1499</v>
      </c>
      <c r="D24" s="462" t="s">
        <v>1500</v>
      </c>
      <c r="E24" s="367" t="s">
        <v>1501</v>
      </c>
      <c r="F24" s="367"/>
      <c r="G24" s="329">
        <v>45572</v>
      </c>
      <c r="H24" s="367"/>
      <c r="I24" s="367"/>
      <c r="J24" s="1065">
        <v>1394.0208</v>
      </c>
      <c r="K24" s="473">
        <v>1403</v>
      </c>
      <c r="L24" s="473"/>
      <c r="M24" s="473">
        <v>999.18</v>
      </c>
      <c r="N24" s="329"/>
      <c r="O24" s="329" t="s">
        <v>742</v>
      </c>
      <c r="P24" s="329" t="s">
        <v>1395</v>
      </c>
      <c r="Q24" s="329" t="s">
        <v>742</v>
      </c>
      <c r="R24" s="329" t="s">
        <v>742</v>
      </c>
      <c r="S24" s="240">
        <v>1</v>
      </c>
      <c r="T24" s="242">
        <f t="shared" si="14"/>
        <v>19983600000</v>
      </c>
      <c r="U24" s="241">
        <v>6</v>
      </c>
      <c r="V24" s="240" t="s">
        <v>685</v>
      </c>
      <c r="W24" s="241" t="s">
        <v>515</v>
      </c>
      <c r="X24" s="241" t="s">
        <v>515</v>
      </c>
      <c r="Y24" s="244" t="s">
        <v>793</v>
      </c>
      <c r="Z24" s="245" t="s">
        <v>793</v>
      </c>
      <c r="AA24" s="246"/>
      <c r="AB24" s="247" t="s">
        <v>793</v>
      </c>
      <c r="AC24" s="248">
        <v>300000000</v>
      </c>
      <c r="AD24" s="240" t="s">
        <v>1398</v>
      </c>
      <c r="AE24" s="249">
        <f>2582+1960+1732</f>
        <v>6274</v>
      </c>
      <c r="AF24" s="243" t="s">
        <v>1399</v>
      </c>
      <c r="AG24" s="243" t="s">
        <v>1399</v>
      </c>
      <c r="AH24" s="530" t="s">
        <v>515</v>
      </c>
      <c r="AI24" s="240">
        <v>2026</v>
      </c>
      <c r="AJ24" s="498"/>
      <c r="AK24" s="240" t="s">
        <v>1399</v>
      </c>
      <c r="AL24" s="240" t="s">
        <v>1401</v>
      </c>
      <c r="AM24" s="240" t="s">
        <v>1402</v>
      </c>
      <c r="AN24" s="509">
        <v>400000000</v>
      </c>
      <c r="AO24" s="510"/>
      <c r="AP24" s="511" t="s">
        <v>1445</v>
      </c>
      <c r="AQ24" s="512" t="e">
        <f>+#REF!/(SUM(#REF!)+SUM(#REF!))*2906550000</f>
        <v>#REF!</v>
      </c>
      <c r="AR24" s="510">
        <f t="shared" ref="AR24:AR39" si="15">+M24*1050000000/1000</f>
        <v>1049139000</v>
      </c>
      <c r="AS24" s="513"/>
      <c r="AT24" s="513"/>
      <c r="AU24" s="250">
        <f>365*Sheet1!F21*Sheet1!G21</f>
        <v>2101122.5</v>
      </c>
      <c r="AV24" s="240" t="s">
        <v>365</v>
      </c>
      <c r="AW24" s="240" t="s">
        <v>365</v>
      </c>
      <c r="AX24" s="240" t="s">
        <v>1406</v>
      </c>
      <c r="AY24" s="251"/>
    </row>
    <row r="25" spans="1:51" s="252" customFormat="1" ht="18" hidden="1" customHeight="1">
      <c r="A25" s="265"/>
      <c r="B25" s="478" t="s">
        <v>1502</v>
      </c>
      <c r="C25" s="239" t="s">
        <v>1503</v>
      </c>
      <c r="D25" s="462" t="s">
        <v>1504</v>
      </c>
      <c r="E25" s="367" t="s">
        <v>1505</v>
      </c>
      <c r="F25" s="367"/>
      <c r="G25" s="329">
        <v>45572</v>
      </c>
      <c r="H25" s="367"/>
      <c r="I25" s="367"/>
      <c r="J25" s="1065">
        <v>1394.0208</v>
      </c>
      <c r="K25" s="473">
        <v>1403</v>
      </c>
      <c r="L25" s="473"/>
      <c r="M25" s="473">
        <v>499.59</v>
      </c>
      <c r="N25" s="329"/>
      <c r="O25" s="329" t="s">
        <v>742</v>
      </c>
      <c r="P25" s="329" t="s">
        <v>1395</v>
      </c>
      <c r="Q25" s="329" t="s">
        <v>742</v>
      </c>
      <c r="R25" s="329" t="s">
        <v>742</v>
      </c>
      <c r="S25" s="240">
        <v>1</v>
      </c>
      <c r="T25" s="242">
        <f t="shared" si="14"/>
        <v>9991800000</v>
      </c>
      <c r="U25" s="241">
        <v>6</v>
      </c>
      <c r="V25" s="240" t="s">
        <v>685</v>
      </c>
      <c r="W25" s="241" t="s">
        <v>515</v>
      </c>
      <c r="X25" s="241" t="s">
        <v>515</v>
      </c>
      <c r="Y25" s="275" t="s">
        <v>793</v>
      </c>
      <c r="Z25" s="247" t="s">
        <v>793</v>
      </c>
      <c r="AA25" s="246"/>
      <c r="AB25" s="247" t="s">
        <v>793</v>
      </c>
      <c r="AC25" s="248">
        <v>150000000</v>
      </c>
      <c r="AD25" s="240" t="s">
        <v>1398</v>
      </c>
      <c r="AE25" s="249">
        <f>3855+1888+1689</f>
        <v>7432</v>
      </c>
      <c r="AF25" s="243" t="s">
        <v>1399</v>
      </c>
      <c r="AG25" s="243" t="s">
        <v>1399</v>
      </c>
      <c r="AH25" s="530" t="s">
        <v>515</v>
      </c>
      <c r="AI25" s="240">
        <v>2026</v>
      </c>
      <c r="AJ25" s="499"/>
      <c r="AK25" s="240" t="s">
        <v>1399</v>
      </c>
      <c r="AL25" s="240" t="s">
        <v>1401</v>
      </c>
      <c r="AM25" s="240" t="s">
        <v>1402</v>
      </c>
      <c r="AN25" s="509">
        <v>400000000</v>
      </c>
      <c r="AO25" s="510"/>
      <c r="AP25" s="511" t="s">
        <v>1445</v>
      </c>
      <c r="AQ25" s="512" t="e">
        <f>+#REF!/(SUM(#REF!)+SUM(#REF!))*2906550000</f>
        <v>#REF!</v>
      </c>
      <c r="AR25" s="510">
        <f t="shared" si="15"/>
        <v>524569500</v>
      </c>
      <c r="AS25" s="513"/>
      <c r="AT25" s="513"/>
      <c r="AU25" s="250">
        <f>365*Sheet1!F22*Sheet1!G22</f>
        <v>2101122.5</v>
      </c>
      <c r="AV25" s="240" t="s">
        <v>373</v>
      </c>
      <c r="AW25" s="240" t="s">
        <v>373</v>
      </c>
      <c r="AX25" s="240" t="s">
        <v>1406</v>
      </c>
      <c r="AY25" s="251"/>
    </row>
    <row r="26" spans="1:51" s="252" customFormat="1" ht="18" hidden="1" customHeight="1">
      <c r="A26" s="265"/>
      <c r="B26" s="478" t="s">
        <v>1506</v>
      </c>
      <c r="C26" s="239" t="s">
        <v>1507</v>
      </c>
      <c r="D26" s="462" t="s">
        <v>1508</v>
      </c>
      <c r="E26" s="367" t="s">
        <v>1509</v>
      </c>
      <c r="F26" s="367"/>
      <c r="G26" s="329">
        <v>45572</v>
      </c>
      <c r="H26" s="367"/>
      <c r="I26" s="367"/>
      <c r="J26" s="1065">
        <v>1394.0208</v>
      </c>
      <c r="K26" s="473">
        <v>1403</v>
      </c>
      <c r="L26" s="473"/>
      <c r="M26" s="473">
        <v>499.96</v>
      </c>
      <c r="N26" s="329"/>
      <c r="O26" s="329" t="s">
        <v>742</v>
      </c>
      <c r="P26" s="329" t="s">
        <v>1395</v>
      </c>
      <c r="Q26" s="329" t="s">
        <v>742</v>
      </c>
      <c r="R26" s="329" t="s">
        <v>742</v>
      </c>
      <c r="S26" s="240">
        <v>1</v>
      </c>
      <c r="T26" s="242">
        <f t="shared" si="14"/>
        <v>9999200000</v>
      </c>
      <c r="U26" s="241">
        <v>6</v>
      </c>
      <c r="V26" s="240" t="s">
        <v>685</v>
      </c>
      <c r="W26" s="241" t="s">
        <v>515</v>
      </c>
      <c r="X26" s="241" t="s">
        <v>515</v>
      </c>
      <c r="Y26" s="275" t="s">
        <v>793</v>
      </c>
      <c r="Z26" s="247" t="s">
        <v>793</v>
      </c>
      <c r="AA26" s="246"/>
      <c r="AB26" s="247" t="s">
        <v>793</v>
      </c>
      <c r="AC26" s="248">
        <v>150000000</v>
      </c>
      <c r="AD26" s="240" t="s">
        <v>1398</v>
      </c>
      <c r="AE26" s="249">
        <v>6264</v>
      </c>
      <c r="AF26" s="243" t="s">
        <v>1399</v>
      </c>
      <c r="AG26" s="243" t="s">
        <v>1399</v>
      </c>
      <c r="AH26" s="530" t="s">
        <v>515</v>
      </c>
      <c r="AI26" s="240">
        <v>2026</v>
      </c>
      <c r="AJ26" s="71"/>
      <c r="AK26" s="240" t="s">
        <v>1399</v>
      </c>
      <c r="AL26" s="240" t="s">
        <v>1401</v>
      </c>
      <c r="AM26" s="240" t="s">
        <v>1402</v>
      </c>
      <c r="AN26" s="509">
        <v>400000000</v>
      </c>
      <c r="AO26" s="510"/>
      <c r="AP26" s="511" t="s">
        <v>1445</v>
      </c>
      <c r="AQ26" s="512" t="e">
        <f>+#REF!/(SUM(#REF!)+SUM(#REF!))*2906550000</f>
        <v>#REF!</v>
      </c>
      <c r="AR26" s="510">
        <f t="shared" si="15"/>
        <v>524958000</v>
      </c>
      <c r="AS26" s="513"/>
      <c r="AT26" s="513"/>
      <c r="AU26" s="250">
        <f>365*Sheet1!F23*Sheet1!G23</f>
        <v>2098224.4</v>
      </c>
      <c r="AV26" s="240" t="s">
        <v>1510</v>
      </c>
      <c r="AW26" s="240" t="s">
        <v>1510</v>
      </c>
      <c r="AX26" s="240" t="s">
        <v>1406</v>
      </c>
      <c r="AY26" s="251"/>
    </row>
    <row r="27" spans="1:51" s="252" customFormat="1" ht="18" hidden="1" customHeight="1">
      <c r="A27" s="265"/>
      <c r="B27" s="478" t="s">
        <v>1511</v>
      </c>
      <c r="C27" s="239" t="s">
        <v>1512</v>
      </c>
      <c r="D27" s="462" t="s">
        <v>1513</v>
      </c>
      <c r="E27" s="367" t="s">
        <v>1514</v>
      </c>
      <c r="F27" s="367"/>
      <c r="G27" s="329">
        <v>45572</v>
      </c>
      <c r="H27" s="367"/>
      <c r="I27" s="367"/>
      <c r="J27" s="1065">
        <v>1394.0208</v>
      </c>
      <c r="K27" s="473">
        <v>1403</v>
      </c>
      <c r="L27" s="473"/>
      <c r="M27" s="473">
        <v>699.48</v>
      </c>
      <c r="N27" s="329"/>
      <c r="O27" s="329" t="s">
        <v>742</v>
      </c>
      <c r="P27" s="329" t="s">
        <v>1395</v>
      </c>
      <c r="Q27" s="329" t="s">
        <v>742</v>
      </c>
      <c r="R27" s="329" t="s">
        <v>742</v>
      </c>
      <c r="S27" s="240">
        <v>1</v>
      </c>
      <c r="T27" s="242">
        <f t="shared" si="14"/>
        <v>13989600000</v>
      </c>
      <c r="U27" s="241">
        <v>6</v>
      </c>
      <c r="V27" s="240" t="s">
        <v>685</v>
      </c>
      <c r="W27" s="241" t="s">
        <v>515</v>
      </c>
      <c r="X27" s="241" t="s">
        <v>515</v>
      </c>
      <c r="Y27" s="275" t="s">
        <v>793</v>
      </c>
      <c r="Z27" s="247" t="s">
        <v>793</v>
      </c>
      <c r="AA27" s="246"/>
      <c r="AB27" s="247" t="s">
        <v>793</v>
      </c>
      <c r="AC27" s="248">
        <v>210000000</v>
      </c>
      <c r="AD27" s="240" t="s">
        <v>1398</v>
      </c>
      <c r="AE27" s="249">
        <v>6645</v>
      </c>
      <c r="AF27" s="243" t="s">
        <v>1399</v>
      </c>
      <c r="AG27" s="243" t="s">
        <v>1399</v>
      </c>
      <c r="AH27" s="530" t="s">
        <v>515</v>
      </c>
      <c r="AI27" s="240">
        <v>2026</v>
      </c>
      <c r="AJ27" s="71"/>
      <c r="AK27" s="240" t="s">
        <v>1399</v>
      </c>
      <c r="AL27" s="240" t="s">
        <v>1401</v>
      </c>
      <c r="AM27" s="240" t="s">
        <v>1402</v>
      </c>
      <c r="AN27" s="509">
        <v>400000000</v>
      </c>
      <c r="AO27" s="510"/>
      <c r="AP27" s="511" t="s">
        <v>1445</v>
      </c>
      <c r="AQ27" s="512" t="e">
        <f>+#REF!/(SUM(#REF!)+SUM(#REF!))*2906550000</f>
        <v>#REF!</v>
      </c>
      <c r="AR27" s="510">
        <f t="shared" si="15"/>
        <v>734454000</v>
      </c>
      <c r="AS27" s="513"/>
      <c r="AT27" s="513"/>
      <c r="AU27" s="250">
        <f>365*Sheet1!F24*Sheet1!G24</f>
        <v>2101122.5</v>
      </c>
      <c r="AV27" s="240" t="s">
        <v>1515</v>
      </c>
      <c r="AW27" s="240" t="s">
        <v>1515</v>
      </c>
      <c r="AX27" s="240" t="s">
        <v>1406</v>
      </c>
      <c r="AY27" s="251"/>
    </row>
    <row r="28" spans="1:51" s="252" customFormat="1" ht="18" hidden="1" customHeight="1">
      <c r="A28" s="265"/>
      <c r="B28" s="478" t="s">
        <v>1516</v>
      </c>
      <c r="C28" s="239" t="s">
        <v>1517</v>
      </c>
      <c r="D28" s="462" t="s">
        <v>1518</v>
      </c>
      <c r="E28" s="367" t="s">
        <v>1519</v>
      </c>
      <c r="F28" s="367"/>
      <c r="G28" s="329">
        <v>45572</v>
      </c>
      <c r="H28" s="367"/>
      <c r="I28" s="367"/>
      <c r="J28" s="1066"/>
      <c r="K28" s="473"/>
      <c r="L28" s="473"/>
      <c r="M28" s="473">
        <v>900.14</v>
      </c>
      <c r="N28" s="329"/>
      <c r="O28" s="329" t="s">
        <v>742</v>
      </c>
      <c r="P28" s="329" t="s">
        <v>1395</v>
      </c>
      <c r="Q28" s="329" t="s">
        <v>742</v>
      </c>
      <c r="R28" s="329" t="s">
        <v>742</v>
      </c>
      <c r="S28" s="240">
        <v>1</v>
      </c>
      <c r="T28" s="242">
        <f t="shared" si="14"/>
        <v>18002800000</v>
      </c>
      <c r="U28" s="241">
        <v>6</v>
      </c>
      <c r="V28" s="240" t="s">
        <v>531</v>
      </c>
      <c r="W28" s="241" t="s">
        <v>515</v>
      </c>
      <c r="X28" s="241" t="s">
        <v>515</v>
      </c>
      <c r="Y28" s="275" t="s">
        <v>793</v>
      </c>
      <c r="Z28" s="247" t="s">
        <v>793</v>
      </c>
      <c r="AA28" s="246"/>
      <c r="AB28" s="247" t="s">
        <v>793</v>
      </c>
      <c r="AC28" s="248">
        <v>270000000</v>
      </c>
      <c r="AD28" s="240" t="s">
        <v>1398</v>
      </c>
      <c r="AE28" s="249">
        <v>8226</v>
      </c>
      <c r="AF28" s="243" t="s">
        <v>1399</v>
      </c>
      <c r="AG28" s="243" t="s">
        <v>1399</v>
      </c>
      <c r="AH28" s="530" t="s">
        <v>515</v>
      </c>
      <c r="AI28" s="240">
        <v>2026</v>
      </c>
      <c r="AJ28" s="71"/>
      <c r="AK28" s="240" t="s">
        <v>1399</v>
      </c>
      <c r="AL28" s="240" t="s">
        <v>1401</v>
      </c>
      <c r="AM28" s="240" t="s">
        <v>1402</v>
      </c>
      <c r="AN28" s="509">
        <v>400000000</v>
      </c>
      <c r="AO28" s="510"/>
      <c r="AP28" s="511" t="s">
        <v>1445</v>
      </c>
      <c r="AQ28" s="512" t="e">
        <f>+#REF!/(SUM(#REF!)+SUM(#REF!))*2906550000</f>
        <v>#REF!</v>
      </c>
      <c r="AR28" s="510">
        <f t="shared" si="15"/>
        <v>945147000</v>
      </c>
      <c r="AS28" s="513"/>
      <c r="AT28" s="513"/>
      <c r="AU28" s="250">
        <f>365*Sheet1!F25*Sheet1!G25</f>
        <v>2107867.7000000002</v>
      </c>
      <c r="AV28" s="240" t="s">
        <v>1520</v>
      </c>
      <c r="AW28" s="240" t="s">
        <v>1520</v>
      </c>
      <c r="AX28" s="240" t="s">
        <v>1406</v>
      </c>
      <c r="AY28" s="251"/>
    </row>
    <row r="29" spans="1:51" s="252" customFormat="1" ht="18" hidden="1" customHeight="1">
      <c r="A29" s="265"/>
      <c r="B29" s="478" t="s">
        <v>1521</v>
      </c>
      <c r="C29" s="239" t="s">
        <v>1522</v>
      </c>
      <c r="D29" s="462" t="s">
        <v>1523</v>
      </c>
      <c r="E29" s="367" t="s">
        <v>1524</v>
      </c>
      <c r="F29" s="367"/>
      <c r="G29" s="329">
        <v>45572</v>
      </c>
      <c r="H29" s="367"/>
      <c r="I29" s="367"/>
      <c r="J29" s="1066"/>
      <c r="K29" s="473"/>
      <c r="L29" s="473"/>
      <c r="M29" s="473">
        <v>799.24</v>
      </c>
      <c r="N29" s="329"/>
      <c r="O29" s="329" t="s">
        <v>742</v>
      </c>
      <c r="P29" s="329" t="s">
        <v>1395</v>
      </c>
      <c r="Q29" s="329" t="s">
        <v>742</v>
      </c>
      <c r="R29" s="329" t="s">
        <v>742</v>
      </c>
      <c r="S29" s="240">
        <v>1</v>
      </c>
      <c r="T29" s="242">
        <f t="shared" si="14"/>
        <v>15984800000</v>
      </c>
      <c r="U29" s="241">
        <v>6</v>
      </c>
      <c r="V29" s="240" t="s">
        <v>531</v>
      </c>
      <c r="W29" s="241" t="s">
        <v>515</v>
      </c>
      <c r="X29" s="241" t="s">
        <v>515</v>
      </c>
      <c r="Y29" s="275" t="s">
        <v>793</v>
      </c>
      <c r="Z29" s="247" t="s">
        <v>793</v>
      </c>
      <c r="AA29" s="246"/>
      <c r="AB29" s="247" t="s">
        <v>793</v>
      </c>
      <c r="AC29" s="248">
        <v>240000000</v>
      </c>
      <c r="AD29" s="240" t="s">
        <v>1398</v>
      </c>
      <c r="AE29" s="249">
        <v>7680</v>
      </c>
      <c r="AF29" s="243" t="s">
        <v>1399</v>
      </c>
      <c r="AG29" s="243" t="s">
        <v>1399</v>
      </c>
      <c r="AH29" s="530" t="s">
        <v>515</v>
      </c>
      <c r="AI29" s="240">
        <v>2026</v>
      </c>
      <c r="AJ29" s="71"/>
      <c r="AK29" s="240" t="s">
        <v>1399</v>
      </c>
      <c r="AL29" s="240" t="s">
        <v>1401</v>
      </c>
      <c r="AM29" s="240" t="s">
        <v>1402</v>
      </c>
      <c r="AN29" s="509">
        <v>400000000</v>
      </c>
      <c r="AO29" s="510"/>
      <c r="AP29" s="511" t="s">
        <v>1445</v>
      </c>
      <c r="AQ29" s="512" t="e">
        <f>+#REF!/(SUM(#REF!)+SUM(#REF!))*2906550000</f>
        <v>#REF!</v>
      </c>
      <c r="AR29" s="510">
        <f t="shared" si="15"/>
        <v>839202000</v>
      </c>
      <c r="AS29" s="513"/>
      <c r="AT29" s="513"/>
      <c r="AU29" s="250">
        <f>365*Sheet1!F26*Sheet1!G26</f>
        <v>2099673.4500000002</v>
      </c>
      <c r="AV29" s="240" t="s">
        <v>1525</v>
      </c>
      <c r="AW29" s="240" t="s">
        <v>1525</v>
      </c>
      <c r="AX29" s="240" t="s">
        <v>1406</v>
      </c>
      <c r="AY29" s="253"/>
    </row>
    <row r="30" spans="1:51" s="262" customFormat="1" ht="18" hidden="1" customHeight="1">
      <c r="A30" s="266"/>
      <c r="B30" s="479" t="s">
        <v>1526</v>
      </c>
      <c r="C30" s="254" t="s">
        <v>1527</v>
      </c>
      <c r="D30" s="254" t="s">
        <v>1528</v>
      </c>
      <c r="E30" s="368" t="s">
        <v>1529</v>
      </c>
      <c r="F30" s="368"/>
      <c r="G30" s="331">
        <v>45572</v>
      </c>
      <c r="H30" s="368"/>
      <c r="I30" s="368"/>
      <c r="J30" s="1067"/>
      <c r="K30" s="474"/>
      <c r="L30" s="474"/>
      <c r="M30" s="474">
        <v>499.96</v>
      </c>
      <c r="N30" s="331"/>
      <c r="O30" s="331" t="s">
        <v>742</v>
      </c>
      <c r="P30" s="331" t="s">
        <v>1395</v>
      </c>
      <c r="Q30" s="331" t="s">
        <v>742</v>
      </c>
      <c r="R30" s="331" t="s">
        <v>742</v>
      </c>
      <c r="S30" s="255">
        <v>1</v>
      </c>
      <c r="T30" s="276">
        <f t="shared" si="14"/>
        <v>9999200000</v>
      </c>
      <c r="U30" s="256">
        <v>6</v>
      </c>
      <c r="V30" s="255" t="s">
        <v>1066</v>
      </c>
      <c r="W30" s="256" t="s">
        <v>515</v>
      </c>
      <c r="X30" s="256" t="s">
        <v>515</v>
      </c>
      <c r="Y30" s="277" t="s">
        <v>793</v>
      </c>
      <c r="Z30" s="257" t="s">
        <v>793</v>
      </c>
      <c r="AA30" s="258"/>
      <c r="AB30" s="257" t="s">
        <v>793</v>
      </c>
      <c r="AC30" s="259">
        <v>150000000</v>
      </c>
      <c r="AD30" s="255" t="s">
        <v>1398</v>
      </c>
      <c r="AE30" s="260">
        <v>4208</v>
      </c>
      <c r="AF30" s="531" t="s">
        <v>1399</v>
      </c>
      <c r="AG30" s="531" t="s">
        <v>1399</v>
      </c>
      <c r="AH30" s="532" t="s">
        <v>515</v>
      </c>
      <c r="AI30" s="255">
        <v>2026</v>
      </c>
      <c r="AJ30" s="71"/>
      <c r="AK30" s="255" t="s">
        <v>1399</v>
      </c>
      <c r="AL30" s="255" t="s">
        <v>1401</v>
      </c>
      <c r="AM30" s="255" t="s">
        <v>1402</v>
      </c>
      <c r="AN30" s="514">
        <v>400000000</v>
      </c>
      <c r="AO30" s="515"/>
      <c r="AP30" s="516" t="s">
        <v>1445</v>
      </c>
      <c r="AQ30" s="517" t="e">
        <f>+#REF!/(SUM(#REF!)+SUM(#REF!))*2906550000</f>
        <v>#REF!</v>
      </c>
      <c r="AR30" s="515">
        <f t="shared" si="15"/>
        <v>524958000</v>
      </c>
      <c r="AS30" s="518"/>
      <c r="AT30" s="518"/>
      <c r="AU30" s="261">
        <f>365*Sheet1!F27*Sheet1!G27</f>
        <v>2109320.4</v>
      </c>
      <c r="AV30" s="255" t="s">
        <v>1530</v>
      </c>
      <c r="AW30" s="255" t="s">
        <v>1530</v>
      </c>
      <c r="AX30" s="255" t="s">
        <v>1406</v>
      </c>
    </row>
    <row r="31" spans="1:51" ht="18" hidden="1" customHeight="1">
      <c r="A31" s="2851" t="str">
        <f>"SooAm - "
&amp;SUM(M31:M39)</f>
        <v>SooAm - 3696.21</v>
      </c>
      <c r="B31" s="476" t="s">
        <v>1531</v>
      </c>
      <c r="C31" s="67" t="s">
        <v>1532</v>
      </c>
      <c r="D31" s="67" t="s">
        <v>1533</v>
      </c>
      <c r="E31" s="350" t="s">
        <v>1534</v>
      </c>
      <c r="F31" s="350"/>
      <c r="G31" s="325">
        <v>45572</v>
      </c>
      <c r="H31" s="350"/>
      <c r="I31" s="350"/>
      <c r="J31" s="1068"/>
      <c r="K31" s="471"/>
      <c r="L31" s="471"/>
      <c r="M31" s="471">
        <v>499.59</v>
      </c>
      <c r="N31" s="325"/>
      <c r="O31" s="325" t="s">
        <v>742</v>
      </c>
      <c r="P31" s="325" t="s">
        <v>1395</v>
      </c>
      <c r="Q31" s="325" t="s">
        <v>742</v>
      </c>
      <c r="R31" s="325" t="s">
        <v>742</v>
      </c>
      <c r="S31" s="71">
        <v>1</v>
      </c>
      <c r="T31" s="99">
        <f t="shared" si="14"/>
        <v>9991800000</v>
      </c>
      <c r="U31" s="92">
        <v>6</v>
      </c>
      <c r="V31" s="71" t="s">
        <v>1469</v>
      </c>
      <c r="W31" s="92" t="s">
        <v>793</v>
      </c>
      <c r="X31" s="92" t="s">
        <v>793</v>
      </c>
      <c r="Y31" s="93">
        <f t="shared" ref="Y31:Y39" si="16">(AE31/3.305)*Z31*1.8</f>
        <v>25637267.655068077</v>
      </c>
      <c r="Z31" s="94">
        <v>12100</v>
      </c>
      <c r="AA31" s="95">
        <v>20000000</v>
      </c>
      <c r="AB31" s="94">
        <f t="shared" ref="AB31:AB39" si="17">AA31/AE31*3.3058</f>
        <v>16995.002981759855</v>
      </c>
      <c r="AC31" s="144" t="s">
        <v>1394</v>
      </c>
      <c r="AD31" s="71" t="s">
        <v>1398</v>
      </c>
      <c r="AE31" s="97">
        <v>3890.32</v>
      </c>
      <c r="AF31" s="100" t="s">
        <v>515</v>
      </c>
      <c r="AG31" s="100" t="s">
        <v>1399</v>
      </c>
      <c r="AH31" s="100" t="s">
        <v>1535</v>
      </c>
      <c r="AI31" s="71" t="s">
        <v>742</v>
      </c>
      <c r="AJ31" s="71"/>
      <c r="AK31" s="71" t="s">
        <v>1399</v>
      </c>
      <c r="AL31" s="71" t="s">
        <v>1401</v>
      </c>
      <c r="AM31" s="71" t="s">
        <v>1402</v>
      </c>
      <c r="AN31" s="502">
        <v>450000000</v>
      </c>
      <c r="AO31" s="495"/>
      <c r="AP31" s="355" t="s">
        <v>307</v>
      </c>
      <c r="AQ31" s="508">
        <v>73176000</v>
      </c>
      <c r="AR31" s="495">
        <f t="shared" si="15"/>
        <v>524569500</v>
      </c>
      <c r="AS31" s="10"/>
      <c r="AT31" s="10"/>
      <c r="AU31" s="109">
        <f t="shared" ref="AU31:AU56" si="18">3.6*365*1286</f>
        <v>1689804</v>
      </c>
      <c r="AV31" s="71" t="s">
        <v>1536</v>
      </c>
      <c r="AW31" s="71" t="s">
        <v>1536</v>
      </c>
      <c r="AX31" s="71" t="s">
        <v>1406</v>
      </c>
    </row>
    <row r="32" spans="1:51" ht="18" hidden="1" customHeight="1">
      <c r="A32" s="2851"/>
      <c r="B32" s="476" t="s">
        <v>1537</v>
      </c>
      <c r="C32" s="67" t="s">
        <v>1532</v>
      </c>
      <c r="D32" s="67" t="s">
        <v>1533</v>
      </c>
      <c r="E32" s="350" t="s">
        <v>1534</v>
      </c>
      <c r="F32" s="350"/>
      <c r="G32" s="325">
        <v>45572</v>
      </c>
      <c r="H32" s="350"/>
      <c r="I32" s="350"/>
      <c r="J32" s="1068"/>
      <c r="K32" s="471"/>
      <c r="L32" s="471"/>
      <c r="M32" s="471">
        <v>499.59</v>
      </c>
      <c r="N32" s="325"/>
      <c r="O32" s="325" t="s">
        <v>742</v>
      </c>
      <c r="P32" s="325" t="s">
        <v>1395</v>
      </c>
      <c r="Q32" s="325" t="s">
        <v>742</v>
      </c>
      <c r="R32" s="325" t="s">
        <v>742</v>
      </c>
      <c r="S32" s="71">
        <v>1</v>
      </c>
      <c r="T32" s="99">
        <f t="shared" si="14"/>
        <v>9991800000</v>
      </c>
      <c r="U32" s="92">
        <v>6</v>
      </c>
      <c r="V32" s="71" t="s">
        <v>1469</v>
      </c>
      <c r="W32" s="92" t="s">
        <v>793</v>
      </c>
      <c r="X32" s="92" t="s">
        <v>793</v>
      </c>
      <c r="Y32" s="93">
        <f t="shared" si="16"/>
        <v>25637267.655068077</v>
      </c>
      <c r="Z32" s="94">
        <v>12100</v>
      </c>
      <c r="AA32" s="95">
        <v>20000000</v>
      </c>
      <c r="AB32" s="94">
        <f t="shared" si="17"/>
        <v>16995.002981759855</v>
      </c>
      <c r="AC32" s="144" t="s">
        <v>1394</v>
      </c>
      <c r="AD32" s="71" t="s">
        <v>1398</v>
      </c>
      <c r="AE32" s="97">
        <v>3890.32</v>
      </c>
      <c r="AF32" s="100" t="s">
        <v>515</v>
      </c>
      <c r="AG32" s="100" t="s">
        <v>1399</v>
      </c>
      <c r="AH32" s="100" t="s">
        <v>1535</v>
      </c>
      <c r="AI32" s="71" t="s">
        <v>742</v>
      </c>
      <c r="AJ32" s="71"/>
      <c r="AK32" s="71" t="s">
        <v>1399</v>
      </c>
      <c r="AL32" s="71" t="s">
        <v>1401</v>
      </c>
      <c r="AM32" s="71" t="s">
        <v>1402</v>
      </c>
      <c r="AN32" s="502">
        <v>450000000</v>
      </c>
      <c r="AO32" s="495"/>
      <c r="AP32" s="355" t="s">
        <v>307</v>
      </c>
      <c r="AQ32" s="508">
        <v>73176000</v>
      </c>
      <c r="AR32" s="495">
        <f t="shared" si="15"/>
        <v>524569500</v>
      </c>
      <c r="AS32" s="10"/>
      <c r="AT32" s="10"/>
      <c r="AU32" s="109">
        <f t="shared" si="18"/>
        <v>1689804</v>
      </c>
      <c r="AV32" s="71" t="s">
        <v>1536</v>
      </c>
      <c r="AW32" s="71" t="s">
        <v>1536</v>
      </c>
      <c r="AX32" s="71" t="s">
        <v>1406</v>
      </c>
    </row>
    <row r="33" spans="1:50" ht="18" hidden="1" customHeight="1">
      <c r="A33" s="2851"/>
      <c r="B33" s="476" t="s">
        <v>1538</v>
      </c>
      <c r="C33" s="67" t="s">
        <v>1532</v>
      </c>
      <c r="D33" s="67" t="s">
        <v>1533</v>
      </c>
      <c r="E33" s="350" t="s">
        <v>1534</v>
      </c>
      <c r="F33" s="350"/>
      <c r="G33" s="325">
        <v>45572</v>
      </c>
      <c r="H33" s="350"/>
      <c r="I33" s="350"/>
      <c r="J33" s="1068"/>
      <c r="K33" s="471"/>
      <c r="L33" s="471"/>
      <c r="M33" s="471">
        <v>499.59</v>
      </c>
      <c r="N33" s="325"/>
      <c r="O33" s="325" t="s">
        <v>742</v>
      </c>
      <c r="P33" s="325" t="s">
        <v>1395</v>
      </c>
      <c r="Q33" s="325" t="s">
        <v>742</v>
      </c>
      <c r="R33" s="325" t="s">
        <v>742</v>
      </c>
      <c r="S33" s="71">
        <v>1</v>
      </c>
      <c r="T33" s="99">
        <f t="shared" si="14"/>
        <v>9991800000</v>
      </c>
      <c r="U33" s="92">
        <v>6</v>
      </c>
      <c r="V33" s="71" t="s">
        <v>1469</v>
      </c>
      <c r="W33" s="92" t="s">
        <v>793</v>
      </c>
      <c r="X33" s="92" t="s">
        <v>793</v>
      </c>
      <c r="Y33" s="93">
        <f t="shared" si="16"/>
        <v>25637267.655068077</v>
      </c>
      <c r="Z33" s="94">
        <v>12100</v>
      </c>
      <c r="AA33" s="95">
        <v>20000000</v>
      </c>
      <c r="AB33" s="94">
        <f t="shared" si="17"/>
        <v>16995.002981759855</v>
      </c>
      <c r="AC33" s="144" t="s">
        <v>1394</v>
      </c>
      <c r="AD33" s="71" t="s">
        <v>1398</v>
      </c>
      <c r="AE33" s="97">
        <v>3890.32</v>
      </c>
      <c r="AF33" s="100" t="s">
        <v>515</v>
      </c>
      <c r="AG33" s="100" t="s">
        <v>1399</v>
      </c>
      <c r="AH33" s="100" t="s">
        <v>1535</v>
      </c>
      <c r="AI33" s="71" t="s">
        <v>742</v>
      </c>
      <c r="AJ33" s="71"/>
      <c r="AK33" s="71" t="s">
        <v>1399</v>
      </c>
      <c r="AL33" s="71" t="s">
        <v>1401</v>
      </c>
      <c r="AM33" s="71" t="s">
        <v>1402</v>
      </c>
      <c r="AN33" s="502">
        <v>450000000</v>
      </c>
      <c r="AO33" s="495"/>
      <c r="AP33" s="355" t="s">
        <v>307</v>
      </c>
      <c r="AQ33" s="508">
        <v>73176000</v>
      </c>
      <c r="AR33" s="495">
        <f t="shared" si="15"/>
        <v>524569500</v>
      </c>
      <c r="AS33" s="10"/>
      <c r="AT33" s="10"/>
      <c r="AU33" s="109">
        <f t="shared" si="18"/>
        <v>1689804</v>
      </c>
      <c r="AV33" s="71" t="s">
        <v>1536</v>
      </c>
      <c r="AW33" s="71" t="s">
        <v>1536</v>
      </c>
      <c r="AX33" s="71" t="s">
        <v>1406</v>
      </c>
    </row>
    <row r="34" spans="1:50" ht="18" hidden="1" customHeight="1">
      <c r="A34" s="2851"/>
      <c r="B34" s="476" t="s">
        <v>1539</v>
      </c>
      <c r="C34" s="67" t="s">
        <v>1532</v>
      </c>
      <c r="D34" s="67" t="s">
        <v>1533</v>
      </c>
      <c r="E34" s="350" t="s">
        <v>1534</v>
      </c>
      <c r="F34" s="350"/>
      <c r="G34" s="325">
        <v>45572</v>
      </c>
      <c r="H34" s="350"/>
      <c r="I34" s="350"/>
      <c r="J34" s="1068"/>
      <c r="K34" s="471"/>
      <c r="L34" s="471"/>
      <c r="M34" s="471">
        <v>499.59</v>
      </c>
      <c r="N34" s="325"/>
      <c r="O34" s="325" t="s">
        <v>742</v>
      </c>
      <c r="P34" s="325" t="s">
        <v>1395</v>
      </c>
      <c r="Q34" s="325" t="s">
        <v>742</v>
      </c>
      <c r="R34" s="325" t="s">
        <v>742</v>
      </c>
      <c r="S34" s="71">
        <v>1</v>
      </c>
      <c r="T34" s="99">
        <f t="shared" si="14"/>
        <v>9991800000</v>
      </c>
      <c r="U34" s="92">
        <v>6</v>
      </c>
      <c r="V34" s="71" t="s">
        <v>1469</v>
      </c>
      <c r="W34" s="92" t="s">
        <v>793</v>
      </c>
      <c r="X34" s="92" t="s">
        <v>793</v>
      </c>
      <c r="Y34" s="93">
        <f t="shared" si="16"/>
        <v>25637267.655068077</v>
      </c>
      <c r="Z34" s="94">
        <v>12100</v>
      </c>
      <c r="AA34" s="95">
        <v>20000000</v>
      </c>
      <c r="AB34" s="94">
        <f t="shared" si="17"/>
        <v>16995.002981759855</v>
      </c>
      <c r="AC34" s="144" t="s">
        <v>1394</v>
      </c>
      <c r="AD34" s="71" t="s">
        <v>1398</v>
      </c>
      <c r="AE34" s="97">
        <v>3890.32</v>
      </c>
      <c r="AF34" s="100" t="s">
        <v>515</v>
      </c>
      <c r="AG34" s="100" t="s">
        <v>1399</v>
      </c>
      <c r="AH34" s="100" t="s">
        <v>1535</v>
      </c>
      <c r="AI34" s="71" t="s">
        <v>742</v>
      </c>
      <c r="AJ34" s="71"/>
      <c r="AK34" s="71" t="s">
        <v>1399</v>
      </c>
      <c r="AL34" s="71" t="s">
        <v>1401</v>
      </c>
      <c r="AM34" s="71" t="s">
        <v>1402</v>
      </c>
      <c r="AN34" s="502">
        <v>450000000</v>
      </c>
      <c r="AO34" s="495"/>
      <c r="AP34" s="355" t="s">
        <v>307</v>
      </c>
      <c r="AQ34" s="508">
        <v>73176000</v>
      </c>
      <c r="AR34" s="495">
        <f t="shared" si="15"/>
        <v>524569500</v>
      </c>
      <c r="AS34" s="10"/>
      <c r="AT34" s="10"/>
      <c r="AU34" s="109">
        <f t="shared" si="18"/>
        <v>1689804</v>
      </c>
      <c r="AV34" s="71" t="s">
        <v>1536</v>
      </c>
      <c r="AW34" s="71" t="s">
        <v>1536</v>
      </c>
      <c r="AX34" s="71" t="s">
        <v>1406</v>
      </c>
    </row>
    <row r="35" spans="1:50" ht="18" hidden="1" customHeight="1">
      <c r="A35" s="2851"/>
      <c r="B35" s="476" t="s">
        <v>1540</v>
      </c>
      <c r="C35" s="67" t="s">
        <v>1532</v>
      </c>
      <c r="D35" s="67" t="s">
        <v>1533</v>
      </c>
      <c r="E35" s="350" t="s">
        <v>1534</v>
      </c>
      <c r="F35" s="350"/>
      <c r="G35" s="325">
        <v>45572</v>
      </c>
      <c r="H35" s="350"/>
      <c r="I35" s="350"/>
      <c r="J35" s="1068"/>
      <c r="K35" s="471"/>
      <c r="L35" s="471"/>
      <c r="M35" s="471">
        <v>499.59</v>
      </c>
      <c r="N35" s="325"/>
      <c r="O35" s="325" t="s">
        <v>742</v>
      </c>
      <c r="P35" s="325" t="s">
        <v>1395</v>
      </c>
      <c r="Q35" s="325" t="s">
        <v>742</v>
      </c>
      <c r="R35" s="325" t="s">
        <v>742</v>
      </c>
      <c r="S35" s="71">
        <v>1</v>
      </c>
      <c r="T35" s="99">
        <f t="shared" si="14"/>
        <v>9991800000</v>
      </c>
      <c r="U35" s="92">
        <v>6</v>
      </c>
      <c r="V35" s="71" t="s">
        <v>1469</v>
      </c>
      <c r="W35" s="92" t="s">
        <v>793</v>
      </c>
      <c r="X35" s="92" t="s">
        <v>793</v>
      </c>
      <c r="Y35" s="93">
        <f t="shared" si="16"/>
        <v>25637267.655068077</v>
      </c>
      <c r="Z35" s="94">
        <v>12100</v>
      </c>
      <c r="AA35" s="95">
        <v>20000000</v>
      </c>
      <c r="AB35" s="94">
        <f t="shared" si="17"/>
        <v>16995.002981759855</v>
      </c>
      <c r="AC35" s="144" t="s">
        <v>1394</v>
      </c>
      <c r="AD35" s="71" t="s">
        <v>1398</v>
      </c>
      <c r="AE35" s="97">
        <v>3890.32</v>
      </c>
      <c r="AF35" s="100" t="s">
        <v>515</v>
      </c>
      <c r="AG35" s="100" t="s">
        <v>1399</v>
      </c>
      <c r="AH35" s="100" t="s">
        <v>1535</v>
      </c>
      <c r="AI35" s="71" t="s">
        <v>742</v>
      </c>
      <c r="AJ35" s="71"/>
      <c r="AK35" s="71" t="s">
        <v>1399</v>
      </c>
      <c r="AL35" s="71" t="s">
        <v>1401</v>
      </c>
      <c r="AM35" s="71" t="s">
        <v>1402</v>
      </c>
      <c r="AN35" s="502">
        <v>450000000</v>
      </c>
      <c r="AO35" s="495"/>
      <c r="AP35" s="355" t="s">
        <v>307</v>
      </c>
      <c r="AQ35" s="508">
        <v>73176000</v>
      </c>
      <c r="AR35" s="495">
        <f t="shared" si="15"/>
        <v>524569500</v>
      </c>
      <c r="AS35" s="10"/>
      <c r="AT35" s="10"/>
      <c r="AU35" s="109">
        <f t="shared" si="18"/>
        <v>1689804</v>
      </c>
      <c r="AV35" s="71" t="s">
        <v>1536</v>
      </c>
      <c r="AW35" s="71" t="s">
        <v>1536</v>
      </c>
      <c r="AX35" s="71" t="s">
        <v>1406</v>
      </c>
    </row>
    <row r="36" spans="1:50" ht="18" hidden="1" customHeight="1">
      <c r="A36" s="2851"/>
      <c r="B36" s="476" t="s">
        <v>1541</v>
      </c>
      <c r="C36" s="67" t="s">
        <v>1532</v>
      </c>
      <c r="D36" s="67" t="s">
        <v>1533</v>
      </c>
      <c r="E36" s="350" t="s">
        <v>1534</v>
      </c>
      <c r="F36" s="350"/>
      <c r="G36" s="325">
        <v>45572</v>
      </c>
      <c r="H36" s="350"/>
      <c r="I36" s="350"/>
      <c r="J36" s="1068"/>
      <c r="K36" s="471"/>
      <c r="L36" s="471"/>
      <c r="M36" s="471">
        <v>499.59</v>
      </c>
      <c r="N36" s="325"/>
      <c r="O36" s="325" t="s">
        <v>742</v>
      </c>
      <c r="P36" s="325" t="s">
        <v>1395</v>
      </c>
      <c r="Q36" s="325" t="s">
        <v>742</v>
      </c>
      <c r="R36" s="325" t="s">
        <v>742</v>
      </c>
      <c r="S36" s="71">
        <v>1</v>
      </c>
      <c r="T36" s="99">
        <f t="shared" si="14"/>
        <v>9991800000</v>
      </c>
      <c r="U36" s="92">
        <v>6</v>
      </c>
      <c r="V36" s="71" t="s">
        <v>1469</v>
      </c>
      <c r="W36" s="92" t="s">
        <v>793</v>
      </c>
      <c r="X36" s="92" t="s">
        <v>793</v>
      </c>
      <c r="Y36" s="93">
        <f t="shared" si="16"/>
        <v>25637267.655068077</v>
      </c>
      <c r="Z36" s="94">
        <v>12100</v>
      </c>
      <c r="AA36" s="95">
        <v>20000000</v>
      </c>
      <c r="AB36" s="94">
        <f t="shared" si="17"/>
        <v>16995.002981759855</v>
      </c>
      <c r="AC36" s="144" t="s">
        <v>1394</v>
      </c>
      <c r="AD36" s="71" t="s">
        <v>1398</v>
      </c>
      <c r="AE36" s="97">
        <v>3890.32</v>
      </c>
      <c r="AF36" s="100" t="s">
        <v>515</v>
      </c>
      <c r="AG36" s="100" t="s">
        <v>1399</v>
      </c>
      <c r="AH36" s="100" t="s">
        <v>1535</v>
      </c>
      <c r="AI36" s="71" t="s">
        <v>742</v>
      </c>
      <c r="AJ36" s="71"/>
      <c r="AK36" s="71" t="s">
        <v>1399</v>
      </c>
      <c r="AL36" s="71" t="s">
        <v>1401</v>
      </c>
      <c r="AM36" s="71" t="s">
        <v>1402</v>
      </c>
      <c r="AN36" s="502">
        <v>450000000</v>
      </c>
      <c r="AO36" s="495"/>
      <c r="AP36" s="355" t="s">
        <v>307</v>
      </c>
      <c r="AQ36" s="508">
        <v>73176000</v>
      </c>
      <c r="AR36" s="495">
        <f t="shared" si="15"/>
        <v>524569500</v>
      </c>
      <c r="AS36" s="10"/>
      <c r="AT36" s="10"/>
      <c r="AU36" s="109">
        <f t="shared" si="18"/>
        <v>1689804</v>
      </c>
      <c r="AV36" s="71" t="s">
        <v>1536</v>
      </c>
      <c r="AW36" s="71" t="s">
        <v>1536</v>
      </c>
      <c r="AX36" s="71" t="s">
        <v>1406</v>
      </c>
    </row>
    <row r="37" spans="1:50" ht="18" hidden="1" customHeight="1">
      <c r="A37" s="2851"/>
      <c r="B37" s="476" t="s">
        <v>1542</v>
      </c>
      <c r="C37" s="67" t="s">
        <v>1532</v>
      </c>
      <c r="D37" s="67" t="s">
        <v>1533</v>
      </c>
      <c r="E37" s="350" t="s">
        <v>1534</v>
      </c>
      <c r="F37" s="350"/>
      <c r="G37" s="325">
        <v>45572</v>
      </c>
      <c r="H37" s="350"/>
      <c r="I37" s="350"/>
      <c r="J37" s="1068"/>
      <c r="K37" s="471"/>
      <c r="L37" s="471"/>
      <c r="M37" s="471">
        <v>499.59</v>
      </c>
      <c r="N37" s="325"/>
      <c r="O37" s="325" t="s">
        <v>742</v>
      </c>
      <c r="P37" s="325" t="s">
        <v>1395</v>
      </c>
      <c r="Q37" s="325" t="s">
        <v>742</v>
      </c>
      <c r="R37" s="325" t="s">
        <v>742</v>
      </c>
      <c r="S37" s="71">
        <v>1</v>
      </c>
      <c r="T37" s="99">
        <f t="shared" si="14"/>
        <v>9991800000</v>
      </c>
      <c r="U37" s="92">
        <v>6</v>
      </c>
      <c r="V37" s="71" t="s">
        <v>1469</v>
      </c>
      <c r="W37" s="92" t="s">
        <v>793</v>
      </c>
      <c r="X37" s="92" t="s">
        <v>793</v>
      </c>
      <c r="Y37" s="93">
        <f t="shared" si="16"/>
        <v>25637267.655068077</v>
      </c>
      <c r="Z37" s="94">
        <v>12100</v>
      </c>
      <c r="AA37" s="95">
        <v>20000000</v>
      </c>
      <c r="AB37" s="94">
        <f t="shared" si="17"/>
        <v>16995.002981759855</v>
      </c>
      <c r="AC37" s="144" t="s">
        <v>1394</v>
      </c>
      <c r="AD37" s="71" t="s">
        <v>1398</v>
      </c>
      <c r="AE37" s="97">
        <v>3890.32</v>
      </c>
      <c r="AF37" s="100" t="s">
        <v>515</v>
      </c>
      <c r="AG37" s="100" t="s">
        <v>1399</v>
      </c>
      <c r="AH37" s="100" t="s">
        <v>1535</v>
      </c>
      <c r="AI37" s="71" t="s">
        <v>742</v>
      </c>
      <c r="AJ37" s="151"/>
      <c r="AK37" s="71" t="s">
        <v>1399</v>
      </c>
      <c r="AL37" s="71" t="s">
        <v>1401</v>
      </c>
      <c r="AM37" s="71" t="s">
        <v>1402</v>
      </c>
      <c r="AN37" s="502">
        <v>450000000</v>
      </c>
      <c r="AO37" s="495"/>
      <c r="AP37" s="355" t="s">
        <v>307</v>
      </c>
      <c r="AQ37" s="508">
        <v>73176000</v>
      </c>
      <c r="AR37" s="495">
        <f t="shared" si="15"/>
        <v>524569500</v>
      </c>
      <c r="AS37" s="10"/>
      <c r="AT37" s="10"/>
      <c r="AU37" s="109">
        <f t="shared" si="18"/>
        <v>1689804</v>
      </c>
      <c r="AV37" s="71" t="s">
        <v>1536</v>
      </c>
      <c r="AW37" s="71" t="s">
        <v>1536</v>
      </c>
      <c r="AX37" s="71" t="s">
        <v>1406</v>
      </c>
    </row>
    <row r="38" spans="1:50" ht="18" hidden="1" customHeight="1">
      <c r="A38" s="2851"/>
      <c r="B38" s="476" t="s">
        <v>1543</v>
      </c>
      <c r="C38" s="67" t="s">
        <v>1532</v>
      </c>
      <c r="D38" s="67" t="s">
        <v>1533</v>
      </c>
      <c r="E38" s="350" t="s">
        <v>1534</v>
      </c>
      <c r="F38" s="350"/>
      <c r="G38" s="325">
        <v>45572</v>
      </c>
      <c r="H38" s="350"/>
      <c r="I38" s="350"/>
      <c r="J38" s="1068"/>
      <c r="K38" s="471"/>
      <c r="L38" s="471"/>
      <c r="M38" s="471">
        <v>99.54</v>
      </c>
      <c r="N38" s="325"/>
      <c r="O38" s="325" t="s">
        <v>742</v>
      </c>
      <c r="P38" s="325" t="s">
        <v>1395</v>
      </c>
      <c r="Q38" s="325" t="s">
        <v>742</v>
      </c>
      <c r="R38" s="325" t="s">
        <v>742</v>
      </c>
      <c r="S38" s="71">
        <v>1</v>
      </c>
      <c r="T38" s="99">
        <f t="shared" si="14"/>
        <v>1990800000.0000002</v>
      </c>
      <c r="U38" s="92">
        <v>6</v>
      </c>
      <c r="V38" s="71" t="s">
        <v>1469</v>
      </c>
      <c r="W38" s="92" t="s">
        <v>793</v>
      </c>
      <c r="X38" s="92" t="s">
        <v>793</v>
      </c>
      <c r="Y38" s="93">
        <f t="shared" si="16"/>
        <v>4651759.8789712554</v>
      </c>
      <c r="Z38" s="94">
        <v>12100</v>
      </c>
      <c r="AA38" s="95">
        <v>20000000</v>
      </c>
      <c r="AB38" s="94">
        <f t="shared" si="17"/>
        <v>93664.645548818502</v>
      </c>
      <c r="AC38" s="144" t="s">
        <v>1394</v>
      </c>
      <c r="AD38" s="71" t="s">
        <v>1398</v>
      </c>
      <c r="AE38" s="97">
        <v>705.88</v>
      </c>
      <c r="AF38" s="100" t="s">
        <v>515</v>
      </c>
      <c r="AG38" s="100" t="s">
        <v>1399</v>
      </c>
      <c r="AH38" s="100" t="s">
        <v>1535</v>
      </c>
      <c r="AI38" s="71" t="s">
        <v>742</v>
      </c>
      <c r="AJ38" s="71"/>
      <c r="AK38" s="71" t="s">
        <v>1399</v>
      </c>
      <c r="AL38" s="71" t="s">
        <v>1401</v>
      </c>
      <c r="AM38" s="71" t="s">
        <v>1402</v>
      </c>
      <c r="AN38" s="502">
        <v>450000000</v>
      </c>
      <c r="AO38" s="495"/>
      <c r="AP38" s="355" t="s">
        <v>307</v>
      </c>
      <c r="AQ38" s="508">
        <v>14579833</v>
      </c>
      <c r="AR38" s="495">
        <f t="shared" si="15"/>
        <v>104517000</v>
      </c>
      <c r="AS38" s="10"/>
      <c r="AT38" s="10"/>
      <c r="AU38" s="109">
        <f t="shared" si="18"/>
        <v>1689804</v>
      </c>
      <c r="AV38" s="71" t="s">
        <v>1536</v>
      </c>
      <c r="AW38" s="71" t="s">
        <v>1536</v>
      </c>
      <c r="AX38" s="71" t="s">
        <v>1406</v>
      </c>
    </row>
    <row r="39" spans="1:50" s="161" customFormat="1" ht="18" hidden="1" customHeight="1">
      <c r="A39" s="2852"/>
      <c r="B39" s="477" t="s">
        <v>1544</v>
      </c>
      <c r="C39" s="150" t="s">
        <v>1532</v>
      </c>
      <c r="D39" s="150" t="s">
        <v>1533</v>
      </c>
      <c r="E39" s="345" t="s">
        <v>1534</v>
      </c>
      <c r="F39" s="345"/>
      <c r="G39" s="328">
        <v>45572</v>
      </c>
      <c r="H39" s="345"/>
      <c r="I39" s="345"/>
      <c r="J39" s="1069"/>
      <c r="K39" s="472"/>
      <c r="L39" s="472"/>
      <c r="M39" s="472">
        <v>99.54</v>
      </c>
      <c r="N39" s="328"/>
      <c r="O39" s="328" t="s">
        <v>742</v>
      </c>
      <c r="P39" s="328" t="s">
        <v>1395</v>
      </c>
      <c r="Q39" s="328" t="s">
        <v>742</v>
      </c>
      <c r="R39" s="328" t="s">
        <v>742</v>
      </c>
      <c r="S39" s="151">
        <v>1</v>
      </c>
      <c r="T39" s="153">
        <f t="shared" si="14"/>
        <v>1990800000.0000002</v>
      </c>
      <c r="U39" s="152">
        <v>6</v>
      </c>
      <c r="V39" s="151" t="s">
        <v>1469</v>
      </c>
      <c r="W39" s="152" t="s">
        <v>793</v>
      </c>
      <c r="X39" s="152" t="s">
        <v>793</v>
      </c>
      <c r="Y39" s="154">
        <f t="shared" si="16"/>
        <v>4651759.8789712554</v>
      </c>
      <c r="Z39" s="155">
        <v>12100</v>
      </c>
      <c r="AA39" s="156">
        <v>20000000</v>
      </c>
      <c r="AB39" s="155">
        <f t="shared" si="17"/>
        <v>93664.645548818502</v>
      </c>
      <c r="AC39" s="164" t="s">
        <v>1394</v>
      </c>
      <c r="AD39" s="151" t="s">
        <v>1398</v>
      </c>
      <c r="AE39" s="165">
        <v>705.88</v>
      </c>
      <c r="AF39" s="163" t="s">
        <v>515</v>
      </c>
      <c r="AG39" s="163" t="s">
        <v>1399</v>
      </c>
      <c r="AH39" s="163" t="s">
        <v>1535</v>
      </c>
      <c r="AI39" s="151" t="s">
        <v>742</v>
      </c>
      <c r="AJ39" s="71"/>
      <c r="AK39" s="151" t="s">
        <v>1399</v>
      </c>
      <c r="AL39" s="151" t="s">
        <v>1401</v>
      </c>
      <c r="AM39" s="151" t="s">
        <v>1402</v>
      </c>
      <c r="AN39" s="519">
        <v>450000000</v>
      </c>
      <c r="AO39" s="505"/>
      <c r="AP39" s="356" t="s">
        <v>307</v>
      </c>
      <c r="AQ39" s="520">
        <v>14579833</v>
      </c>
      <c r="AR39" s="505">
        <f t="shared" si="15"/>
        <v>104517000</v>
      </c>
      <c r="AS39" s="507"/>
      <c r="AT39" s="507"/>
      <c r="AU39" s="109">
        <f t="shared" si="18"/>
        <v>1689804</v>
      </c>
      <c r="AV39" s="151" t="s">
        <v>1536</v>
      </c>
      <c r="AW39" s="151" t="s">
        <v>1536</v>
      </c>
      <c r="AX39" s="151" t="s">
        <v>1406</v>
      </c>
    </row>
    <row r="40" spans="1:50" ht="18" hidden="1" customHeight="1">
      <c r="A40" s="2849" t="str">
        <f>"Boner - "
&amp;SUM(M40:M48)</f>
        <v>Boner - 4109.85</v>
      </c>
      <c r="B40" s="476" t="s">
        <v>1545</v>
      </c>
      <c r="C40" s="67" t="s">
        <v>1546</v>
      </c>
      <c r="D40" s="67" t="s">
        <v>1547</v>
      </c>
      <c r="E40" s="350" t="s">
        <v>742</v>
      </c>
      <c r="F40" s="350"/>
      <c r="G40" s="325">
        <v>45590</v>
      </c>
      <c r="H40" s="350"/>
      <c r="I40" s="350"/>
      <c r="J40" s="1068"/>
      <c r="K40" s="471"/>
      <c r="L40" s="471"/>
      <c r="M40" s="471">
        <v>999.53</v>
      </c>
      <c r="N40" s="325"/>
      <c r="O40" s="325" t="s">
        <v>1548</v>
      </c>
      <c r="P40" s="325" t="s">
        <v>1548</v>
      </c>
      <c r="Q40" s="325" t="s">
        <v>1548</v>
      </c>
      <c r="R40" s="325" t="s">
        <v>1548</v>
      </c>
      <c r="S40" s="71">
        <v>1</v>
      </c>
      <c r="T40" s="99" t="s">
        <v>793</v>
      </c>
      <c r="U40" s="99" t="s">
        <v>793</v>
      </c>
      <c r="V40" s="71" t="s">
        <v>503</v>
      </c>
      <c r="W40" s="92" t="s">
        <v>793</v>
      </c>
      <c r="X40" s="92" t="s">
        <v>793</v>
      </c>
      <c r="Y40" s="93" t="s">
        <v>793</v>
      </c>
      <c r="Z40" s="93" t="s">
        <v>793</v>
      </c>
      <c r="AA40" s="93" t="s">
        <v>793</v>
      </c>
      <c r="AB40" s="93" t="s">
        <v>793</v>
      </c>
      <c r="AC40" s="144">
        <f t="shared" ref="AC40:AC45" si="19">1800000000*M40/1000</f>
        <v>1799154000</v>
      </c>
      <c r="AD40" s="71" t="s">
        <v>1549</v>
      </c>
      <c r="AE40" s="97"/>
      <c r="AF40" s="100" t="s">
        <v>1399</v>
      </c>
      <c r="AG40" s="100" t="s">
        <v>1399</v>
      </c>
      <c r="AH40" s="100" t="s">
        <v>1399</v>
      </c>
      <c r="AI40" s="71" t="s">
        <v>1399</v>
      </c>
      <c r="AJ40" s="71"/>
      <c r="AK40" s="71" t="s">
        <v>1550</v>
      </c>
      <c r="AL40" s="71" t="s">
        <v>1401</v>
      </c>
      <c r="AM40" s="71" t="s">
        <v>1402</v>
      </c>
      <c r="AN40" s="504" t="s">
        <v>1548</v>
      </c>
      <c r="AO40" s="504" t="s">
        <v>1548</v>
      </c>
      <c r="AP40" s="504" t="s">
        <v>1548</v>
      </c>
      <c r="AQ40" s="504" t="s">
        <v>1548</v>
      </c>
      <c r="AR40" s="504" t="s">
        <v>1548</v>
      </c>
      <c r="AS40" s="10"/>
      <c r="AT40" s="10"/>
      <c r="AU40" s="109">
        <f t="shared" si="18"/>
        <v>1689804</v>
      </c>
      <c r="AV40" s="71" t="s">
        <v>1551</v>
      </c>
      <c r="AW40" s="71" t="s">
        <v>1551</v>
      </c>
      <c r="AX40" s="71" t="s">
        <v>1552</v>
      </c>
    </row>
    <row r="41" spans="1:50" ht="18" hidden="1" customHeight="1">
      <c r="A41" s="2849"/>
      <c r="B41" s="476" t="s">
        <v>1553</v>
      </c>
      <c r="C41" s="67" t="s">
        <v>1554</v>
      </c>
      <c r="D41" s="67" t="s">
        <v>1555</v>
      </c>
      <c r="E41" s="350" t="s">
        <v>742</v>
      </c>
      <c r="F41" s="350"/>
      <c r="G41" s="325">
        <v>45590</v>
      </c>
      <c r="H41" s="350"/>
      <c r="I41" s="350"/>
      <c r="J41" s="1068"/>
      <c r="K41" s="471"/>
      <c r="L41" s="471"/>
      <c r="M41" s="471">
        <v>999.53</v>
      </c>
      <c r="N41" s="325"/>
      <c r="O41" s="325" t="s">
        <v>1548</v>
      </c>
      <c r="P41" s="325" t="s">
        <v>1548</v>
      </c>
      <c r="Q41" s="325" t="s">
        <v>1548</v>
      </c>
      <c r="R41" s="325" t="s">
        <v>1548</v>
      </c>
      <c r="S41" s="71">
        <v>1</v>
      </c>
      <c r="T41" s="99" t="s">
        <v>793</v>
      </c>
      <c r="U41" s="99" t="s">
        <v>793</v>
      </c>
      <c r="V41" s="71" t="s">
        <v>503</v>
      </c>
      <c r="W41" s="92" t="s">
        <v>793</v>
      </c>
      <c r="X41" s="92" t="s">
        <v>793</v>
      </c>
      <c r="Y41" s="93" t="s">
        <v>793</v>
      </c>
      <c r="Z41" s="93" t="s">
        <v>793</v>
      </c>
      <c r="AA41" s="93" t="s">
        <v>793</v>
      </c>
      <c r="AB41" s="93" t="s">
        <v>793</v>
      </c>
      <c r="AC41" s="144">
        <f t="shared" si="19"/>
        <v>1799154000</v>
      </c>
      <c r="AD41" s="71" t="s">
        <v>1549</v>
      </c>
      <c r="AE41" s="97"/>
      <c r="AF41" s="100" t="s">
        <v>1399</v>
      </c>
      <c r="AG41" s="100" t="s">
        <v>1399</v>
      </c>
      <c r="AH41" s="100" t="s">
        <v>1399</v>
      </c>
      <c r="AI41" s="71" t="s">
        <v>1399</v>
      </c>
      <c r="AJ41" s="71"/>
      <c r="AK41" s="71" t="s">
        <v>1550</v>
      </c>
      <c r="AL41" s="71" t="s">
        <v>1401</v>
      </c>
      <c r="AM41" s="71" t="s">
        <v>1402</v>
      </c>
      <c r="AN41" s="504" t="s">
        <v>1548</v>
      </c>
      <c r="AO41" s="504" t="s">
        <v>1548</v>
      </c>
      <c r="AP41" s="504" t="s">
        <v>1548</v>
      </c>
      <c r="AQ41" s="504" t="s">
        <v>1548</v>
      </c>
      <c r="AR41" s="504" t="s">
        <v>1548</v>
      </c>
      <c r="AS41" s="10"/>
      <c r="AT41" s="10"/>
      <c r="AU41" s="109">
        <f t="shared" si="18"/>
        <v>1689804</v>
      </c>
      <c r="AV41" s="71" t="s">
        <v>1551</v>
      </c>
      <c r="AW41" s="71" t="s">
        <v>1551</v>
      </c>
      <c r="AX41" s="71" t="s">
        <v>1552</v>
      </c>
    </row>
    <row r="42" spans="1:50" ht="18" hidden="1" customHeight="1">
      <c r="A42" s="2849"/>
      <c r="B42" s="476" t="s">
        <v>1556</v>
      </c>
      <c r="C42" s="67" t="s">
        <v>1557</v>
      </c>
      <c r="D42" s="67" t="s">
        <v>1558</v>
      </c>
      <c r="E42" s="350" t="s">
        <v>742</v>
      </c>
      <c r="F42" s="350"/>
      <c r="G42" s="325">
        <v>45590</v>
      </c>
      <c r="H42" s="350"/>
      <c r="I42" s="350"/>
      <c r="J42" s="1068"/>
      <c r="K42" s="471"/>
      <c r="L42" s="471"/>
      <c r="M42" s="471">
        <v>449.63</v>
      </c>
      <c r="N42" s="325"/>
      <c r="O42" s="325" t="s">
        <v>1548</v>
      </c>
      <c r="P42" s="325" t="s">
        <v>1548</v>
      </c>
      <c r="Q42" s="325" t="s">
        <v>1548</v>
      </c>
      <c r="R42" s="325" t="s">
        <v>1548</v>
      </c>
      <c r="S42" s="71">
        <v>1</v>
      </c>
      <c r="T42" s="99" t="s">
        <v>793</v>
      </c>
      <c r="U42" s="99" t="s">
        <v>793</v>
      </c>
      <c r="V42" s="71" t="s">
        <v>503</v>
      </c>
      <c r="W42" s="92" t="s">
        <v>793</v>
      </c>
      <c r="X42" s="92" t="s">
        <v>793</v>
      </c>
      <c r="Y42" s="93" t="s">
        <v>793</v>
      </c>
      <c r="Z42" s="93" t="s">
        <v>793</v>
      </c>
      <c r="AA42" s="93" t="s">
        <v>793</v>
      </c>
      <c r="AB42" s="93" t="s">
        <v>793</v>
      </c>
      <c r="AC42" s="144">
        <f t="shared" si="19"/>
        <v>809334000</v>
      </c>
      <c r="AD42" s="71" t="s">
        <v>1549</v>
      </c>
      <c r="AE42" s="97"/>
      <c r="AF42" s="100" t="s">
        <v>1399</v>
      </c>
      <c r="AG42" s="100" t="s">
        <v>1399</v>
      </c>
      <c r="AH42" s="100" t="s">
        <v>1399</v>
      </c>
      <c r="AI42" s="71" t="s">
        <v>1399</v>
      </c>
      <c r="AJ42" s="71"/>
      <c r="AK42" s="71" t="s">
        <v>1550</v>
      </c>
      <c r="AL42" s="71" t="s">
        <v>1401</v>
      </c>
      <c r="AM42" s="71" t="s">
        <v>1402</v>
      </c>
      <c r="AN42" s="504" t="s">
        <v>1548</v>
      </c>
      <c r="AO42" s="504" t="s">
        <v>1548</v>
      </c>
      <c r="AP42" s="504" t="s">
        <v>1548</v>
      </c>
      <c r="AQ42" s="504" t="s">
        <v>1548</v>
      </c>
      <c r="AR42" s="504" t="s">
        <v>1548</v>
      </c>
      <c r="AS42" s="10"/>
      <c r="AT42" s="10"/>
      <c r="AU42" s="109">
        <f t="shared" si="18"/>
        <v>1689804</v>
      </c>
      <c r="AV42" s="71" t="s">
        <v>1551</v>
      </c>
      <c r="AW42" s="71" t="s">
        <v>1551</v>
      </c>
      <c r="AX42" s="71" t="s">
        <v>1552</v>
      </c>
    </row>
    <row r="43" spans="1:50" ht="18" hidden="1" customHeight="1">
      <c r="A43" s="2849"/>
      <c r="B43" s="476" t="s">
        <v>1559</v>
      </c>
      <c r="C43" s="67" t="s">
        <v>1560</v>
      </c>
      <c r="D43" s="67" t="s">
        <v>1561</v>
      </c>
      <c r="E43" s="350" t="s">
        <v>742</v>
      </c>
      <c r="F43" s="350"/>
      <c r="G43" s="325">
        <v>45590</v>
      </c>
      <c r="H43" s="350"/>
      <c r="I43" s="350"/>
      <c r="J43" s="1068"/>
      <c r="K43" s="471"/>
      <c r="L43" s="471"/>
      <c r="M43" s="471">
        <v>670.35</v>
      </c>
      <c r="N43" s="325"/>
      <c r="O43" s="325" t="s">
        <v>1548</v>
      </c>
      <c r="P43" s="325" t="s">
        <v>1548</v>
      </c>
      <c r="Q43" s="325" t="s">
        <v>1548</v>
      </c>
      <c r="R43" s="325" t="s">
        <v>1548</v>
      </c>
      <c r="S43" s="71">
        <v>1</v>
      </c>
      <c r="T43" s="99" t="s">
        <v>793</v>
      </c>
      <c r="U43" s="99" t="s">
        <v>793</v>
      </c>
      <c r="V43" s="96" t="s">
        <v>567</v>
      </c>
      <c r="W43" s="92" t="s">
        <v>793</v>
      </c>
      <c r="X43" s="92" t="s">
        <v>793</v>
      </c>
      <c r="Y43" s="93" t="s">
        <v>793</v>
      </c>
      <c r="Z43" s="93" t="s">
        <v>793</v>
      </c>
      <c r="AA43" s="93" t="s">
        <v>793</v>
      </c>
      <c r="AB43" s="93" t="s">
        <v>793</v>
      </c>
      <c r="AC43" s="144">
        <f t="shared" si="19"/>
        <v>1206630000</v>
      </c>
      <c r="AD43" s="71" t="s">
        <v>1549</v>
      </c>
      <c r="AE43" s="97"/>
      <c r="AF43" s="100" t="s">
        <v>1399</v>
      </c>
      <c r="AG43" s="100" t="s">
        <v>1399</v>
      </c>
      <c r="AH43" s="100" t="s">
        <v>1399</v>
      </c>
      <c r="AI43" s="71" t="s">
        <v>1399</v>
      </c>
      <c r="AJ43" s="71"/>
      <c r="AK43" s="71" t="s">
        <v>1550</v>
      </c>
      <c r="AL43" s="71" t="s">
        <v>1401</v>
      </c>
      <c r="AM43" s="71" t="s">
        <v>1402</v>
      </c>
      <c r="AN43" s="504" t="s">
        <v>1548</v>
      </c>
      <c r="AO43" s="504" t="s">
        <v>1548</v>
      </c>
      <c r="AP43" s="504" t="s">
        <v>1548</v>
      </c>
      <c r="AQ43" s="504" t="s">
        <v>1548</v>
      </c>
      <c r="AR43" s="504" t="s">
        <v>1548</v>
      </c>
      <c r="AS43" s="10"/>
      <c r="AT43" s="10"/>
      <c r="AU43" s="109">
        <f t="shared" si="18"/>
        <v>1689804</v>
      </c>
      <c r="AV43" s="71" t="s">
        <v>1551</v>
      </c>
      <c r="AW43" s="71" t="s">
        <v>1551</v>
      </c>
      <c r="AX43" s="71" t="s">
        <v>1552</v>
      </c>
    </row>
    <row r="44" spans="1:50" ht="18" hidden="1" customHeight="1">
      <c r="A44" s="2849"/>
      <c r="B44" s="476" t="s">
        <v>1562</v>
      </c>
      <c r="C44" s="67" t="s">
        <v>1563</v>
      </c>
      <c r="D44" s="67" t="s">
        <v>1564</v>
      </c>
      <c r="E44" s="350" t="s">
        <v>742</v>
      </c>
      <c r="F44" s="350"/>
      <c r="G44" s="325">
        <v>45590</v>
      </c>
      <c r="H44" s="350"/>
      <c r="I44" s="350"/>
      <c r="J44" s="1068"/>
      <c r="K44" s="471"/>
      <c r="L44" s="471"/>
      <c r="M44" s="471">
        <v>209.28</v>
      </c>
      <c r="N44" s="325"/>
      <c r="O44" s="325" t="s">
        <v>1548</v>
      </c>
      <c r="P44" s="325" t="s">
        <v>1548</v>
      </c>
      <c r="Q44" s="325" t="s">
        <v>1548</v>
      </c>
      <c r="R44" s="325" t="s">
        <v>1548</v>
      </c>
      <c r="S44" s="71">
        <v>1</v>
      </c>
      <c r="T44" s="99" t="s">
        <v>793</v>
      </c>
      <c r="U44" s="99" t="s">
        <v>793</v>
      </c>
      <c r="V44" s="71" t="s">
        <v>503</v>
      </c>
      <c r="W44" s="92" t="s">
        <v>793</v>
      </c>
      <c r="X44" s="92" t="s">
        <v>793</v>
      </c>
      <c r="Y44" s="93" t="s">
        <v>793</v>
      </c>
      <c r="Z44" s="93" t="s">
        <v>793</v>
      </c>
      <c r="AA44" s="93" t="s">
        <v>793</v>
      </c>
      <c r="AB44" s="93" t="s">
        <v>793</v>
      </c>
      <c r="AC44" s="144">
        <f t="shared" si="19"/>
        <v>376704000</v>
      </c>
      <c r="AD44" s="71" t="s">
        <v>1549</v>
      </c>
      <c r="AE44" s="97"/>
      <c r="AF44" s="100" t="s">
        <v>1399</v>
      </c>
      <c r="AG44" s="100" t="s">
        <v>1399</v>
      </c>
      <c r="AH44" s="100" t="s">
        <v>1399</v>
      </c>
      <c r="AI44" s="71" t="s">
        <v>1399</v>
      </c>
      <c r="AJ44" s="151"/>
      <c r="AK44" s="71" t="s">
        <v>1550</v>
      </c>
      <c r="AL44" s="71" t="s">
        <v>1401</v>
      </c>
      <c r="AM44" s="71" t="s">
        <v>1402</v>
      </c>
      <c r="AN44" s="504" t="s">
        <v>1548</v>
      </c>
      <c r="AO44" s="504" t="s">
        <v>1548</v>
      </c>
      <c r="AP44" s="504" t="s">
        <v>1548</v>
      </c>
      <c r="AQ44" s="504" t="s">
        <v>1548</v>
      </c>
      <c r="AR44" s="504" t="s">
        <v>1548</v>
      </c>
      <c r="AS44" s="10"/>
      <c r="AT44" s="10"/>
      <c r="AU44" s="109">
        <f t="shared" si="18"/>
        <v>1689804</v>
      </c>
      <c r="AV44" s="71" t="s">
        <v>1551</v>
      </c>
      <c r="AW44" s="71" t="s">
        <v>1551</v>
      </c>
      <c r="AX44" s="71" t="s">
        <v>1552</v>
      </c>
    </row>
    <row r="45" spans="1:50" ht="18" hidden="1" customHeight="1">
      <c r="A45" s="2849"/>
      <c r="B45" s="476" t="s">
        <v>1565</v>
      </c>
      <c r="C45" s="67" t="s">
        <v>1566</v>
      </c>
      <c r="D45" s="67" t="s">
        <v>1567</v>
      </c>
      <c r="E45" s="350" t="s">
        <v>742</v>
      </c>
      <c r="F45" s="350"/>
      <c r="G45" s="325">
        <v>45590</v>
      </c>
      <c r="H45" s="350"/>
      <c r="I45" s="350"/>
      <c r="J45" s="1068"/>
      <c r="K45" s="471"/>
      <c r="L45" s="471"/>
      <c r="M45" s="471">
        <v>195.11</v>
      </c>
      <c r="N45" s="325"/>
      <c r="O45" s="325" t="s">
        <v>1548</v>
      </c>
      <c r="P45" s="325" t="s">
        <v>1548</v>
      </c>
      <c r="Q45" s="325" t="s">
        <v>1548</v>
      </c>
      <c r="R45" s="325" t="s">
        <v>1548</v>
      </c>
      <c r="S45" s="71">
        <v>1</v>
      </c>
      <c r="T45" s="99" t="s">
        <v>793</v>
      </c>
      <c r="U45" s="99" t="s">
        <v>793</v>
      </c>
      <c r="V45" s="71" t="s">
        <v>556</v>
      </c>
      <c r="W45" s="92" t="s">
        <v>793</v>
      </c>
      <c r="X45" s="92" t="s">
        <v>793</v>
      </c>
      <c r="Y45" s="93" t="s">
        <v>793</v>
      </c>
      <c r="Z45" s="93" t="s">
        <v>793</v>
      </c>
      <c r="AA45" s="93" t="s">
        <v>793</v>
      </c>
      <c r="AB45" s="93" t="s">
        <v>793</v>
      </c>
      <c r="AC45" s="144">
        <f t="shared" si="19"/>
        <v>351198000</v>
      </c>
      <c r="AD45" s="71" t="s">
        <v>1549</v>
      </c>
      <c r="AE45" s="97"/>
      <c r="AF45" s="100" t="s">
        <v>1399</v>
      </c>
      <c r="AG45" s="100" t="s">
        <v>1399</v>
      </c>
      <c r="AH45" s="100" t="s">
        <v>1399</v>
      </c>
      <c r="AI45" s="71" t="s">
        <v>1399</v>
      </c>
      <c r="AJ45" s="500"/>
      <c r="AK45" s="71" t="s">
        <v>1550</v>
      </c>
      <c r="AL45" s="71" t="s">
        <v>1401</v>
      </c>
      <c r="AM45" s="71" t="s">
        <v>1402</v>
      </c>
      <c r="AN45" s="504" t="s">
        <v>1548</v>
      </c>
      <c r="AO45" s="504" t="s">
        <v>1548</v>
      </c>
      <c r="AP45" s="504" t="s">
        <v>1548</v>
      </c>
      <c r="AQ45" s="504" t="s">
        <v>1548</v>
      </c>
      <c r="AR45" s="504" t="s">
        <v>1548</v>
      </c>
      <c r="AS45" s="10"/>
      <c r="AT45" s="10"/>
      <c r="AU45" s="109">
        <f t="shared" si="18"/>
        <v>1689804</v>
      </c>
      <c r="AV45" s="71" t="s">
        <v>1551</v>
      </c>
      <c r="AW45" s="71" t="s">
        <v>1551</v>
      </c>
      <c r="AX45" s="71" t="s">
        <v>1552</v>
      </c>
    </row>
    <row r="46" spans="1:50" ht="18" hidden="1" customHeight="1">
      <c r="A46" s="2849"/>
      <c r="B46" s="476" t="s">
        <v>1568</v>
      </c>
      <c r="C46" s="67" t="s">
        <v>1569</v>
      </c>
      <c r="D46" s="67" t="s">
        <v>1570</v>
      </c>
      <c r="E46" s="350" t="s">
        <v>742</v>
      </c>
      <c r="F46" s="350"/>
      <c r="G46" s="325">
        <v>45590</v>
      </c>
      <c r="H46" s="350"/>
      <c r="I46" s="350"/>
      <c r="J46" s="1068"/>
      <c r="K46" s="471"/>
      <c r="L46" s="471"/>
      <c r="M46" s="471">
        <v>130.80000000000001</v>
      </c>
      <c r="N46" s="325"/>
      <c r="O46" s="325" t="s">
        <v>1548</v>
      </c>
      <c r="P46" s="325" t="s">
        <v>1548</v>
      </c>
      <c r="Q46" s="325" t="s">
        <v>1548</v>
      </c>
      <c r="R46" s="325" t="s">
        <v>1548</v>
      </c>
      <c r="S46" s="71">
        <v>1</v>
      </c>
      <c r="T46" s="99" t="s">
        <v>793</v>
      </c>
      <c r="U46" s="99" t="s">
        <v>793</v>
      </c>
      <c r="V46" s="71" t="s">
        <v>531</v>
      </c>
      <c r="W46" s="92" t="s">
        <v>793</v>
      </c>
      <c r="X46" s="92" t="s">
        <v>793</v>
      </c>
      <c r="Y46" s="93" t="s">
        <v>793</v>
      </c>
      <c r="Z46" s="93" t="s">
        <v>793</v>
      </c>
      <c r="AA46" s="93" t="s">
        <v>793</v>
      </c>
      <c r="AB46" s="93" t="s">
        <v>793</v>
      </c>
      <c r="AC46" s="144">
        <f>1800000000*M46/1000</f>
        <v>235440000.00000003</v>
      </c>
      <c r="AD46" s="71" t="s">
        <v>1549</v>
      </c>
      <c r="AE46" s="97"/>
      <c r="AF46" s="100" t="s">
        <v>1399</v>
      </c>
      <c r="AG46" s="100" t="s">
        <v>1399</v>
      </c>
      <c r="AH46" s="100" t="s">
        <v>1399</v>
      </c>
      <c r="AI46" s="71" t="s">
        <v>1399</v>
      </c>
      <c r="AJ46" s="71"/>
      <c r="AK46" s="71" t="s">
        <v>1550</v>
      </c>
      <c r="AL46" s="71" t="s">
        <v>1401</v>
      </c>
      <c r="AM46" s="71" t="s">
        <v>1402</v>
      </c>
      <c r="AN46" s="504" t="s">
        <v>1548</v>
      </c>
      <c r="AO46" s="504" t="s">
        <v>1548</v>
      </c>
      <c r="AP46" s="504" t="s">
        <v>1548</v>
      </c>
      <c r="AQ46" s="504" t="s">
        <v>1548</v>
      </c>
      <c r="AR46" s="504" t="s">
        <v>1548</v>
      </c>
      <c r="AS46" s="10"/>
      <c r="AT46" s="10"/>
      <c r="AU46" s="109">
        <f t="shared" si="18"/>
        <v>1689804</v>
      </c>
      <c r="AV46" s="71" t="s">
        <v>1551</v>
      </c>
      <c r="AW46" s="71" t="s">
        <v>1551</v>
      </c>
      <c r="AX46" s="71" t="s">
        <v>1552</v>
      </c>
    </row>
    <row r="47" spans="1:50" ht="18" hidden="1" customHeight="1">
      <c r="A47" s="2849"/>
      <c r="B47" s="476" t="s">
        <v>1571</v>
      </c>
      <c r="C47" s="67" t="s">
        <v>1572</v>
      </c>
      <c r="D47" s="67" t="s">
        <v>1573</v>
      </c>
      <c r="E47" s="350" t="s">
        <v>742</v>
      </c>
      <c r="F47" s="350"/>
      <c r="G47" s="325">
        <v>45590</v>
      </c>
      <c r="H47" s="350"/>
      <c r="I47" s="350"/>
      <c r="J47" s="1068"/>
      <c r="K47" s="471"/>
      <c r="L47" s="471"/>
      <c r="M47" s="471">
        <v>289.94</v>
      </c>
      <c r="N47" s="325"/>
      <c r="O47" s="325" t="s">
        <v>1548</v>
      </c>
      <c r="P47" s="325" t="s">
        <v>1548</v>
      </c>
      <c r="Q47" s="325" t="s">
        <v>1548</v>
      </c>
      <c r="R47" s="325" t="s">
        <v>1548</v>
      </c>
      <c r="S47" s="71">
        <v>1</v>
      </c>
      <c r="T47" s="99" t="s">
        <v>793</v>
      </c>
      <c r="U47" s="99" t="s">
        <v>793</v>
      </c>
      <c r="V47" s="71" t="s">
        <v>556</v>
      </c>
      <c r="W47" s="92" t="s">
        <v>793</v>
      </c>
      <c r="X47" s="92" t="s">
        <v>793</v>
      </c>
      <c r="Y47" s="93" t="s">
        <v>793</v>
      </c>
      <c r="Z47" s="93" t="s">
        <v>793</v>
      </c>
      <c r="AA47" s="93" t="s">
        <v>793</v>
      </c>
      <c r="AB47" s="93" t="s">
        <v>793</v>
      </c>
      <c r="AC47" s="144">
        <f>1800000000*M47/1000</f>
        <v>521892000</v>
      </c>
      <c r="AD47" s="71" t="s">
        <v>1549</v>
      </c>
      <c r="AE47" s="97"/>
      <c r="AF47" s="100" t="s">
        <v>1399</v>
      </c>
      <c r="AG47" s="100" t="s">
        <v>1399</v>
      </c>
      <c r="AH47" s="100" t="s">
        <v>1399</v>
      </c>
      <c r="AI47" s="71" t="s">
        <v>1399</v>
      </c>
      <c r="AJ47" s="71"/>
      <c r="AK47" s="71" t="s">
        <v>1550</v>
      </c>
      <c r="AL47" s="71" t="s">
        <v>1401</v>
      </c>
      <c r="AM47" s="71" t="s">
        <v>1402</v>
      </c>
      <c r="AN47" s="504" t="s">
        <v>1548</v>
      </c>
      <c r="AO47" s="504" t="s">
        <v>1548</v>
      </c>
      <c r="AP47" s="504" t="s">
        <v>1548</v>
      </c>
      <c r="AQ47" s="504" t="s">
        <v>1548</v>
      </c>
      <c r="AR47" s="504" t="s">
        <v>1548</v>
      </c>
      <c r="AS47" s="10"/>
      <c r="AT47" s="10"/>
      <c r="AU47" s="109">
        <f t="shared" si="18"/>
        <v>1689804</v>
      </c>
      <c r="AV47" s="71" t="s">
        <v>1551</v>
      </c>
      <c r="AW47" s="71" t="s">
        <v>1551</v>
      </c>
      <c r="AX47" s="71" t="s">
        <v>1552</v>
      </c>
    </row>
    <row r="48" spans="1:50" s="161" customFormat="1" ht="18" hidden="1" customHeight="1">
      <c r="A48" s="2850"/>
      <c r="B48" s="477" t="s">
        <v>1574</v>
      </c>
      <c r="C48" s="150" t="s">
        <v>1575</v>
      </c>
      <c r="D48" s="150" t="s">
        <v>1576</v>
      </c>
      <c r="E48" s="345" t="s">
        <v>742</v>
      </c>
      <c r="F48" s="345"/>
      <c r="G48" s="328">
        <v>45590</v>
      </c>
      <c r="H48" s="345"/>
      <c r="I48" s="345"/>
      <c r="J48" s="1069"/>
      <c r="K48" s="472"/>
      <c r="L48" s="472"/>
      <c r="M48" s="472">
        <v>165.68</v>
      </c>
      <c r="N48" s="328"/>
      <c r="O48" s="328" t="s">
        <v>1548</v>
      </c>
      <c r="P48" s="328" t="s">
        <v>1548</v>
      </c>
      <c r="Q48" s="328" t="s">
        <v>1548</v>
      </c>
      <c r="R48" s="328" t="s">
        <v>1548</v>
      </c>
      <c r="S48" s="151">
        <v>1</v>
      </c>
      <c r="T48" s="153" t="s">
        <v>793</v>
      </c>
      <c r="U48" s="153" t="s">
        <v>793</v>
      </c>
      <c r="V48" s="157" t="s">
        <v>541</v>
      </c>
      <c r="W48" s="152" t="s">
        <v>793</v>
      </c>
      <c r="X48" s="152" t="s">
        <v>793</v>
      </c>
      <c r="Y48" s="154" t="s">
        <v>793</v>
      </c>
      <c r="Z48" s="154" t="s">
        <v>793</v>
      </c>
      <c r="AA48" s="154" t="s">
        <v>793</v>
      </c>
      <c r="AB48" s="154" t="s">
        <v>793</v>
      </c>
      <c r="AC48" s="164">
        <f>1800000000*M48/1000</f>
        <v>298224000</v>
      </c>
      <c r="AD48" s="151" t="s">
        <v>1549</v>
      </c>
      <c r="AE48" s="165"/>
      <c r="AF48" s="163" t="s">
        <v>1399</v>
      </c>
      <c r="AG48" s="163" t="s">
        <v>1399</v>
      </c>
      <c r="AH48" s="163" t="s">
        <v>1399</v>
      </c>
      <c r="AI48" s="151" t="s">
        <v>1399</v>
      </c>
      <c r="AJ48" s="71"/>
      <c r="AK48" s="151" t="s">
        <v>1550</v>
      </c>
      <c r="AL48" s="151" t="s">
        <v>1401</v>
      </c>
      <c r="AM48" s="151" t="s">
        <v>1402</v>
      </c>
      <c r="AN48" s="506" t="s">
        <v>1548</v>
      </c>
      <c r="AO48" s="506" t="s">
        <v>1548</v>
      </c>
      <c r="AP48" s="506" t="s">
        <v>1548</v>
      </c>
      <c r="AQ48" s="506" t="s">
        <v>1548</v>
      </c>
      <c r="AR48" s="506" t="s">
        <v>1548</v>
      </c>
      <c r="AS48" s="507"/>
      <c r="AT48" s="507"/>
      <c r="AU48" s="109">
        <f t="shared" si="18"/>
        <v>1689804</v>
      </c>
      <c r="AV48" s="151" t="s">
        <v>1551</v>
      </c>
      <c r="AW48" s="151" t="s">
        <v>1551</v>
      </c>
      <c r="AX48" s="151" t="s">
        <v>1552</v>
      </c>
    </row>
    <row r="49" spans="1:50" ht="18" hidden="1" customHeight="1">
      <c r="A49" s="2848" t="str">
        <f>"Bonghwa Drne - "
&amp;SUM(M49:M56)</f>
        <v>Bonghwa Drne - 12869.7</v>
      </c>
      <c r="B49" s="476" t="s">
        <v>1577</v>
      </c>
      <c r="C49" s="67" t="s">
        <v>1578</v>
      </c>
      <c r="D49" s="67" t="s">
        <v>1579</v>
      </c>
      <c r="E49" s="350" t="s">
        <v>1580</v>
      </c>
      <c r="F49" s="350"/>
      <c r="G49" s="325">
        <v>45607</v>
      </c>
      <c r="H49" s="350"/>
      <c r="I49" s="350"/>
      <c r="J49" s="1068"/>
      <c r="K49" s="326"/>
      <c r="L49" s="326"/>
      <c r="M49" s="326">
        <v>1215</v>
      </c>
      <c r="N49" s="325"/>
      <c r="O49" s="325" t="s">
        <v>742</v>
      </c>
      <c r="P49" s="325" t="s">
        <v>1395</v>
      </c>
      <c r="Q49" s="325" t="s">
        <v>742</v>
      </c>
      <c r="R49" s="325" t="s">
        <v>742</v>
      </c>
      <c r="S49" s="71">
        <v>1</v>
      </c>
      <c r="T49" s="99">
        <f>20000000*M49</f>
        <v>24300000000</v>
      </c>
      <c r="U49" s="278"/>
      <c r="V49" s="71" t="s">
        <v>531</v>
      </c>
      <c r="W49" s="92"/>
      <c r="X49" s="92"/>
      <c r="Y49" s="166"/>
      <c r="Z49" s="166"/>
      <c r="AA49" s="166"/>
      <c r="AB49" s="166"/>
      <c r="AC49" s="144"/>
      <c r="AD49" s="71"/>
      <c r="AE49" s="167"/>
      <c r="AF49" s="100" t="s">
        <v>1399</v>
      </c>
      <c r="AG49" s="100"/>
      <c r="AH49" s="100"/>
      <c r="AI49" s="71"/>
      <c r="AJ49" s="71"/>
      <c r="AK49" s="71"/>
      <c r="AL49" s="71"/>
      <c r="AM49" s="71"/>
      <c r="AN49" s="504"/>
      <c r="AO49" s="504"/>
      <c r="AP49" s="504"/>
      <c r="AQ49" s="504"/>
      <c r="AR49" s="504"/>
      <c r="AS49" s="10"/>
      <c r="AT49" s="10"/>
      <c r="AU49" s="109">
        <f t="shared" si="18"/>
        <v>1689804</v>
      </c>
      <c r="AV49" s="71" t="s">
        <v>1581</v>
      </c>
      <c r="AW49" s="71" t="s">
        <v>1581</v>
      </c>
      <c r="AX49" s="71" t="s">
        <v>1552</v>
      </c>
    </row>
    <row r="50" spans="1:50" ht="18" hidden="1" customHeight="1">
      <c r="A50" s="2849"/>
      <c r="B50" s="476" t="s">
        <v>1582</v>
      </c>
      <c r="C50" s="67" t="s">
        <v>1583</v>
      </c>
      <c r="D50" s="67" t="s">
        <v>1584</v>
      </c>
      <c r="E50" s="350" t="s">
        <v>1585</v>
      </c>
      <c r="F50" s="350"/>
      <c r="G50" s="325">
        <v>45607</v>
      </c>
      <c r="H50" s="350"/>
      <c r="I50" s="350"/>
      <c r="J50" s="1068"/>
      <c r="K50" s="326"/>
      <c r="L50" s="326"/>
      <c r="M50" s="326">
        <v>1998</v>
      </c>
      <c r="N50" s="325"/>
      <c r="O50" s="325" t="s">
        <v>742</v>
      </c>
      <c r="P50" s="325" t="s">
        <v>1395</v>
      </c>
      <c r="Q50" s="325" t="s">
        <v>742</v>
      </c>
      <c r="R50" s="325" t="s">
        <v>742</v>
      </c>
      <c r="S50" s="71">
        <v>1</v>
      </c>
      <c r="T50" s="99">
        <f t="shared" ref="T50:T55" si="20">20000000*M50</f>
        <v>39960000000</v>
      </c>
      <c r="U50" s="278"/>
      <c r="V50" s="71" t="s">
        <v>531</v>
      </c>
      <c r="W50" s="92"/>
      <c r="X50" s="92"/>
      <c r="Y50" s="166"/>
      <c r="Z50" s="166"/>
      <c r="AA50" s="166"/>
      <c r="AB50" s="166"/>
      <c r="AC50" s="144"/>
      <c r="AD50" s="71"/>
      <c r="AE50" s="167"/>
      <c r="AF50" s="100" t="s">
        <v>1399</v>
      </c>
      <c r="AG50" s="100"/>
      <c r="AH50" s="100"/>
      <c r="AI50" s="71"/>
      <c r="AJ50" s="71"/>
      <c r="AK50" s="71"/>
      <c r="AL50" s="71"/>
      <c r="AM50" s="71"/>
      <c r="AN50" s="504"/>
      <c r="AO50" s="504"/>
      <c r="AP50" s="504"/>
      <c r="AQ50" s="504"/>
      <c r="AR50" s="504"/>
      <c r="AS50" s="10"/>
      <c r="AT50" s="10"/>
      <c r="AU50" s="109">
        <f t="shared" si="18"/>
        <v>1689804</v>
      </c>
      <c r="AV50" s="71" t="s">
        <v>1586</v>
      </c>
      <c r="AW50" s="71" t="s">
        <v>1586</v>
      </c>
      <c r="AX50" s="71" t="s">
        <v>1552</v>
      </c>
    </row>
    <row r="51" spans="1:50" ht="18" hidden="1" customHeight="1">
      <c r="A51" s="2849"/>
      <c r="B51" s="476" t="s">
        <v>1587</v>
      </c>
      <c r="C51" s="67" t="s">
        <v>1588</v>
      </c>
      <c r="D51" s="67" t="s">
        <v>1589</v>
      </c>
      <c r="E51" s="350" t="s">
        <v>1590</v>
      </c>
      <c r="F51" s="350"/>
      <c r="G51" s="325">
        <v>45607</v>
      </c>
      <c r="H51" s="350"/>
      <c r="I51" s="350"/>
      <c r="J51" s="1068"/>
      <c r="K51" s="326"/>
      <c r="L51" s="326"/>
      <c r="M51" s="326">
        <v>2414</v>
      </c>
      <c r="N51" s="325"/>
      <c r="O51" s="325" t="s">
        <v>742</v>
      </c>
      <c r="P51" s="325" t="s">
        <v>1395</v>
      </c>
      <c r="Q51" s="325" t="s">
        <v>742</v>
      </c>
      <c r="R51" s="325" t="s">
        <v>742</v>
      </c>
      <c r="S51" s="71">
        <v>1</v>
      </c>
      <c r="T51" s="99">
        <f t="shared" si="20"/>
        <v>48280000000</v>
      </c>
      <c r="U51" s="278"/>
      <c r="V51" s="71" t="s">
        <v>531</v>
      </c>
      <c r="W51" s="92"/>
      <c r="X51" s="92"/>
      <c r="Y51" s="166"/>
      <c r="Z51" s="166"/>
      <c r="AA51" s="166"/>
      <c r="AB51" s="166"/>
      <c r="AC51" s="144"/>
      <c r="AD51" s="71"/>
      <c r="AE51" s="167"/>
      <c r="AF51" s="100" t="s">
        <v>1399</v>
      </c>
      <c r="AG51" s="100"/>
      <c r="AH51" s="100"/>
      <c r="AI51" s="71"/>
      <c r="AJ51" s="71"/>
      <c r="AK51" s="71"/>
      <c r="AL51" s="71"/>
      <c r="AM51" s="71"/>
      <c r="AN51" s="504"/>
      <c r="AO51" s="504"/>
      <c r="AP51" s="504"/>
      <c r="AQ51" s="504"/>
      <c r="AR51" s="504"/>
      <c r="AS51" s="10"/>
      <c r="AT51" s="10"/>
      <c r="AU51" s="109">
        <f t="shared" si="18"/>
        <v>1689804</v>
      </c>
      <c r="AV51" s="71" t="s">
        <v>1591</v>
      </c>
      <c r="AW51" s="71" t="s">
        <v>1591</v>
      </c>
      <c r="AX51" s="71" t="s">
        <v>1552</v>
      </c>
    </row>
    <row r="52" spans="1:50" ht="18" hidden="1" customHeight="1">
      <c r="A52" s="2849"/>
      <c r="B52" s="476" t="s">
        <v>1592</v>
      </c>
      <c r="C52" s="67" t="s">
        <v>1593</v>
      </c>
      <c r="D52" s="67" t="s">
        <v>1594</v>
      </c>
      <c r="E52" s="350" t="s">
        <v>1595</v>
      </c>
      <c r="F52" s="350"/>
      <c r="G52" s="325">
        <v>45607</v>
      </c>
      <c r="H52" s="350"/>
      <c r="I52" s="350"/>
      <c r="J52" s="1068"/>
      <c r="K52" s="475"/>
      <c r="L52" s="475"/>
      <c r="M52" s="475">
        <v>910.2</v>
      </c>
      <c r="N52" s="325"/>
      <c r="O52" s="325" t="s">
        <v>742</v>
      </c>
      <c r="P52" s="325" t="s">
        <v>1395</v>
      </c>
      <c r="Q52" s="325" t="s">
        <v>742</v>
      </c>
      <c r="R52" s="325" t="s">
        <v>742</v>
      </c>
      <c r="S52" s="71">
        <v>1</v>
      </c>
      <c r="T52" s="99">
        <f t="shared" si="20"/>
        <v>18204000000</v>
      </c>
      <c r="U52" s="278"/>
      <c r="V52" s="71" t="s">
        <v>531</v>
      </c>
      <c r="W52" s="92"/>
      <c r="X52" s="92"/>
      <c r="Y52" s="166"/>
      <c r="Z52" s="166"/>
      <c r="AA52" s="166"/>
      <c r="AB52" s="166"/>
      <c r="AC52" s="144"/>
      <c r="AD52" s="71"/>
      <c r="AE52" s="167"/>
      <c r="AF52" s="100" t="s">
        <v>1399</v>
      </c>
      <c r="AG52" s="100"/>
      <c r="AH52" s="100"/>
      <c r="AI52" s="71"/>
      <c r="AJ52" s="71"/>
      <c r="AK52" s="71"/>
      <c r="AL52" s="71"/>
      <c r="AM52" s="71"/>
      <c r="AN52" s="504"/>
      <c r="AO52" s="504"/>
      <c r="AP52" s="504"/>
      <c r="AQ52" s="504"/>
      <c r="AR52" s="504"/>
      <c r="AS52" s="10"/>
      <c r="AT52" s="10"/>
      <c r="AU52" s="109">
        <f t="shared" si="18"/>
        <v>1689804</v>
      </c>
      <c r="AV52" s="71" t="s">
        <v>1596</v>
      </c>
      <c r="AW52" s="71" t="s">
        <v>1596</v>
      </c>
      <c r="AX52" s="71" t="s">
        <v>1552</v>
      </c>
    </row>
    <row r="53" spans="1:50" ht="18" hidden="1" customHeight="1">
      <c r="A53" s="2849"/>
      <c r="B53" s="476" t="s">
        <v>1597</v>
      </c>
      <c r="C53" s="67" t="s">
        <v>1598</v>
      </c>
      <c r="D53" s="67" t="s">
        <v>1599</v>
      </c>
      <c r="E53" s="350" t="s">
        <v>1600</v>
      </c>
      <c r="F53" s="350"/>
      <c r="G53" s="325">
        <v>45607</v>
      </c>
      <c r="H53" s="350"/>
      <c r="I53" s="350"/>
      <c r="J53" s="1068"/>
      <c r="K53" s="348"/>
      <c r="L53" s="348"/>
      <c r="M53" s="348">
        <v>1659.45</v>
      </c>
      <c r="N53" s="325"/>
      <c r="O53" s="325" t="s">
        <v>742</v>
      </c>
      <c r="P53" s="325" t="s">
        <v>1395</v>
      </c>
      <c r="Q53" s="325" t="s">
        <v>742</v>
      </c>
      <c r="R53" s="325" t="s">
        <v>742</v>
      </c>
      <c r="S53" s="71">
        <v>1</v>
      </c>
      <c r="T53" s="99">
        <f t="shared" si="20"/>
        <v>33189000000</v>
      </c>
      <c r="U53" s="278"/>
      <c r="V53" s="71" t="s">
        <v>531</v>
      </c>
      <c r="W53" s="92"/>
      <c r="X53" s="92"/>
      <c r="Y53" s="166"/>
      <c r="Z53" s="166"/>
      <c r="AA53" s="166"/>
      <c r="AB53" s="166"/>
      <c r="AC53" s="144"/>
      <c r="AD53" s="71"/>
      <c r="AE53" s="167"/>
      <c r="AF53" s="100" t="s">
        <v>1399</v>
      </c>
      <c r="AG53" s="100"/>
      <c r="AH53" s="100"/>
      <c r="AI53" s="71"/>
      <c r="AJ53" s="71"/>
      <c r="AK53" s="71"/>
      <c r="AL53" s="71"/>
      <c r="AM53" s="71"/>
      <c r="AN53" s="504"/>
      <c r="AO53" s="504"/>
      <c r="AP53" s="504"/>
      <c r="AQ53" s="504"/>
      <c r="AR53" s="504"/>
      <c r="AS53" s="10"/>
      <c r="AT53" s="10"/>
      <c r="AU53" s="109">
        <f t="shared" si="18"/>
        <v>1689804</v>
      </c>
      <c r="AV53" s="71" t="s">
        <v>1601</v>
      </c>
      <c r="AW53" s="71" t="s">
        <v>1601</v>
      </c>
      <c r="AX53" s="71" t="s">
        <v>1552</v>
      </c>
    </row>
    <row r="54" spans="1:50" ht="18" hidden="1" customHeight="1">
      <c r="A54" s="2849"/>
      <c r="B54" s="476" t="s">
        <v>1602</v>
      </c>
      <c r="C54" s="67" t="s">
        <v>1603</v>
      </c>
      <c r="D54" s="67" t="s">
        <v>1604</v>
      </c>
      <c r="E54" s="350" t="s">
        <v>1605</v>
      </c>
      <c r="F54" s="350"/>
      <c r="G54" s="325">
        <v>45607</v>
      </c>
      <c r="H54" s="350"/>
      <c r="I54" s="350"/>
      <c r="J54" s="1068"/>
      <c r="K54" s="326"/>
      <c r="L54" s="326"/>
      <c r="M54" s="326">
        <v>921</v>
      </c>
      <c r="N54" s="325"/>
      <c r="O54" s="325" t="s">
        <v>742</v>
      </c>
      <c r="P54" s="325" t="s">
        <v>1395</v>
      </c>
      <c r="Q54" s="325" t="s">
        <v>742</v>
      </c>
      <c r="R54" s="325" t="s">
        <v>742</v>
      </c>
      <c r="S54" s="71">
        <v>1</v>
      </c>
      <c r="T54" s="99">
        <f>20000000*M54</f>
        <v>18420000000</v>
      </c>
      <c r="U54" s="278"/>
      <c r="V54" s="71" t="s">
        <v>531</v>
      </c>
      <c r="W54" s="92"/>
      <c r="X54" s="92"/>
      <c r="Y54" s="166"/>
      <c r="Z54" s="166"/>
      <c r="AA54" s="166"/>
      <c r="AB54" s="166"/>
      <c r="AC54" s="144"/>
      <c r="AD54" s="71"/>
      <c r="AE54" s="167"/>
      <c r="AF54" s="100" t="s">
        <v>1399</v>
      </c>
      <c r="AG54" s="100"/>
      <c r="AH54" s="100"/>
      <c r="AI54" s="71"/>
      <c r="AJ54" s="71"/>
      <c r="AK54" s="71"/>
      <c r="AL54" s="71"/>
      <c r="AM54" s="71"/>
      <c r="AN54" s="504"/>
      <c r="AO54" s="504"/>
      <c r="AP54" s="504"/>
      <c r="AQ54" s="504"/>
      <c r="AR54" s="504"/>
      <c r="AS54" s="10"/>
      <c r="AT54" s="10"/>
      <c r="AU54" s="109">
        <f t="shared" si="18"/>
        <v>1689804</v>
      </c>
      <c r="AV54" s="71" t="s">
        <v>1606</v>
      </c>
      <c r="AW54" s="71" t="s">
        <v>1606</v>
      </c>
      <c r="AX54" s="71" t="s">
        <v>1552</v>
      </c>
    </row>
    <row r="55" spans="1:50" ht="18" hidden="1" customHeight="1">
      <c r="A55" s="2849"/>
      <c r="B55" s="476" t="s">
        <v>1607</v>
      </c>
      <c r="C55" s="67" t="s">
        <v>1608</v>
      </c>
      <c r="D55" s="67" t="s">
        <v>1609</v>
      </c>
      <c r="E55" s="350" t="s">
        <v>1610</v>
      </c>
      <c r="F55" s="350"/>
      <c r="G55" s="325">
        <v>45607</v>
      </c>
      <c r="H55" s="350"/>
      <c r="I55" s="350"/>
      <c r="J55" s="1068"/>
      <c r="K55" s="326"/>
      <c r="L55" s="326"/>
      <c r="M55" s="326">
        <v>2137</v>
      </c>
      <c r="N55" s="325"/>
      <c r="O55" s="325" t="s">
        <v>742</v>
      </c>
      <c r="P55" s="325" t="s">
        <v>1395</v>
      </c>
      <c r="Q55" s="325" t="s">
        <v>742</v>
      </c>
      <c r="R55" s="325" t="s">
        <v>742</v>
      </c>
      <c r="S55" s="71">
        <v>1</v>
      </c>
      <c r="T55" s="99">
        <f t="shared" si="20"/>
        <v>42740000000</v>
      </c>
      <c r="U55" s="278"/>
      <c r="V55" s="71" t="s">
        <v>531</v>
      </c>
      <c r="W55" s="92"/>
      <c r="X55" s="92"/>
      <c r="Y55" s="166"/>
      <c r="Z55" s="166"/>
      <c r="AA55" s="166"/>
      <c r="AB55" s="166"/>
      <c r="AC55" s="144"/>
      <c r="AD55" s="71"/>
      <c r="AE55" s="167"/>
      <c r="AF55" s="100" t="s">
        <v>1399</v>
      </c>
      <c r="AG55" s="100"/>
      <c r="AH55" s="100"/>
      <c r="AI55" s="71"/>
      <c r="AJ55" s="71"/>
      <c r="AK55" s="71"/>
      <c r="AL55" s="71"/>
      <c r="AM55" s="71"/>
      <c r="AN55" s="504"/>
      <c r="AO55" s="504"/>
      <c r="AP55" s="504"/>
      <c r="AQ55" s="504"/>
      <c r="AR55" s="504"/>
      <c r="AS55" s="10"/>
      <c r="AT55" s="10"/>
      <c r="AU55" s="109">
        <f t="shared" si="18"/>
        <v>1689804</v>
      </c>
      <c r="AV55" s="71" t="s">
        <v>1611</v>
      </c>
      <c r="AW55" s="71" t="s">
        <v>1611</v>
      </c>
      <c r="AX55" s="71" t="s">
        <v>1552</v>
      </c>
    </row>
    <row r="56" spans="1:50" s="161" customFormat="1" ht="18" hidden="1" customHeight="1">
      <c r="A56" s="2850"/>
      <c r="B56" s="477" t="s">
        <v>1612</v>
      </c>
      <c r="C56" s="150" t="s">
        <v>1613</v>
      </c>
      <c r="D56" s="150" t="s">
        <v>1614</v>
      </c>
      <c r="E56" s="345" t="s">
        <v>1615</v>
      </c>
      <c r="F56" s="345"/>
      <c r="G56" s="328">
        <v>45607</v>
      </c>
      <c r="H56" s="345"/>
      <c r="I56" s="345"/>
      <c r="J56" s="1069"/>
      <c r="K56" s="353"/>
      <c r="L56" s="353"/>
      <c r="M56" s="353">
        <v>1615.05</v>
      </c>
      <c r="N56" s="328"/>
      <c r="O56" s="328" t="s">
        <v>742</v>
      </c>
      <c r="P56" s="328" t="s">
        <v>1395</v>
      </c>
      <c r="Q56" s="328" t="s">
        <v>742</v>
      </c>
      <c r="R56" s="328" t="s">
        <v>742</v>
      </c>
      <c r="S56" s="151">
        <v>1</v>
      </c>
      <c r="T56" s="153">
        <f>20000000*M56</f>
        <v>32301000000</v>
      </c>
      <c r="U56" s="153"/>
      <c r="V56" s="151" t="s">
        <v>531</v>
      </c>
      <c r="W56" s="152"/>
      <c r="X56" s="152"/>
      <c r="Y56" s="154"/>
      <c r="Z56" s="154"/>
      <c r="AA56" s="154"/>
      <c r="AB56" s="154"/>
      <c r="AC56" s="164"/>
      <c r="AD56" s="151"/>
      <c r="AE56" s="165"/>
      <c r="AF56" s="163" t="s">
        <v>1399</v>
      </c>
      <c r="AG56" s="163"/>
      <c r="AH56" s="163"/>
      <c r="AI56" s="151"/>
      <c r="AJ56" s="71"/>
      <c r="AK56" s="151"/>
      <c r="AL56" s="151"/>
      <c r="AM56" s="151"/>
      <c r="AN56" s="506"/>
      <c r="AO56" s="506"/>
      <c r="AP56" s="506"/>
      <c r="AQ56" s="506"/>
      <c r="AR56" s="506"/>
      <c r="AS56" s="507"/>
      <c r="AT56" s="507"/>
      <c r="AU56" s="109">
        <f t="shared" si="18"/>
        <v>1689804</v>
      </c>
      <c r="AV56" s="151" t="s">
        <v>1616</v>
      </c>
      <c r="AW56" s="151" t="s">
        <v>1616</v>
      </c>
      <c r="AX56" s="151" t="s">
        <v>1552</v>
      </c>
    </row>
    <row r="57" spans="1:50" ht="18" customHeight="1">
      <c r="A57" s="67"/>
      <c r="B57" s="746">
        <f>SUM(M3:M20)</f>
        <v>14817.240000000002</v>
      </c>
      <c r="M57" s="1558">
        <v>3.1</v>
      </c>
      <c r="R57" s="551"/>
      <c r="AF57" s="4"/>
      <c r="AG57" s="4"/>
      <c r="AH57" s="4"/>
      <c r="AJ57" s="1109"/>
      <c r="AN57" s="501"/>
      <c r="AO57" s="501"/>
      <c r="AP57" s="501"/>
      <c r="AQ57" s="501"/>
      <c r="AR57" s="501"/>
      <c r="AV57" s="463"/>
      <c r="AW57" s="463"/>
    </row>
    <row r="58" spans="1:50" ht="18" customHeight="1">
      <c r="A58" s="67"/>
      <c r="M58" s="36"/>
      <c r="AJ58" s="71"/>
      <c r="AN58" s="501"/>
      <c r="AO58" s="501"/>
      <c r="AP58" s="501"/>
      <c r="AQ58" s="501"/>
      <c r="AR58" s="501"/>
      <c r="AV58" s="130"/>
      <c r="AW58" s="130"/>
    </row>
    <row r="59" spans="1:50" ht="18" customHeight="1">
      <c r="A59" s="67"/>
      <c r="M59" s="36"/>
      <c r="N59" s="383"/>
      <c r="O59" s="1070"/>
      <c r="AJ59" s="71"/>
      <c r="AV59" s="129"/>
      <c r="AW59" s="129"/>
    </row>
    <row r="60" spans="1:50" ht="18" customHeight="1">
      <c r="M60" s="36"/>
      <c r="N60" s="383"/>
      <c r="AJ60" s="71"/>
      <c r="AV60" s="129"/>
      <c r="AW60" s="129"/>
    </row>
    <row r="61" spans="1:50" ht="18" customHeight="1">
      <c r="M61" s="1557"/>
      <c r="AJ61" s="71"/>
      <c r="AV61" s="130"/>
      <c r="AW61" s="130"/>
    </row>
    <row r="62" spans="1:50" ht="18" customHeight="1">
      <c r="AJ62" s="71"/>
      <c r="AV62" s="129"/>
      <c r="AW62" s="129"/>
    </row>
    <row r="63" spans="1:50" ht="18" customHeight="1">
      <c r="AJ63" s="71"/>
      <c r="AV63" s="130"/>
      <c r="AW63" s="130"/>
    </row>
    <row r="64" spans="1:50" ht="18" customHeight="1">
      <c r="AJ64" s="71"/>
      <c r="AV64" s="129"/>
      <c r="AW64" s="129"/>
    </row>
    <row r="65" spans="36:49" ht="18" customHeight="1">
      <c r="AJ65" s="71"/>
      <c r="AV65" s="129"/>
      <c r="AW65" s="129"/>
    </row>
    <row r="66" spans="36:49" ht="18" customHeight="1">
      <c r="AJ66" s="71"/>
      <c r="AV66" s="129"/>
      <c r="AW66" s="129"/>
    </row>
    <row r="67" spans="36:49" ht="18" customHeight="1">
      <c r="AJ67" s="500"/>
      <c r="AV67" s="129"/>
      <c r="AW67" s="129"/>
    </row>
    <row r="68" spans="36:49" ht="18" customHeight="1">
      <c r="AJ68" s="71"/>
      <c r="AV68" s="129"/>
      <c r="AW68" s="129"/>
    </row>
    <row r="69" spans="36:49" ht="18" customHeight="1">
      <c r="AJ69" s="71"/>
      <c r="AV69" s="129"/>
      <c r="AW69" s="129"/>
    </row>
    <row r="70" spans="36:49" ht="18" customHeight="1">
      <c r="AJ70" s="71"/>
      <c r="AV70" s="130"/>
      <c r="AW70" s="130"/>
    </row>
    <row r="71" spans="36:49" ht="18" customHeight="1">
      <c r="AJ71" s="71"/>
      <c r="AV71" s="129"/>
      <c r="AW71" s="129"/>
    </row>
    <row r="72" spans="36:49" ht="18" customHeight="1">
      <c r="AJ72" s="71"/>
      <c r="AV72" s="129"/>
      <c r="AW72" s="129"/>
    </row>
    <row r="73" spans="36:49" ht="18" customHeight="1">
      <c r="AJ73" s="71"/>
      <c r="AV73" s="129"/>
      <c r="AW73" s="129"/>
    </row>
    <row r="74" spans="36:49" ht="18" customHeight="1">
      <c r="AJ74" s="71"/>
      <c r="AV74" s="130"/>
      <c r="AW74" s="130"/>
    </row>
    <row r="75" spans="36:49" ht="18" customHeight="1">
      <c r="AJ75" s="71"/>
      <c r="AV75" s="129"/>
      <c r="AW75" s="129"/>
    </row>
    <row r="76" spans="36:49" ht="18" customHeight="1">
      <c r="AJ76" s="71"/>
      <c r="AV76" s="129"/>
      <c r="AW76" s="129"/>
    </row>
    <row r="77" spans="36:49" ht="18" customHeight="1">
      <c r="AJ77" s="71"/>
      <c r="AV77" s="129"/>
      <c r="AW77" s="129"/>
    </row>
    <row r="78" spans="36:49" ht="18" customHeight="1">
      <c r="AJ78" s="71"/>
      <c r="AV78" s="129"/>
      <c r="AW78" s="129"/>
    </row>
    <row r="79" spans="36:49" ht="18" customHeight="1">
      <c r="AJ79" s="71"/>
      <c r="AV79" s="129"/>
      <c r="AW79" s="129"/>
    </row>
    <row r="80" spans="36:49">
      <c r="AJ80" s="71"/>
      <c r="AV80" s="129"/>
      <c r="AW80" s="129"/>
    </row>
    <row r="81" spans="36:49">
      <c r="AJ81" s="71"/>
      <c r="AV81" s="130"/>
      <c r="AW81" s="130"/>
    </row>
    <row r="82" spans="36:49">
      <c r="AJ82" s="71"/>
      <c r="AV82" s="130"/>
      <c r="AW82" s="130"/>
    </row>
    <row r="83" spans="36:49">
      <c r="AJ83" s="71"/>
      <c r="AV83" s="130"/>
      <c r="AW83" s="130"/>
    </row>
    <row r="84" spans="36:49">
      <c r="AJ84" s="71"/>
      <c r="AV84" s="130"/>
      <c r="AW84" s="130"/>
    </row>
    <row r="85" spans="36:49">
      <c r="AJ85" s="71"/>
      <c r="AV85" s="130"/>
      <c r="AW85" s="130"/>
    </row>
    <row r="86" spans="36:49">
      <c r="AJ86" s="71"/>
      <c r="AV86" s="130"/>
      <c r="AW86" s="130"/>
    </row>
    <row r="87" spans="36:49">
      <c r="AJ87" s="71"/>
      <c r="AV87" s="130"/>
      <c r="AW87" s="130"/>
    </row>
    <row r="88" spans="36:49">
      <c r="AJ88" s="71"/>
      <c r="AV88" s="130"/>
      <c r="AW88" s="130"/>
    </row>
    <row r="89" spans="36:49">
      <c r="AJ89" s="71"/>
      <c r="AV89" s="130"/>
      <c r="AW89" s="130"/>
    </row>
    <row r="90" spans="36:49">
      <c r="AJ90" s="71"/>
      <c r="AV90" s="130"/>
      <c r="AW90" s="130"/>
    </row>
    <row r="91" spans="36:49">
      <c r="AJ91" s="71"/>
      <c r="AV91" s="130"/>
      <c r="AW91" s="130"/>
    </row>
    <row r="92" spans="36:49">
      <c r="AJ92" s="71"/>
      <c r="AV92" s="130"/>
      <c r="AW92" s="130"/>
    </row>
    <row r="93" spans="36:49">
      <c r="AJ93" s="71"/>
      <c r="AV93" s="131"/>
      <c r="AW93" s="131"/>
    </row>
    <row r="94" spans="36:49" ht="21.75">
      <c r="AJ94" s="71"/>
      <c r="AV94" s="132"/>
      <c r="AW94" s="132"/>
    </row>
    <row r="95" spans="36:49">
      <c r="AJ95" s="71"/>
    </row>
    <row r="96" spans="36:49">
      <c r="AJ96" s="71"/>
    </row>
    <row r="97" spans="36:36">
      <c r="AJ97" s="71"/>
    </row>
    <row r="98" spans="36:36">
      <c r="AJ98" s="71"/>
    </row>
    <row r="99" spans="36:36">
      <c r="AJ99" s="71"/>
    </row>
    <row r="100" spans="36:36" ht="16.5">
      <c r="AJ100" s="364"/>
    </row>
    <row r="101" spans="36:36" ht="16.5">
      <c r="AJ101" s="364"/>
    </row>
    <row r="102" spans="36:36" ht="16.5">
      <c r="AJ102" s="364"/>
    </row>
    <row r="103" spans="36:36" ht="16.5">
      <c r="AJ103" s="364"/>
    </row>
    <row r="104" spans="36:36" ht="16.5">
      <c r="AJ104" s="364"/>
    </row>
    <row r="105" spans="36:36" ht="16.5">
      <c r="AJ105" s="364"/>
    </row>
    <row r="106" spans="36:36" ht="16.5">
      <c r="AJ106" s="364"/>
    </row>
    <row r="107" spans="36:36" ht="16.5">
      <c r="AJ107" s="364"/>
    </row>
    <row r="108" spans="36:36" ht="16.5">
      <c r="AJ108" s="364"/>
    </row>
    <row r="109" spans="36:36" ht="16.5">
      <c r="AJ109" s="364"/>
    </row>
    <row r="110" spans="36:36" ht="16.5">
      <c r="AJ110" s="364"/>
    </row>
    <row r="111" spans="36:36" ht="16.5">
      <c r="AJ111" s="364"/>
    </row>
    <row r="112" spans="36:36" ht="16.5">
      <c r="AJ112" s="364"/>
    </row>
    <row r="113" spans="36:36" ht="16.5">
      <c r="AJ113" s="364"/>
    </row>
    <row r="114" spans="36:36" ht="16.5">
      <c r="AJ114" s="364"/>
    </row>
    <row r="115" spans="36:36" ht="16.5">
      <c r="AJ115" s="364"/>
    </row>
    <row r="116" spans="36:36" ht="16.5">
      <c r="AJ116" s="364"/>
    </row>
    <row r="117" spans="36:36" ht="16.5">
      <c r="AJ117" s="364"/>
    </row>
    <row r="118" spans="36:36" ht="16.5">
      <c r="AJ118" s="364"/>
    </row>
    <row r="119" spans="36:36" ht="16.5">
      <c r="AJ119" s="364"/>
    </row>
    <row r="120" spans="36:36" ht="16.5">
      <c r="AJ120" s="364"/>
    </row>
    <row r="121" spans="36:36" ht="16.5">
      <c r="AJ121" s="364"/>
    </row>
    <row r="122" spans="36:36" ht="16.5">
      <c r="AJ122" s="364"/>
    </row>
    <row r="123" spans="36:36" ht="16.5">
      <c r="AJ123" s="364"/>
    </row>
    <row r="124" spans="36:36" ht="16.5">
      <c r="AJ124" s="364"/>
    </row>
    <row r="125" spans="36:36" ht="16.5">
      <c r="AJ125" s="364"/>
    </row>
    <row r="126" spans="36:36" ht="16.5">
      <c r="AJ126" s="364"/>
    </row>
    <row r="127" spans="36:36" ht="16.5">
      <c r="AJ127" s="364"/>
    </row>
    <row r="128" spans="36:36" ht="16.5">
      <c r="AJ128" s="364"/>
    </row>
    <row r="129" spans="36:36" ht="16.5">
      <c r="AJ129" s="364"/>
    </row>
    <row r="130" spans="36:36" ht="16.5">
      <c r="AJ130" s="364"/>
    </row>
    <row r="131" spans="36:36" ht="16.5">
      <c r="AJ131" s="364"/>
    </row>
    <row r="132" spans="36:36" ht="16.5">
      <c r="AJ132" s="364"/>
    </row>
    <row r="133" spans="36:36" ht="16.5">
      <c r="AJ133" s="364"/>
    </row>
    <row r="134" spans="36:36" ht="16.5">
      <c r="AJ134" s="364"/>
    </row>
    <row r="135" spans="36:36" ht="16.5">
      <c r="AJ135" s="364"/>
    </row>
    <row r="136" spans="36:36" ht="16.5">
      <c r="AJ136" s="364"/>
    </row>
    <row r="137" spans="36:36" ht="16.5">
      <c r="AJ137" s="364"/>
    </row>
    <row r="138" spans="36:36" ht="16.5">
      <c r="AJ138" s="364"/>
    </row>
    <row r="139" spans="36:36" ht="16.5">
      <c r="AJ139" s="364"/>
    </row>
    <row r="140" spans="36:36" ht="16.5">
      <c r="AJ140" s="364"/>
    </row>
    <row r="141" spans="36:36" ht="16.5">
      <c r="AJ141" s="364"/>
    </row>
    <row r="142" spans="36:36" ht="16.5">
      <c r="AJ142" s="364"/>
    </row>
    <row r="143" spans="36:36" ht="16.5">
      <c r="AJ143" s="364"/>
    </row>
    <row r="144" spans="36:36" ht="16.5">
      <c r="AJ144" s="364"/>
    </row>
    <row r="145" spans="36:36" ht="16.5">
      <c r="AJ145" s="364"/>
    </row>
    <row r="146" spans="36:36" ht="16.5">
      <c r="AJ146" s="364"/>
    </row>
    <row r="147" spans="36:36" ht="15" customHeight="1">
      <c r="AJ147" s="364"/>
    </row>
    <row r="148" spans="36:36" ht="15" customHeight="1">
      <c r="AJ148" s="364"/>
    </row>
    <row r="149" spans="36:36" ht="15" customHeight="1">
      <c r="AJ149" s="364"/>
    </row>
    <row r="150" spans="36:36" ht="15" customHeight="1">
      <c r="AJ150" s="364"/>
    </row>
    <row r="151" spans="36:36" ht="15" customHeight="1">
      <c r="AJ151" s="364"/>
    </row>
    <row r="152" spans="36:36" ht="15" customHeight="1">
      <c r="AJ152" s="364"/>
    </row>
    <row r="153" spans="36:36" ht="15" customHeight="1">
      <c r="AJ153" s="364"/>
    </row>
    <row r="154" spans="36:36" ht="15" customHeight="1">
      <c r="AJ154" s="364"/>
    </row>
    <row r="155" spans="36:36" ht="15" customHeight="1">
      <c r="AJ155" s="364"/>
    </row>
    <row r="156" spans="36:36" ht="15" customHeight="1">
      <c r="AJ156" s="364"/>
    </row>
    <row r="157" spans="36:36" ht="15" customHeight="1">
      <c r="AJ157" s="364"/>
    </row>
    <row r="158" spans="36:36" ht="15" customHeight="1">
      <c r="AJ158" s="364"/>
    </row>
    <row r="159" spans="36:36" ht="15" customHeight="1">
      <c r="AJ159" s="364"/>
    </row>
    <row r="160" spans="36:36" ht="15" customHeight="1">
      <c r="AJ160" s="364"/>
    </row>
    <row r="161" spans="36:36" ht="15" customHeight="1">
      <c r="AJ161" s="364"/>
    </row>
    <row r="162" spans="36:36" ht="15" customHeight="1">
      <c r="AJ162" s="364"/>
    </row>
    <row r="163" spans="36:36" ht="15" customHeight="1">
      <c r="AJ163" s="364"/>
    </row>
    <row r="164" spans="36:36" ht="15" customHeight="1">
      <c r="AJ164" s="364"/>
    </row>
    <row r="165" spans="36:36" ht="15" customHeight="1">
      <c r="AJ165" s="364"/>
    </row>
    <row r="166" spans="36:36" ht="15" customHeight="1">
      <c r="AJ166" s="364"/>
    </row>
    <row r="167" spans="36:36" ht="15" customHeight="1">
      <c r="AJ167" s="364"/>
    </row>
    <row r="168" spans="36:36" ht="15" customHeight="1">
      <c r="AJ168" s="364"/>
    </row>
    <row r="169" spans="36:36" ht="15" customHeight="1">
      <c r="AJ169" s="364"/>
    </row>
    <row r="170" spans="36:36" ht="15" customHeight="1">
      <c r="AJ170" s="364"/>
    </row>
    <row r="171" spans="36:36" ht="15" customHeight="1">
      <c r="AJ171" s="364"/>
    </row>
    <row r="172" spans="36:36" ht="15" customHeight="1">
      <c r="AJ172" s="364"/>
    </row>
    <row r="173" spans="36:36" ht="15" customHeight="1">
      <c r="AJ173" s="364"/>
    </row>
    <row r="174" spans="36:36" ht="15" customHeight="1">
      <c r="AJ174" s="364"/>
    </row>
    <row r="175" spans="36:36" ht="15" customHeight="1">
      <c r="AJ175" s="364"/>
    </row>
    <row r="176" spans="36:36" ht="15" customHeight="1">
      <c r="AJ176" s="364"/>
    </row>
    <row r="177" spans="36:36" ht="15" customHeight="1">
      <c r="AJ177" s="364"/>
    </row>
    <row r="178" spans="36:36" ht="15" customHeight="1">
      <c r="AJ178" s="364"/>
    </row>
    <row r="179" spans="36:36" ht="15" customHeight="1">
      <c r="AJ179" s="364"/>
    </row>
    <row r="180" spans="36:36" ht="15" customHeight="1">
      <c r="AJ180" s="364"/>
    </row>
    <row r="181" spans="36:36" ht="15" customHeight="1">
      <c r="AJ181" s="364"/>
    </row>
    <row r="182" spans="36:36" ht="15" customHeight="1">
      <c r="AJ182" s="364"/>
    </row>
    <row r="183" spans="36:36" ht="15" customHeight="1">
      <c r="AJ183" s="364"/>
    </row>
    <row r="184" spans="36:36" ht="15" customHeight="1">
      <c r="AJ184" s="364"/>
    </row>
    <row r="185" spans="36:36" ht="15" customHeight="1">
      <c r="AJ185" s="364"/>
    </row>
    <row r="186" spans="36:36" ht="15" customHeight="1">
      <c r="AJ186" s="364"/>
    </row>
    <row r="187" spans="36:36" ht="15" customHeight="1">
      <c r="AJ187" s="364"/>
    </row>
    <row r="188" spans="36:36" ht="15" customHeight="1">
      <c r="AJ188" s="364"/>
    </row>
    <row r="189" spans="36:36" ht="15" customHeight="1">
      <c r="AJ189" s="364"/>
    </row>
    <row r="190" spans="36:36" ht="15" customHeight="1">
      <c r="AJ190" s="364"/>
    </row>
    <row r="191" spans="36:36" ht="15" customHeight="1">
      <c r="AJ191" s="364"/>
    </row>
    <row r="192" spans="36:36" ht="15" customHeight="1">
      <c r="AJ192" s="364"/>
    </row>
    <row r="193" spans="36:36" ht="15" customHeight="1">
      <c r="AJ193" s="364"/>
    </row>
    <row r="194" spans="36:36" ht="15" customHeight="1">
      <c r="AJ194" s="364"/>
    </row>
    <row r="195" spans="36:36" ht="15" customHeight="1">
      <c r="AJ195" s="364"/>
    </row>
    <row r="196" spans="36:36" ht="15" customHeight="1">
      <c r="AJ196" s="364"/>
    </row>
    <row r="197" spans="36:36" ht="15" customHeight="1">
      <c r="AJ197" s="364"/>
    </row>
    <row r="198" spans="36:36" ht="15" customHeight="1">
      <c r="AJ198" s="364"/>
    </row>
    <row r="199" spans="36:36" ht="15" customHeight="1">
      <c r="AJ199" s="364"/>
    </row>
    <row r="200" spans="36:36" ht="15" customHeight="1">
      <c r="AJ200" s="364"/>
    </row>
    <row r="201" spans="36:36" ht="15" customHeight="1">
      <c r="AJ201" s="364"/>
    </row>
    <row r="202" spans="36:36" ht="15" customHeight="1">
      <c r="AJ202" s="364"/>
    </row>
    <row r="203" spans="36:36" ht="15" customHeight="1">
      <c r="AJ203" s="364"/>
    </row>
  </sheetData>
  <autoFilter ref="A2:AY29" xr:uid="{6E147DCE-A6F4-47F7-9F8B-7CFC47C10580}">
    <sortState xmlns:xlrd2="http://schemas.microsoft.com/office/spreadsheetml/2017/richdata2" ref="A3:AY29">
      <sortCondition ref="AS2:AS29"/>
    </sortState>
  </autoFilter>
  <sortState xmlns:xlrd2="http://schemas.microsoft.com/office/spreadsheetml/2017/richdata2" ref="B9:B29">
    <sortCondition ref="B9:B29"/>
  </sortState>
  <mergeCells count="9">
    <mergeCell ref="K2:L2"/>
    <mergeCell ref="A49:A56"/>
    <mergeCell ref="A40:A48"/>
    <mergeCell ref="A31:A39"/>
    <mergeCell ref="AY3:AY10"/>
    <mergeCell ref="AC17:AC20"/>
    <mergeCell ref="AD17:AD20"/>
    <mergeCell ref="AQ17:AQ20"/>
    <mergeCell ref="AY11:AY16"/>
  </mergeCells>
  <phoneticPr fontId="9"/>
  <conditionalFormatting sqref="AJ11 AJ21:AJ200">
    <cfRule type="containsText" dxfId="1" priority="2" operator="containsText" text="No">
      <formula>NOT(ISERROR(SEARCH("No",AJ11)))</formula>
    </cfRule>
  </conditionalFormatting>
  <conditionalFormatting sqref="AT3:AT20">
    <cfRule type="containsText" dxfId="0" priority="1" operator="containsText" text="No">
      <formula>NOT(ISERROR(SEARCH("No",AT3)))</formula>
    </cfRule>
  </conditionalFormatting>
  <dataValidations disablePrompts="1" count="1">
    <dataValidation type="list" allowBlank="1" showInputMessage="1" showErrorMessage="1" sqref="AL3:AL1048576" xr:uid="{73AFA00C-7F32-42FA-9565-E7FCAEF62195}">
      <formula1>"YES,NO,-"</formula1>
    </dataValidation>
  </dataValidations>
  <pageMargins left="0.70866141732283472" right="0.70866141732283472" top="0.74803149606299213" bottom="0.74803149606299213" header="0.31496062992125984" footer="0.31496062992125984"/>
  <pageSetup paperSize="8" orientation="landscape" r:id="rId1"/>
  <colBreaks count="1" manualBreakCount="1">
    <brk id="19" max="1048575" man="1"/>
  </colBreaks>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4A0F-F9BF-4C9B-B28B-CCB1C877163E}">
  <sheetPr codeName="Sheet7"/>
  <dimension ref="A1:BD30"/>
  <sheetViews>
    <sheetView topLeftCell="A5" workbookViewId="0">
      <selection activeCell="K26" sqref="K26"/>
    </sheetView>
  </sheetViews>
  <sheetFormatPr defaultRowHeight="16.5"/>
  <cols>
    <col min="2" max="2" width="15.875" bestFit="1" customWidth="1"/>
    <col min="3" max="3" width="18.125" bestFit="1" customWidth="1"/>
    <col min="5" max="5" width="11.125" customWidth="1"/>
    <col min="6" max="6" width="12.25" customWidth="1"/>
    <col min="7" max="7" width="6.625" customWidth="1"/>
    <col min="10" max="10" width="13.25" customWidth="1"/>
  </cols>
  <sheetData>
    <row r="1" spans="1:56" ht="33.75">
      <c r="A1" s="2886" t="s">
        <v>1617</v>
      </c>
      <c r="B1" s="2886"/>
      <c r="C1" s="2886"/>
      <c r="D1" s="2886"/>
      <c r="E1" s="2886"/>
      <c r="F1" s="2886"/>
      <c r="G1" s="2886"/>
      <c r="H1" s="2886"/>
      <c r="I1" s="2886"/>
      <c r="J1" s="2886"/>
      <c r="K1" s="2886"/>
      <c r="L1" s="2886"/>
      <c r="M1" s="2886"/>
      <c r="N1" s="2886"/>
      <c r="O1" s="168"/>
      <c r="P1" s="168"/>
      <c r="Q1" s="168"/>
      <c r="R1" s="168"/>
      <c r="S1" s="168"/>
      <c r="T1" s="168"/>
      <c r="U1" s="168"/>
      <c r="V1" s="168"/>
      <c r="W1" s="168"/>
      <c r="X1" s="168"/>
      <c r="Y1" s="168"/>
      <c r="Z1" s="168"/>
      <c r="AA1" s="168"/>
      <c r="AB1" s="168"/>
      <c r="AC1" s="168"/>
    </row>
    <row r="2" spans="1:56" ht="26.25">
      <c r="A2" s="169" t="s">
        <v>307</v>
      </c>
      <c r="B2" s="169" t="s">
        <v>307</v>
      </c>
      <c r="C2" s="169" t="s">
        <v>307</v>
      </c>
      <c r="D2" s="169" t="s">
        <v>307</v>
      </c>
      <c r="E2" s="169" t="s">
        <v>307</v>
      </c>
      <c r="F2" s="169" t="s">
        <v>307</v>
      </c>
      <c r="G2" s="169" t="s">
        <v>307</v>
      </c>
      <c r="H2" s="169" t="s">
        <v>307</v>
      </c>
      <c r="I2" s="169" t="s">
        <v>307</v>
      </c>
      <c r="J2" s="169" t="s">
        <v>307</v>
      </c>
      <c r="K2" s="169" t="s">
        <v>307</v>
      </c>
      <c r="L2" s="169" t="s">
        <v>307</v>
      </c>
      <c r="M2" s="169" t="s">
        <v>307</v>
      </c>
      <c r="N2" s="170" t="s">
        <v>307</v>
      </c>
      <c r="O2" s="168"/>
      <c r="P2" s="168"/>
      <c r="Q2" s="168"/>
      <c r="R2" s="168"/>
      <c r="S2" s="168"/>
      <c r="T2" s="168"/>
      <c r="U2" s="168"/>
      <c r="V2" s="168"/>
      <c r="W2" s="168"/>
      <c r="X2" s="168"/>
      <c r="Y2" s="168"/>
      <c r="Z2" s="168"/>
      <c r="AA2" s="168"/>
      <c r="AB2" s="168"/>
      <c r="AC2" s="168"/>
    </row>
    <row r="3" spans="1:56" ht="26.25">
      <c r="A3" s="171" t="s">
        <v>307</v>
      </c>
      <c r="B3" s="171" t="s">
        <v>307</v>
      </c>
      <c r="C3" s="171" t="s">
        <v>307</v>
      </c>
      <c r="D3" s="171" t="s">
        <v>307</v>
      </c>
      <c r="E3" s="171" t="s">
        <v>307</v>
      </c>
      <c r="F3" s="171" t="s">
        <v>307</v>
      </c>
      <c r="G3" s="171" t="s">
        <v>307</v>
      </c>
      <c r="H3" s="171" t="s">
        <v>307</v>
      </c>
      <c r="I3" s="171" t="s">
        <v>307</v>
      </c>
      <c r="J3" s="171" t="s">
        <v>307</v>
      </c>
      <c r="K3" s="171" t="s">
        <v>307</v>
      </c>
      <c r="L3" s="171" t="s">
        <v>307</v>
      </c>
      <c r="M3" s="169" t="s">
        <v>307</v>
      </c>
      <c r="N3" s="170" t="s">
        <v>307</v>
      </c>
      <c r="O3" s="168"/>
      <c r="P3" s="168"/>
      <c r="Q3" s="168"/>
      <c r="R3" s="168"/>
      <c r="S3" s="168"/>
      <c r="T3" s="168"/>
      <c r="U3" s="168"/>
      <c r="V3" s="168"/>
      <c r="W3" s="168"/>
      <c r="X3" s="168"/>
      <c r="Y3" s="168"/>
      <c r="Z3" s="168"/>
      <c r="AA3" s="168"/>
      <c r="AB3" s="168"/>
      <c r="AC3" s="168"/>
    </row>
    <row r="4" spans="1:56" ht="26.25">
      <c r="A4" s="171" t="s">
        <v>307</v>
      </c>
      <c r="B4" s="171" t="s">
        <v>307</v>
      </c>
      <c r="C4" s="171" t="s">
        <v>307</v>
      </c>
      <c r="D4" s="171" t="s">
        <v>307</v>
      </c>
      <c r="E4" s="171" t="s">
        <v>307</v>
      </c>
      <c r="F4" s="171" t="s">
        <v>307</v>
      </c>
      <c r="G4" s="171" t="s">
        <v>307</v>
      </c>
      <c r="H4" s="171" t="s">
        <v>307</v>
      </c>
      <c r="I4" s="171" t="s">
        <v>307</v>
      </c>
      <c r="J4" s="171" t="s">
        <v>307</v>
      </c>
      <c r="K4" s="171" t="s">
        <v>307</v>
      </c>
      <c r="L4" s="171" t="s">
        <v>307</v>
      </c>
      <c r="M4" s="169" t="s">
        <v>307</v>
      </c>
      <c r="N4" s="170" t="s">
        <v>307</v>
      </c>
      <c r="O4" s="168"/>
      <c r="P4" s="168"/>
      <c r="Q4" s="168"/>
      <c r="R4" s="168"/>
      <c r="S4" s="168"/>
      <c r="T4" s="168"/>
      <c r="U4" s="168"/>
      <c r="V4" s="168"/>
      <c r="W4" s="168"/>
      <c r="X4" s="168"/>
      <c r="Y4" s="168"/>
      <c r="Z4" s="168"/>
      <c r="AA4" s="168"/>
      <c r="AB4" s="168"/>
      <c r="AC4" s="168"/>
    </row>
    <row r="5" spans="1:56" ht="20.25">
      <c r="A5" s="172" t="s">
        <v>307</v>
      </c>
      <c r="B5" s="172" t="s">
        <v>307</v>
      </c>
      <c r="C5" s="172" t="s">
        <v>307</v>
      </c>
      <c r="D5" s="172" t="s">
        <v>307</v>
      </c>
      <c r="E5" s="172" t="s">
        <v>307</v>
      </c>
      <c r="F5" s="172" t="s">
        <v>307</v>
      </c>
      <c r="G5" s="172" t="s">
        <v>307</v>
      </c>
      <c r="H5" s="172" t="s">
        <v>307</v>
      </c>
      <c r="I5" s="172" t="s">
        <v>307</v>
      </c>
      <c r="J5" s="172" t="s">
        <v>307</v>
      </c>
      <c r="K5" s="173" t="s">
        <v>307</v>
      </c>
      <c r="L5" s="173" t="s">
        <v>307</v>
      </c>
      <c r="M5" s="173" t="s">
        <v>307</v>
      </c>
      <c r="N5" s="174" t="s">
        <v>307</v>
      </c>
      <c r="O5" s="168"/>
      <c r="P5" s="168"/>
      <c r="Q5" s="168"/>
      <c r="R5" s="168"/>
      <c r="S5" s="168"/>
      <c r="T5" s="168"/>
      <c r="U5" s="168"/>
      <c r="V5" s="168"/>
      <c r="W5" s="168"/>
      <c r="X5" s="168"/>
      <c r="Y5" s="168"/>
      <c r="Z5" s="168"/>
      <c r="AA5" s="168"/>
      <c r="AB5" s="168"/>
      <c r="AC5" s="168"/>
    </row>
    <row r="6" spans="1:56" ht="13.5" customHeight="1">
      <c r="A6" s="2586" t="s">
        <v>24</v>
      </c>
      <c r="B6" s="2586" t="s">
        <v>314</v>
      </c>
      <c r="C6" s="2586" t="s">
        <v>315</v>
      </c>
      <c r="D6" s="2586" t="s">
        <v>1618</v>
      </c>
      <c r="E6" s="2887" t="s">
        <v>1619</v>
      </c>
      <c r="F6" s="2887" t="s">
        <v>1620</v>
      </c>
      <c r="G6" s="213" t="s">
        <v>307</v>
      </c>
      <c r="H6" s="2888" t="s">
        <v>1621</v>
      </c>
      <c r="I6" s="2889"/>
      <c r="J6" s="2586" t="s">
        <v>1622</v>
      </c>
      <c r="K6" s="2586" t="s">
        <v>1623</v>
      </c>
      <c r="L6" s="2586" t="s">
        <v>1624</v>
      </c>
      <c r="M6" s="2586" t="s">
        <v>1625</v>
      </c>
      <c r="N6" s="2881" t="s">
        <v>1626</v>
      </c>
      <c r="O6" s="2883" t="s">
        <v>1627</v>
      </c>
      <c r="P6" s="2864" t="s">
        <v>1628</v>
      </c>
      <c r="Q6" s="2864" t="s">
        <v>1629</v>
      </c>
      <c r="R6" s="2864" t="s">
        <v>1630</v>
      </c>
      <c r="S6" s="2864" t="s">
        <v>1631</v>
      </c>
      <c r="T6" s="2864" t="s">
        <v>1632</v>
      </c>
      <c r="U6" s="2875" t="s">
        <v>1633</v>
      </c>
      <c r="V6" s="2877" t="s">
        <v>1634</v>
      </c>
      <c r="W6" s="2878" t="s">
        <v>1635</v>
      </c>
      <c r="X6" s="2864" t="s">
        <v>1636</v>
      </c>
      <c r="Y6" s="2864" t="s">
        <v>1637</v>
      </c>
      <c r="Z6" s="2866" t="s">
        <v>1638</v>
      </c>
      <c r="AA6" s="2866"/>
      <c r="AB6" s="2867"/>
      <c r="AC6" s="2868" t="s">
        <v>1639</v>
      </c>
    </row>
    <row r="7" spans="1:56" ht="47.25">
      <c r="A7" s="2880"/>
      <c r="B7" s="2880"/>
      <c r="C7" s="2880"/>
      <c r="D7" s="2880"/>
      <c r="E7" s="2885"/>
      <c r="F7" s="2885"/>
      <c r="G7" s="175" t="s">
        <v>1640</v>
      </c>
      <c r="H7" s="176" t="s">
        <v>1641</v>
      </c>
      <c r="I7" s="176" t="s">
        <v>1642</v>
      </c>
      <c r="J7" s="2880"/>
      <c r="K7" s="2880"/>
      <c r="L7" s="2880"/>
      <c r="M7" s="2880"/>
      <c r="N7" s="2882"/>
      <c r="O7" s="2884"/>
      <c r="P7" s="2885"/>
      <c r="Q7" s="2865"/>
      <c r="R7" s="2865"/>
      <c r="S7" s="2865"/>
      <c r="T7" s="2865"/>
      <c r="U7" s="2876"/>
      <c r="V7" s="2573"/>
      <c r="W7" s="2879"/>
      <c r="X7" s="2865"/>
      <c r="Y7" s="2865"/>
      <c r="Z7" s="177" t="s">
        <v>1643</v>
      </c>
      <c r="AA7" s="177" t="s">
        <v>1644</v>
      </c>
      <c r="AB7" s="177" t="s">
        <v>1645</v>
      </c>
      <c r="AC7" s="2869"/>
    </row>
    <row r="8" spans="1:56">
      <c r="A8" s="201">
        <v>12</v>
      </c>
      <c r="B8" s="202" t="s">
        <v>410</v>
      </c>
      <c r="C8" s="202" t="s">
        <v>410</v>
      </c>
      <c r="D8" s="202" t="s">
        <v>1646</v>
      </c>
      <c r="E8" s="202">
        <v>993.6</v>
      </c>
      <c r="F8" s="180">
        <v>1403</v>
      </c>
      <c r="G8" s="180">
        <v>3.84</v>
      </c>
      <c r="H8" s="181">
        <v>4.0999999999999996</v>
      </c>
      <c r="I8" s="181">
        <v>3.6</v>
      </c>
      <c r="J8" s="180">
        <v>1394.0208</v>
      </c>
      <c r="K8" s="202" t="s">
        <v>1398</v>
      </c>
      <c r="L8" s="202" t="s">
        <v>1647</v>
      </c>
      <c r="M8" s="202" t="s">
        <v>1648</v>
      </c>
      <c r="N8" s="203" t="s">
        <v>1649</v>
      </c>
      <c r="O8" s="183" t="s">
        <v>1650</v>
      </c>
      <c r="P8" s="184" t="s">
        <v>1650</v>
      </c>
      <c r="Q8" s="185" t="s">
        <v>1651</v>
      </c>
      <c r="R8" s="191" t="s">
        <v>1651</v>
      </c>
      <c r="S8" s="191" t="s">
        <v>1651</v>
      </c>
      <c r="T8" s="184" t="s">
        <v>1651</v>
      </c>
      <c r="U8" s="185" t="s">
        <v>1650</v>
      </c>
      <c r="V8" s="186" t="s">
        <v>793</v>
      </c>
      <c r="W8" s="185" t="s">
        <v>1650</v>
      </c>
      <c r="X8" s="185" t="s">
        <v>1651</v>
      </c>
      <c r="Y8" s="185" t="s">
        <v>1651</v>
      </c>
      <c r="Z8" s="187">
        <v>44811</v>
      </c>
      <c r="AA8" s="187">
        <v>45657</v>
      </c>
      <c r="AB8" s="188" t="s">
        <v>1652</v>
      </c>
      <c r="AC8" s="189" t="s">
        <v>1651</v>
      </c>
    </row>
    <row r="9" spans="1:56">
      <c r="A9" s="201">
        <v>11</v>
      </c>
      <c r="B9" s="202" t="s">
        <v>415</v>
      </c>
      <c r="C9" s="202" t="s">
        <v>415</v>
      </c>
      <c r="D9" s="202" t="s">
        <v>1653</v>
      </c>
      <c r="E9" s="202">
        <v>993.6</v>
      </c>
      <c r="F9" s="180">
        <v>1403</v>
      </c>
      <c r="G9" s="180">
        <v>3.84</v>
      </c>
      <c r="H9" s="181">
        <v>4.0999999999999996</v>
      </c>
      <c r="I9" s="181">
        <v>3.6</v>
      </c>
      <c r="J9" s="180">
        <v>1394.0208</v>
      </c>
      <c r="K9" s="202" t="s">
        <v>1398</v>
      </c>
      <c r="L9" s="202" t="s">
        <v>1647</v>
      </c>
      <c r="M9" s="202" t="s">
        <v>1648</v>
      </c>
      <c r="N9" s="203" t="s">
        <v>1649</v>
      </c>
      <c r="O9" s="190" t="s">
        <v>1650</v>
      </c>
      <c r="P9" s="184" t="s">
        <v>1650</v>
      </c>
      <c r="Q9" s="184" t="s">
        <v>1651</v>
      </c>
      <c r="R9" s="191" t="s">
        <v>1651</v>
      </c>
      <c r="S9" s="191" t="s">
        <v>1651</v>
      </c>
      <c r="T9" s="184" t="s">
        <v>1651</v>
      </c>
      <c r="U9" s="184" t="s">
        <v>1650</v>
      </c>
      <c r="V9" s="192" t="s">
        <v>793</v>
      </c>
      <c r="W9" s="184" t="s">
        <v>1650</v>
      </c>
      <c r="X9" s="184" t="s">
        <v>1651</v>
      </c>
      <c r="Y9" s="184" t="s">
        <v>1651</v>
      </c>
      <c r="Z9" s="194">
        <v>45289</v>
      </c>
      <c r="AA9" s="194">
        <v>46387</v>
      </c>
      <c r="AB9" s="195" t="s">
        <v>1654</v>
      </c>
      <c r="AC9" s="196" t="s">
        <v>1651</v>
      </c>
    </row>
    <row r="10" spans="1:56">
      <c r="A10" s="201">
        <v>10</v>
      </c>
      <c r="B10" s="202" t="s">
        <v>418</v>
      </c>
      <c r="C10" s="202" t="s">
        <v>418</v>
      </c>
      <c r="D10" s="202" t="s">
        <v>1655</v>
      </c>
      <c r="E10" s="202">
        <v>993.6</v>
      </c>
      <c r="F10" s="180">
        <v>1403</v>
      </c>
      <c r="G10" s="180">
        <v>3.84</v>
      </c>
      <c r="H10" s="181">
        <v>4.0999999999999996</v>
      </c>
      <c r="I10" s="181">
        <v>3.6</v>
      </c>
      <c r="J10" s="180">
        <v>1394.0208</v>
      </c>
      <c r="K10" s="202" t="s">
        <v>1398</v>
      </c>
      <c r="L10" s="202" t="s">
        <v>1647</v>
      </c>
      <c r="M10" s="202" t="s">
        <v>1648</v>
      </c>
      <c r="N10" s="203" t="s">
        <v>1649</v>
      </c>
      <c r="O10" s="190" t="s">
        <v>1650</v>
      </c>
      <c r="P10" s="184" t="s">
        <v>1650</v>
      </c>
      <c r="Q10" s="184" t="s">
        <v>1651</v>
      </c>
      <c r="R10" s="191" t="s">
        <v>1651</v>
      </c>
      <c r="S10" s="191" t="s">
        <v>1651</v>
      </c>
      <c r="T10" s="184" t="s">
        <v>1651</v>
      </c>
      <c r="U10" s="184" t="s">
        <v>1650</v>
      </c>
      <c r="V10" s="192" t="s">
        <v>793</v>
      </c>
      <c r="W10" s="184" t="s">
        <v>1650</v>
      </c>
      <c r="X10" s="184" t="s">
        <v>1651</v>
      </c>
      <c r="Y10" s="184" t="s">
        <v>1651</v>
      </c>
      <c r="Z10" s="194">
        <v>45289</v>
      </c>
      <c r="AA10" s="194">
        <v>46387</v>
      </c>
      <c r="AB10" s="195" t="s">
        <v>1654</v>
      </c>
      <c r="AC10" s="196" t="s">
        <v>1651</v>
      </c>
    </row>
    <row r="11" spans="1:56">
      <c r="A11" s="201">
        <v>9</v>
      </c>
      <c r="B11" s="202" t="s">
        <v>421</v>
      </c>
      <c r="C11" s="202" t="s">
        <v>421</v>
      </c>
      <c r="D11" s="202" t="s">
        <v>1656</v>
      </c>
      <c r="E11" s="202">
        <v>993.6</v>
      </c>
      <c r="F11" s="180">
        <v>1403</v>
      </c>
      <c r="G11" s="180">
        <v>3.84</v>
      </c>
      <c r="H11" s="181">
        <v>4.0999999999999996</v>
      </c>
      <c r="I11" s="181">
        <v>3.6</v>
      </c>
      <c r="J11" s="180">
        <v>1394.0208</v>
      </c>
      <c r="K11" s="202" t="s">
        <v>1398</v>
      </c>
      <c r="L11" s="202" t="s">
        <v>1647</v>
      </c>
      <c r="M11" s="202" t="s">
        <v>1648</v>
      </c>
      <c r="N11" s="203" t="s">
        <v>1649</v>
      </c>
      <c r="O11" s="190" t="s">
        <v>1650</v>
      </c>
      <c r="P11" s="184" t="s">
        <v>1650</v>
      </c>
      <c r="Q11" s="184" t="s">
        <v>1651</v>
      </c>
      <c r="R11" s="191" t="s">
        <v>1651</v>
      </c>
      <c r="S11" s="191" t="s">
        <v>1651</v>
      </c>
      <c r="T11" s="184" t="s">
        <v>1651</v>
      </c>
      <c r="U11" s="184" t="s">
        <v>1650</v>
      </c>
      <c r="V11" s="192" t="s">
        <v>793</v>
      </c>
      <c r="W11" s="184" t="s">
        <v>1650</v>
      </c>
      <c r="X11" s="184" t="s">
        <v>1651</v>
      </c>
      <c r="Y11" s="184" t="s">
        <v>1651</v>
      </c>
      <c r="Z11" s="194">
        <v>45289</v>
      </c>
      <c r="AA11" s="194">
        <v>46387</v>
      </c>
      <c r="AB11" s="195" t="s">
        <v>1654</v>
      </c>
      <c r="AC11" s="196" t="s">
        <v>1651</v>
      </c>
      <c r="BD11" t="s">
        <v>1657</v>
      </c>
    </row>
    <row r="12" spans="1:56">
      <c r="A12" s="178">
        <v>2</v>
      </c>
      <c r="B12" s="179" t="s">
        <v>348</v>
      </c>
      <c r="C12" s="179" t="s">
        <v>1658</v>
      </c>
      <c r="D12" s="179" t="s">
        <v>1659</v>
      </c>
      <c r="E12" s="179">
        <v>499.96</v>
      </c>
      <c r="F12" s="180">
        <v>1384</v>
      </c>
      <c r="G12" s="180">
        <v>3.79</v>
      </c>
      <c r="H12" s="181">
        <v>4.0999999999999996</v>
      </c>
      <c r="I12" s="181">
        <v>3.7</v>
      </c>
      <c r="J12" s="180">
        <v>691.94464000000005</v>
      </c>
      <c r="K12" s="179" t="s">
        <v>1398</v>
      </c>
      <c r="L12" s="179" t="s">
        <v>1647</v>
      </c>
      <c r="M12" s="179" t="s">
        <v>1648</v>
      </c>
      <c r="N12" s="182">
        <v>2026</v>
      </c>
      <c r="O12" s="190" t="s">
        <v>1650</v>
      </c>
      <c r="P12" s="184" t="s">
        <v>1650</v>
      </c>
      <c r="Q12" s="184" t="s">
        <v>1650</v>
      </c>
      <c r="R12" s="191" t="s">
        <v>1650</v>
      </c>
      <c r="S12" s="191" t="s">
        <v>1650</v>
      </c>
      <c r="T12" s="184" t="s">
        <v>1650</v>
      </c>
      <c r="U12" s="184" t="s">
        <v>1650</v>
      </c>
      <c r="V12" s="192" t="s">
        <v>793</v>
      </c>
      <c r="W12" s="184" t="s">
        <v>1650</v>
      </c>
      <c r="X12" s="184" t="s">
        <v>1651</v>
      </c>
      <c r="Y12" s="184" t="s">
        <v>1650</v>
      </c>
      <c r="Z12" s="194">
        <v>45166</v>
      </c>
      <c r="AA12" s="194">
        <v>45716</v>
      </c>
      <c r="AB12" s="195" t="s">
        <v>1660</v>
      </c>
      <c r="AC12" s="196" t="s">
        <v>1651</v>
      </c>
    </row>
    <row r="13" spans="1:56">
      <c r="A13" s="178">
        <v>2</v>
      </c>
      <c r="B13" s="179" t="s">
        <v>355</v>
      </c>
      <c r="C13" s="179" t="s">
        <v>1661</v>
      </c>
      <c r="D13" s="179" t="s">
        <v>1662</v>
      </c>
      <c r="E13" s="179">
        <v>299.27999999999997</v>
      </c>
      <c r="F13" s="180">
        <v>1493</v>
      </c>
      <c r="G13" s="180">
        <v>4.09</v>
      </c>
      <c r="H13" s="181">
        <v>4.2</v>
      </c>
      <c r="I13" s="181">
        <v>3.7</v>
      </c>
      <c r="J13" s="180">
        <v>446.82504</v>
      </c>
      <c r="K13" s="179" t="s">
        <v>1398</v>
      </c>
      <c r="L13" s="179" t="s">
        <v>1647</v>
      </c>
      <c r="M13" s="179" t="s">
        <v>1648</v>
      </c>
      <c r="N13" s="182">
        <v>2026</v>
      </c>
      <c r="O13" s="190" t="s">
        <v>1650</v>
      </c>
      <c r="P13" s="184" t="s">
        <v>1650</v>
      </c>
      <c r="Q13" s="184" t="s">
        <v>1650</v>
      </c>
      <c r="R13" s="191" t="s">
        <v>1663</v>
      </c>
      <c r="S13" s="191" t="s">
        <v>1663</v>
      </c>
      <c r="T13" s="184" t="s">
        <v>1651</v>
      </c>
      <c r="U13" s="184" t="s">
        <v>1650</v>
      </c>
      <c r="V13" s="192" t="s">
        <v>793</v>
      </c>
      <c r="W13" s="184" t="s">
        <v>1650</v>
      </c>
      <c r="X13" s="184" t="s">
        <v>1651</v>
      </c>
      <c r="Y13" s="184" t="s">
        <v>1650</v>
      </c>
      <c r="Z13" s="194">
        <v>45106</v>
      </c>
      <c r="AA13" s="194">
        <v>45836</v>
      </c>
      <c r="AB13" s="195" t="s">
        <v>1664</v>
      </c>
      <c r="AC13" s="196" t="s">
        <v>1651</v>
      </c>
    </row>
    <row r="14" spans="1:56">
      <c r="A14" s="178">
        <v>2</v>
      </c>
      <c r="B14" s="197" t="s">
        <v>343</v>
      </c>
      <c r="C14" s="179" t="s">
        <v>1665</v>
      </c>
      <c r="D14" s="179" t="s">
        <v>1666</v>
      </c>
      <c r="E14" s="179">
        <v>499.96</v>
      </c>
      <c r="F14" s="180">
        <v>1447</v>
      </c>
      <c r="G14" s="180">
        <v>3.96</v>
      </c>
      <c r="H14" s="181">
        <v>4.3</v>
      </c>
      <c r="I14" s="181">
        <v>3.8</v>
      </c>
      <c r="J14" s="180">
        <v>723.44212000000005</v>
      </c>
      <c r="K14" s="179" t="s">
        <v>1398</v>
      </c>
      <c r="L14" s="179" t="s">
        <v>1647</v>
      </c>
      <c r="M14" s="179" t="s">
        <v>1648</v>
      </c>
      <c r="N14" s="182">
        <v>2026</v>
      </c>
      <c r="O14" s="190" t="s">
        <v>1650</v>
      </c>
      <c r="P14" s="184" t="s">
        <v>1650</v>
      </c>
      <c r="Q14" s="184" t="s">
        <v>1650</v>
      </c>
      <c r="R14" s="191" t="s">
        <v>1651</v>
      </c>
      <c r="S14" s="191" t="s">
        <v>1651</v>
      </c>
      <c r="T14" s="184" t="s">
        <v>1651</v>
      </c>
      <c r="U14" s="184" t="s">
        <v>1650</v>
      </c>
      <c r="V14" s="192" t="s">
        <v>793</v>
      </c>
      <c r="W14" s="184" t="s">
        <v>1650</v>
      </c>
      <c r="X14" s="184" t="s">
        <v>1651</v>
      </c>
      <c r="Y14" s="184" t="s">
        <v>1650</v>
      </c>
      <c r="Z14" s="194">
        <v>45052</v>
      </c>
      <c r="AA14" s="198" t="s">
        <v>1667</v>
      </c>
      <c r="AB14" s="195" t="s">
        <v>1664</v>
      </c>
      <c r="AC14" s="196" t="s">
        <v>1651</v>
      </c>
    </row>
    <row r="15" spans="1:56">
      <c r="A15" s="178">
        <v>2</v>
      </c>
      <c r="B15" s="179" t="s">
        <v>350</v>
      </c>
      <c r="C15" s="179" t="s">
        <v>1668</v>
      </c>
      <c r="D15" s="179" t="s">
        <v>1669</v>
      </c>
      <c r="E15" s="179">
        <v>149.63999999999999</v>
      </c>
      <c r="F15" s="180">
        <v>1384</v>
      </c>
      <c r="G15" s="180">
        <v>3.79</v>
      </c>
      <c r="H15" s="181">
        <v>4.0999999999999996</v>
      </c>
      <c r="I15" s="181">
        <v>3.7</v>
      </c>
      <c r="J15" s="180">
        <v>207.10176000000001</v>
      </c>
      <c r="K15" s="179" t="s">
        <v>1465</v>
      </c>
      <c r="L15" s="179" t="s">
        <v>1647</v>
      </c>
      <c r="M15" s="179" t="s">
        <v>1648</v>
      </c>
      <c r="N15" s="182">
        <v>2026</v>
      </c>
      <c r="O15" s="190" t="s">
        <v>1650</v>
      </c>
      <c r="P15" s="184" t="s">
        <v>1650</v>
      </c>
      <c r="Q15" s="184" t="s">
        <v>1650</v>
      </c>
      <c r="R15" s="191" t="s">
        <v>1650</v>
      </c>
      <c r="S15" s="191" t="s">
        <v>1650</v>
      </c>
      <c r="T15" s="184" t="s">
        <v>1650</v>
      </c>
      <c r="U15" s="184" t="s">
        <v>1650</v>
      </c>
      <c r="V15" s="192" t="s">
        <v>793</v>
      </c>
      <c r="W15" s="184" t="s">
        <v>1650</v>
      </c>
      <c r="X15" s="184" t="s">
        <v>1651</v>
      </c>
      <c r="Y15" s="184" t="s">
        <v>1650</v>
      </c>
      <c r="Z15" s="194">
        <v>45513</v>
      </c>
      <c r="AA15" s="194">
        <v>46142</v>
      </c>
      <c r="AB15" s="195" t="s">
        <v>1670</v>
      </c>
      <c r="AC15" s="196" t="s">
        <v>1651</v>
      </c>
    </row>
    <row r="16" spans="1:56">
      <c r="A16" s="201">
        <v>9</v>
      </c>
      <c r="B16" s="202" t="s">
        <v>426</v>
      </c>
      <c r="C16" s="202" t="s">
        <v>426</v>
      </c>
      <c r="D16" s="202" t="s">
        <v>1671</v>
      </c>
      <c r="E16" s="202">
        <v>899.25</v>
      </c>
      <c r="F16" s="180">
        <v>1334</v>
      </c>
      <c r="G16" s="180">
        <v>3.65</v>
      </c>
      <c r="H16" s="181">
        <v>4.0999999999999996</v>
      </c>
      <c r="I16" s="181">
        <v>3.6</v>
      </c>
      <c r="J16" s="180">
        <v>1199.5995</v>
      </c>
      <c r="K16" s="202" t="s">
        <v>1398</v>
      </c>
      <c r="L16" s="202" t="s">
        <v>1647</v>
      </c>
      <c r="M16" s="202" t="s">
        <v>1648</v>
      </c>
      <c r="N16" s="203">
        <v>2027</v>
      </c>
      <c r="O16" s="190" t="s">
        <v>1650</v>
      </c>
      <c r="P16" s="184" t="s">
        <v>1650</v>
      </c>
      <c r="Q16" s="184" t="s">
        <v>1651</v>
      </c>
      <c r="R16" s="191" t="s">
        <v>1663</v>
      </c>
      <c r="S16" s="191" t="s">
        <v>1663</v>
      </c>
      <c r="T16" s="184" t="s">
        <v>1651</v>
      </c>
      <c r="U16" s="184" t="s">
        <v>1650</v>
      </c>
      <c r="V16" s="192" t="s">
        <v>793</v>
      </c>
      <c r="W16" s="184" t="s">
        <v>1650</v>
      </c>
      <c r="X16" s="184" t="s">
        <v>1651</v>
      </c>
      <c r="Y16" s="184" t="s">
        <v>1651</v>
      </c>
      <c r="Z16" s="194">
        <v>45135</v>
      </c>
      <c r="AA16" s="194">
        <v>45808</v>
      </c>
      <c r="AB16" s="195" t="s">
        <v>1672</v>
      </c>
      <c r="AC16" s="196" t="s">
        <v>1651</v>
      </c>
    </row>
    <row r="17" spans="1:29">
      <c r="A17" s="201">
        <v>9</v>
      </c>
      <c r="B17" s="202" t="s">
        <v>432</v>
      </c>
      <c r="C17" s="202" t="s">
        <v>432</v>
      </c>
      <c r="D17" s="202" t="s">
        <v>1673</v>
      </c>
      <c r="E17" s="202">
        <v>778.26</v>
      </c>
      <c r="F17" s="180">
        <v>1334</v>
      </c>
      <c r="G17" s="180">
        <v>3.65</v>
      </c>
      <c r="H17" s="181">
        <v>4.0999999999999996</v>
      </c>
      <c r="I17" s="181">
        <v>3.6</v>
      </c>
      <c r="J17" s="180">
        <v>1038.19884</v>
      </c>
      <c r="K17" s="202" t="s">
        <v>1398</v>
      </c>
      <c r="L17" s="202" t="s">
        <v>1647</v>
      </c>
      <c r="M17" s="202" t="s">
        <v>1648</v>
      </c>
      <c r="N17" s="203">
        <v>2027</v>
      </c>
      <c r="O17" s="190" t="s">
        <v>1650</v>
      </c>
      <c r="P17" s="184" t="s">
        <v>1650</v>
      </c>
      <c r="Q17" s="184" t="s">
        <v>1651</v>
      </c>
      <c r="R17" s="191" t="s">
        <v>1663</v>
      </c>
      <c r="S17" s="191" t="s">
        <v>1663</v>
      </c>
      <c r="T17" s="184" t="s">
        <v>1651</v>
      </c>
      <c r="U17" s="184" t="s">
        <v>1650</v>
      </c>
      <c r="V17" s="192" t="s">
        <v>793</v>
      </c>
      <c r="W17" s="184" t="s">
        <v>1650</v>
      </c>
      <c r="X17" s="184" t="s">
        <v>1651</v>
      </c>
      <c r="Y17" s="184" t="s">
        <v>1651</v>
      </c>
      <c r="Z17" s="194">
        <v>45135</v>
      </c>
      <c r="AA17" s="194">
        <v>45808</v>
      </c>
      <c r="AB17" s="195" t="s">
        <v>1672</v>
      </c>
      <c r="AC17" s="196" t="s">
        <v>1651</v>
      </c>
    </row>
    <row r="18" spans="1:29">
      <c r="A18" s="201">
        <v>9</v>
      </c>
      <c r="B18" s="202" t="s">
        <v>437</v>
      </c>
      <c r="C18" s="202" t="s">
        <v>437</v>
      </c>
      <c r="D18" s="202" t="s">
        <v>1674</v>
      </c>
      <c r="E18" s="202">
        <v>499.2</v>
      </c>
      <c r="F18" s="180">
        <v>1334</v>
      </c>
      <c r="G18" s="180">
        <v>3.65</v>
      </c>
      <c r="H18" s="181">
        <v>4.0999999999999996</v>
      </c>
      <c r="I18" s="181">
        <v>3.6</v>
      </c>
      <c r="J18" s="180">
        <v>665.93280000000004</v>
      </c>
      <c r="K18" s="202" t="s">
        <v>1398</v>
      </c>
      <c r="L18" s="202" t="s">
        <v>1675</v>
      </c>
      <c r="M18" s="202" t="s">
        <v>1648</v>
      </c>
      <c r="N18" s="203">
        <v>2027</v>
      </c>
      <c r="O18" s="204" t="s">
        <v>1650</v>
      </c>
      <c r="P18" s="205" t="s">
        <v>1650</v>
      </c>
      <c r="Q18" s="205" t="s">
        <v>1651</v>
      </c>
      <c r="R18" s="205" t="s">
        <v>1663</v>
      </c>
      <c r="S18" s="205" t="s">
        <v>1663</v>
      </c>
      <c r="T18" s="205" t="s">
        <v>1651</v>
      </c>
      <c r="U18" s="205" t="s">
        <v>1650</v>
      </c>
      <c r="V18" s="206" t="s">
        <v>793</v>
      </c>
      <c r="W18" s="205" t="s">
        <v>1650</v>
      </c>
      <c r="X18" s="205" t="s">
        <v>1651</v>
      </c>
      <c r="Y18" s="205" t="s">
        <v>1651</v>
      </c>
      <c r="Z18" s="207">
        <v>45135</v>
      </c>
      <c r="AA18" s="207">
        <v>45808</v>
      </c>
      <c r="AB18" s="208" t="s">
        <v>1672</v>
      </c>
      <c r="AC18" s="209" t="s">
        <v>1651</v>
      </c>
    </row>
    <row r="19" spans="1:29">
      <c r="A19" s="178">
        <v>1</v>
      </c>
      <c r="B19" s="179" t="s">
        <v>325</v>
      </c>
      <c r="C19" s="179" t="s">
        <v>1676</v>
      </c>
      <c r="D19" s="179" t="s">
        <v>1677</v>
      </c>
      <c r="E19" s="179">
        <v>999.24</v>
      </c>
      <c r="F19" s="180">
        <v>1286</v>
      </c>
      <c r="G19" s="180">
        <v>3.52</v>
      </c>
      <c r="H19" s="181">
        <v>4.2</v>
      </c>
      <c r="I19" s="181">
        <v>3.8</v>
      </c>
      <c r="J19" s="180">
        <v>1285.0226399999999</v>
      </c>
      <c r="K19" s="179" t="s">
        <v>1398</v>
      </c>
      <c r="L19" s="179" t="s">
        <v>1647</v>
      </c>
      <c r="M19" s="179" t="s">
        <v>1648</v>
      </c>
      <c r="N19" s="182">
        <v>2025</v>
      </c>
      <c r="O19" s="183" t="s">
        <v>1650</v>
      </c>
      <c r="P19" s="185" t="s">
        <v>1650</v>
      </c>
      <c r="Q19" s="185" t="s">
        <v>1650</v>
      </c>
      <c r="R19" s="185" t="s">
        <v>1650</v>
      </c>
      <c r="S19" s="185" t="s">
        <v>1650</v>
      </c>
      <c r="T19" s="185" t="s">
        <v>1650</v>
      </c>
      <c r="U19" s="185" t="s">
        <v>1650</v>
      </c>
      <c r="V19" s="186" t="s">
        <v>793</v>
      </c>
      <c r="W19" s="185" t="s">
        <v>1650</v>
      </c>
      <c r="X19" s="185" t="s">
        <v>1651</v>
      </c>
      <c r="Y19" s="185" t="s">
        <v>1650</v>
      </c>
      <c r="Z19" s="187">
        <v>45518</v>
      </c>
      <c r="AA19" s="187">
        <v>46200</v>
      </c>
      <c r="AB19" s="188" t="s">
        <v>1678</v>
      </c>
      <c r="AC19" s="189" t="s">
        <v>1651</v>
      </c>
    </row>
    <row r="20" spans="1:29">
      <c r="A20" s="178">
        <v>2</v>
      </c>
      <c r="B20" s="179" t="s">
        <v>335</v>
      </c>
      <c r="C20" s="179" t="s">
        <v>1679</v>
      </c>
      <c r="D20" s="179" t="s">
        <v>1680</v>
      </c>
      <c r="E20" s="179">
        <v>399.04</v>
      </c>
      <c r="F20" s="180">
        <v>1424</v>
      </c>
      <c r="G20" s="180">
        <v>3.9</v>
      </c>
      <c r="H20" s="181">
        <v>4.0999999999999996</v>
      </c>
      <c r="I20" s="181">
        <v>3.6</v>
      </c>
      <c r="J20" s="180">
        <v>568.23296000000005</v>
      </c>
      <c r="K20" s="179" t="s">
        <v>1398</v>
      </c>
      <c r="L20" s="179" t="s">
        <v>1647</v>
      </c>
      <c r="M20" s="179" t="s">
        <v>1648</v>
      </c>
      <c r="N20" s="182">
        <v>2025</v>
      </c>
      <c r="O20" s="190" t="s">
        <v>1650</v>
      </c>
      <c r="P20" s="184" t="s">
        <v>1650</v>
      </c>
      <c r="Q20" s="184" t="s">
        <v>1650</v>
      </c>
      <c r="R20" s="191" t="s">
        <v>1663</v>
      </c>
      <c r="S20" s="191" t="s">
        <v>1663</v>
      </c>
      <c r="T20" s="184" t="s">
        <v>1651</v>
      </c>
      <c r="U20" s="184" t="s">
        <v>1650</v>
      </c>
      <c r="V20" s="192" t="s">
        <v>793</v>
      </c>
      <c r="W20" s="184" t="s">
        <v>1650</v>
      </c>
      <c r="X20" s="184" t="s">
        <v>1651</v>
      </c>
      <c r="Y20" s="184" t="s">
        <v>1650</v>
      </c>
      <c r="Z20" s="194">
        <v>45219</v>
      </c>
      <c r="AA20" s="194">
        <v>45868</v>
      </c>
      <c r="AB20" s="195" t="s">
        <v>1681</v>
      </c>
      <c r="AC20" s="196" t="s">
        <v>1651</v>
      </c>
    </row>
    <row r="21" spans="1:29">
      <c r="A21" s="178">
        <v>3</v>
      </c>
      <c r="B21" s="179" t="s">
        <v>365</v>
      </c>
      <c r="C21" s="179" t="s">
        <v>1498</v>
      </c>
      <c r="D21" s="179" t="s">
        <v>1682</v>
      </c>
      <c r="E21" s="179">
        <v>999.18</v>
      </c>
      <c r="F21" s="180">
        <v>1450</v>
      </c>
      <c r="G21" s="180">
        <v>3.97</v>
      </c>
      <c r="H21" s="181">
        <v>4.0999999999999996</v>
      </c>
      <c r="I21" s="181">
        <v>3.6</v>
      </c>
      <c r="J21" s="180">
        <v>1448.8109999999999</v>
      </c>
      <c r="K21" s="179" t="s">
        <v>1398</v>
      </c>
      <c r="L21" s="179" t="s">
        <v>1647</v>
      </c>
      <c r="M21" s="179" t="s">
        <v>1648</v>
      </c>
      <c r="N21" s="182">
        <v>2026</v>
      </c>
      <c r="O21" s="190" t="s">
        <v>1650</v>
      </c>
      <c r="P21" s="184" t="s">
        <v>1651</v>
      </c>
      <c r="Q21" s="184" t="s">
        <v>1650</v>
      </c>
      <c r="R21" s="191" t="s">
        <v>1651</v>
      </c>
      <c r="S21" s="191" t="s">
        <v>1663</v>
      </c>
      <c r="T21" s="184" t="s">
        <v>1651</v>
      </c>
      <c r="U21" s="184" t="s">
        <v>1650</v>
      </c>
      <c r="V21" s="192" t="s">
        <v>793</v>
      </c>
      <c r="W21" s="184" t="s">
        <v>1651</v>
      </c>
      <c r="X21" s="184" t="s">
        <v>1651</v>
      </c>
      <c r="Y21" s="184" t="s">
        <v>1650</v>
      </c>
      <c r="Z21" s="193" t="s">
        <v>307</v>
      </c>
      <c r="AA21" s="193" t="s">
        <v>307</v>
      </c>
      <c r="AB21" s="199" t="s">
        <v>1654</v>
      </c>
      <c r="AC21" s="196" t="s">
        <v>1651</v>
      </c>
    </row>
    <row r="22" spans="1:29">
      <c r="A22" s="178">
        <v>4</v>
      </c>
      <c r="B22" s="179" t="s">
        <v>373</v>
      </c>
      <c r="C22" s="179" t="s">
        <v>1502</v>
      </c>
      <c r="D22" s="179" t="s">
        <v>1683</v>
      </c>
      <c r="E22" s="179">
        <v>499.59</v>
      </c>
      <c r="F22" s="180">
        <v>1450</v>
      </c>
      <c r="G22" s="180">
        <v>3.97</v>
      </c>
      <c r="H22" s="181">
        <v>4.0999999999999996</v>
      </c>
      <c r="I22" s="181">
        <v>3.6</v>
      </c>
      <c r="J22" s="180">
        <v>724.40549999999996</v>
      </c>
      <c r="K22" s="179" t="s">
        <v>1398</v>
      </c>
      <c r="L22" s="179" t="s">
        <v>1647</v>
      </c>
      <c r="M22" s="179" t="s">
        <v>1648</v>
      </c>
      <c r="N22" s="182">
        <v>2026</v>
      </c>
      <c r="O22" s="190" t="s">
        <v>1650</v>
      </c>
      <c r="P22" s="184" t="s">
        <v>1651</v>
      </c>
      <c r="Q22" s="184" t="s">
        <v>1650</v>
      </c>
      <c r="R22" s="191" t="s">
        <v>1651</v>
      </c>
      <c r="S22" s="191" t="s">
        <v>1651</v>
      </c>
      <c r="T22" s="184" t="s">
        <v>1651</v>
      </c>
      <c r="U22" s="184" t="s">
        <v>1650</v>
      </c>
      <c r="V22" s="192" t="s">
        <v>793</v>
      </c>
      <c r="W22" s="184" t="s">
        <v>1651</v>
      </c>
      <c r="X22" s="184" t="s">
        <v>1651</v>
      </c>
      <c r="Y22" s="184" t="s">
        <v>1650</v>
      </c>
      <c r="Z22" s="193" t="s">
        <v>307</v>
      </c>
      <c r="AA22" s="193" t="s">
        <v>307</v>
      </c>
      <c r="AB22" s="199" t="s">
        <v>1654</v>
      </c>
      <c r="AC22" s="196" t="s">
        <v>1651</v>
      </c>
    </row>
    <row r="23" spans="1:29">
      <c r="A23" s="178">
        <v>5</v>
      </c>
      <c r="B23" s="179" t="s">
        <v>378</v>
      </c>
      <c r="C23" s="179" t="s">
        <v>1506</v>
      </c>
      <c r="D23" s="179" t="s">
        <v>1684</v>
      </c>
      <c r="E23" s="179">
        <v>499.96</v>
      </c>
      <c r="F23" s="180">
        <v>1448</v>
      </c>
      <c r="G23" s="180">
        <v>3.97</v>
      </c>
      <c r="H23" s="181">
        <v>4.0999999999999996</v>
      </c>
      <c r="I23" s="181">
        <v>3.6</v>
      </c>
      <c r="J23" s="180">
        <v>723.94208000000003</v>
      </c>
      <c r="K23" s="179" t="s">
        <v>1398</v>
      </c>
      <c r="L23" s="179" t="s">
        <v>1647</v>
      </c>
      <c r="M23" s="179" t="s">
        <v>1648</v>
      </c>
      <c r="N23" s="182">
        <v>2026</v>
      </c>
      <c r="O23" s="190" t="s">
        <v>1650</v>
      </c>
      <c r="P23" s="184" t="s">
        <v>1651</v>
      </c>
      <c r="Q23" s="184" t="s">
        <v>1650</v>
      </c>
      <c r="R23" s="191" t="s">
        <v>1651</v>
      </c>
      <c r="S23" s="191" t="s">
        <v>1651</v>
      </c>
      <c r="T23" s="184" t="s">
        <v>1651</v>
      </c>
      <c r="U23" s="200" t="s">
        <v>1651</v>
      </c>
      <c r="V23" s="192" t="s">
        <v>793</v>
      </c>
      <c r="W23" s="184" t="s">
        <v>1651</v>
      </c>
      <c r="X23" s="184" t="s">
        <v>1651</v>
      </c>
      <c r="Y23" s="184" t="s">
        <v>1650</v>
      </c>
      <c r="Z23" s="193" t="s">
        <v>307</v>
      </c>
      <c r="AA23" s="193" t="s">
        <v>307</v>
      </c>
      <c r="AB23" s="199" t="s">
        <v>1654</v>
      </c>
      <c r="AC23" s="196" t="s">
        <v>1651</v>
      </c>
    </row>
    <row r="24" spans="1:29">
      <c r="A24" s="178">
        <v>6</v>
      </c>
      <c r="B24" s="179" t="s">
        <v>383</v>
      </c>
      <c r="C24" s="179" t="s">
        <v>1511</v>
      </c>
      <c r="D24" s="179" t="s">
        <v>1685</v>
      </c>
      <c r="E24" s="179">
        <v>699.48</v>
      </c>
      <c r="F24" s="180">
        <v>1450</v>
      </c>
      <c r="G24" s="180">
        <v>3.97</v>
      </c>
      <c r="H24" s="181">
        <v>4.0999999999999996</v>
      </c>
      <c r="I24" s="181">
        <v>3.6</v>
      </c>
      <c r="J24" s="180">
        <v>1014.246</v>
      </c>
      <c r="K24" s="179" t="s">
        <v>1398</v>
      </c>
      <c r="L24" s="179" t="s">
        <v>1647</v>
      </c>
      <c r="M24" s="179" t="s">
        <v>1648</v>
      </c>
      <c r="N24" s="182">
        <v>2026</v>
      </c>
      <c r="O24" s="190" t="s">
        <v>1650</v>
      </c>
      <c r="P24" s="184" t="s">
        <v>1651</v>
      </c>
      <c r="Q24" s="184" t="s">
        <v>1650</v>
      </c>
      <c r="R24" s="191" t="s">
        <v>1651</v>
      </c>
      <c r="S24" s="191" t="s">
        <v>1651</v>
      </c>
      <c r="T24" s="184" t="s">
        <v>1651</v>
      </c>
      <c r="U24" s="184" t="s">
        <v>1650</v>
      </c>
      <c r="V24" s="192" t="s">
        <v>793</v>
      </c>
      <c r="W24" s="184" t="s">
        <v>1651</v>
      </c>
      <c r="X24" s="184" t="s">
        <v>1651</v>
      </c>
      <c r="Y24" s="184" t="s">
        <v>1650</v>
      </c>
      <c r="Z24" s="193" t="s">
        <v>307</v>
      </c>
      <c r="AA24" s="193" t="s">
        <v>307</v>
      </c>
      <c r="AB24" s="199" t="s">
        <v>1654</v>
      </c>
      <c r="AC24" s="196" t="s">
        <v>1651</v>
      </c>
    </row>
    <row r="25" spans="1:29">
      <c r="A25" s="178">
        <v>7</v>
      </c>
      <c r="B25" s="179" t="s">
        <v>388</v>
      </c>
      <c r="C25" s="179" t="s">
        <v>1516</v>
      </c>
      <c r="D25" s="179" t="s">
        <v>1686</v>
      </c>
      <c r="E25" s="179">
        <v>900.14</v>
      </c>
      <c r="F25" s="180">
        <v>1451</v>
      </c>
      <c r="G25" s="180">
        <v>3.98</v>
      </c>
      <c r="H25" s="181">
        <v>4.0999999999999996</v>
      </c>
      <c r="I25" s="181">
        <v>3.6</v>
      </c>
      <c r="J25" s="180">
        <v>1306.1031399999999</v>
      </c>
      <c r="K25" s="179" t="s">
        <v>1398</v>
      </c>
      <c r="L25" s="179" t="s">
        <v>1647</v>
      </c>
      <c r="M25" s="179" t="s">
        <v>1648</v>
      </c>
      <c r="N25" s="182">
        <v>2026</v>
      </c>
      <c r="O25" s="190" t="s">
        <v>1650</v>
      </c>
      <c r="P25" s="184" t="s">
        <v>1651</v>
      </c>
      <c r="Q25" s="184" t="s">
        <v>1650</v>
      </c>
      <c r="R25" s="191" t="s">
        <v>1651</v>
      </c>
      <c r="S25" s="191" t="s">
        <v>1651</v>
      </c>
      <c r="T25" s="184" t="s">
        <v>1651</v>
      </c>
      <c r="U25" s="184" t="s">
        <v>1650</v>
      </c>
      <c r="V25" s="192" t="s">
        <v>793</v>
      </c>
      <c r="W25" s="184" t="s">
        <v>1651</v>
      </c>
      <c r="X25" s="184" t="s">
        <v>1651</v>
      </c>
      <c r="Y25" s="184" t="s">
        <v>1650</v>
      </c>
      <c r="Z25" s="193" t="s">
        <v>307</v>
      </c>
      <c r="AA25" s="193" t="s">
        <v>307</v>
      </c>
      <c r="AB25" s="199" t="s">
        <v>1654</v>
      </c>
      <c r="AC25" s="196" t="s">
        <v>1651</v>
      </c>
    </row>
    <row r="26" spans="1:29">
      <c r="A26" s="178">
        <v>8</v>
      </c>
      <c r="B26" s="179" t="s">
        <v>393</v>
      </c>
      <c r="C26" s="179" t="s">
        <v>1687</v>
      </c>
      <c r="D26" s="179" t="s">
        <v>1688</v>
      </c>
      <c r="E26" s="179">
        <v>799.24</v>
      </c>
      <c r="F26" s="180">
        <v>1449</v>
      </c>
      <c r="G26" s="180">
        <v>3.97</v>
      </c>
      <c r="H26" s="181">
        <v>4.0999999999999996</v>
      </c>
      <c r="I26" s="181">
        <v>3.6</v>
      </c>
      <c r="J26" s="180">
        <v>1158.0987600000001</v>
      </c>
      <c r="K26" s="179" t="s">
        <v>1398</v>
      </c>
      <c r="L26" s="179" t="s">
        <v>1647</v>
      </c>
      <c r="M26" s="179" t="s">
        <v>1648</v>
      </c>
      <c r="N26" s="182">
        <v>2026</v>
      </c>
      <c r="O26" s="190" t="s">
        <v>1650</v>
      </c>
      <c r="P26" s="184" t="s">
        <v>1651</v>
      </c>
      <c r="Q26" s="184" t="s">
        <v>1650</v>
      </c>
      <c r="R26" s="191" t="s">
        <v>1650</v>
      </c>
      <c r="S26" s="191" t="s">
        <v>1651</v>
      </c>
      <c r="T26" s="184" t="s">
        <v>1651</v>
      </c>
      <c r="U26" s="184" t="s">
        <v>1650</v>
      </c>
      <c r="V26" s="192" t="s">
        <v>793</v>
      </c>
      <c r="W26" s="184" t="s">
        <v>1651</v>
      </c>
      <c r="X26" s="184" t="s">
        <v>1651</v>
      </c>
      <c r="Y26" s="184" t="s">
        <v>1651</v>
      </c>
      <c r="Z26" s="193" t="s">
        <v>307</v>
      </c>
      <c r="AA26" s="193" t="s">
        <v>307</v>
      </c>
      <c r="AB26" s="199" t="s">
        <v>1654</v>
      </c>
      <c r="AC26" s="196" t="s">
        <v>1651</v>
      </c>
    </row>
    <row r="27" spans="1:29">
      <c r="A27" s="178">
        <v>9</v>
      </c>
      <c r="B27" s="179" t="s">
        <v>398</v>
      </c>
      <c r="C27" s="179" t="s">
        <v>398</v>
      </c>
      <c r="D27" s="179" t="s">
        <v>1689</v>
      </c>
      <c r="E27" s="179">
        <v>499.96</v>
      </c>
      <c r="F27" s="180">
        <v>1452</v>
      </c>
      <c r="G27" s="180">
        <v>3.98</v>
      </c>
      <c r="H27" s="181">
        <v>4.0999999999999996</v>
      </c>
      <c r="I27" s="181">
        <v>3.7</v>
      </c>
      <c r="J27" s="180">
        <v>725.94191999999998</v>
      </c>
      <c r="K27" s="179" t="s">
        <v>1398</v>
      </c>
      <c r="L27" s="179" t="s">
        <v>1647</v>
      </c>
      <c r="M27" s="179" t="s">
        <v>1648</v>
      </c>
      <c r="N27" s="182">
        <v>2026</v>
      </c>
      <c r="O27" s="190" t="s">
        <v>1650</v>
      </c>
      <c r="P27" s="184" t="s">
        <v>1651</v>
      </c>
      <c r="Q27" s="184" t="s">
        <v>1650</v>
      </c>
      <c r="R27" s="191" t="s">
        <v>1651</v>
      </c>
      <c r="S27" s="191" t="s">
        <v>1651</v>
      </c>
      <c r="T27" s="184" t="s">
        <v>1651</v>
      </c>
      <c r="U27" s="200" t="s">
        <v>1651</v>
      </c>
      <c r="V27" s="192" t="s">
        <v>793</v>
      </c>
      <c r="W27" s="184" t="s">
        <v>1651</v>
      </c>
      <c r="X27" s="184" t="s">
        <v>1651</v>
      </c>
      <c r="Y27" s="184" t="s">
        <v>1651</v>
      </c>
      <c r="Z27" s="193" t="s">
        <v>307</v>
      </c>
      <c r="AA27" s="193" t="s">
        <v>307</v>
      </c>
      <c r="AB27" s="199" t="s">
        <v>1654</v>
      </c>
      <c r="AC27" s="196" t="s">
        <v>1651</v>
      </c>
    </row>
    <row r="28" spans="1:29" ht="13.5" customHeight="1">
      <c r="A28" s="2870" t="s">
        <v>1182</v>
      </c>
      <c r="B28" s="2871"/>
      <c r="C28" s="2871"/>
      <c r="D28" s="2872"/>
      <c r="E28" s="211">
        <v>6295.83</v>
      </c>
      <c r="F28" s="210" t="s">
        <v>307</v>
      </c>
      <c r="G28" s="210" t="s">
        <v>307</v>
      </c>
      <c r="H28" s="210" t="s">
        <v>307</v>
      </c>
      <c r="I28" s="210" t="s">
        <v>307</v>
      </c>
      <c r="J28" s="212" t="s">
        <v>307</v>
      </c>
      <c r="K28" s="2873" t="s">
        <v>307</v>
      </c>
      <c r="L28" s="2873"/>
      <c r="M28" s="2873"/>
      <c r="N28" s="2874"/>
      <c r="O28" s="168"/>
      <c r="P28" s="168"/>
      <c r="Q28" s="168"/>
      <c r="R28" s="168"/>
      <c r="S28" s="168"/>
      <c r="T28" s="168"/>
      <c r="U28" s="168"/>
      <c r="V28" s="168"/>
      <c r="W28" s="168"/>
      <c r="X28" s="168"/>
      <c r="Y28" s="168"/>
      <c r="Z28" s="168"/>
      <c r="AA28" s="168"/>
      <c r="AB28" s="168"/>
      <c r="AC28" s="168"/>
    </row>
    <row r="29" spans="1:29">
      <c r="A29" s="168"/>
      <c r="B29" s="168"/>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row>
    <row r="30" spans="1:29">
      <c r="A30" s="168"/>
      <c r="B30" s="168"/>
      <c r="C30" s="168"/>
      <c r="D30" s="168"/>
      <c r="E30" s="168"/>
      <c r="F30" s="168">
        <v>665932.80000000005</v>
      </c>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row>
  </sheetData>
  <mergeCells count="28">
    <mergeCell ref="P6:P7"/>
    <mergeCell ref="Q6:Q7"/>
    <mergeCell ref="A1:N1"/>
    <mergeCell ref="A6:A7"/>
    <mergeCell ref="B6:B7"/>
    <mergeCell ref="C6:C7"/>
    <mergeCell ref="D6:D7"/>
    <mergeCell ref="E6:E7"/>
    <mergeCell ref="F6:F7"/>
    <mergeCell ref="H6:I6"/>
    <mergeCell ref="J6:J7"/>
    <mergeCell ref="K6:K7"/>
    <mergeCell ref="X6:X7"/>
    <mergeCell ref="Y6:Y7"/>
    <mergeCell ref="Z6:AB6"/>
    <mergeCell ref="AC6:AC7"/>
    <mergeCell ref="A28:D28"/>
    <mergeCell ref="K28:N28"/>
    <mergeCell ref="R6:R7"/>
    <mergeCell ref="S6:S7"/>
    <mergeCell ref="T6:T7"/>
    <mergeCell ref="U6:U7"/>
    <mergeCell ref="V6:V7"/>
    <mergeCell ref="W6:W7"/>
    <mergeCell ref="L6:L7"/>
    <mergeCell ref="M6:M7"/>
    <mergeCell ref="N6:N7"/>
    <mergeCell ref="O6:O7"/>
  </mergeCells>
  <phoneticPr fontId="1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E1C13-837C-45AA-B30C-C3B44D17524E}">
  <sheetPr codeName="Sheet8">
    <tabColor theme="4" tint="0.79998168889431442"/>
  </sheetPr>
  <dimension ref="A1:BD110"/>
  <sheetViews>
    <sheetView zoomScaleNormal="100" workbookViewId="0">
      <pane xSplit="2" ySplit="2" topLeftCell="C3" activePane="bottomRight" state="frozen"/>
      <selection pane="topRight" activeCell="G1" sqref="G1"/>
      <selection pane="bottomLeft" activeCell="A3" sqref="A3"/>
      <selection pane="bottomRight" activeCell="BD21" sqref="BD21:BD29"/>
    </sheetView>
  </sheetViews>
  <sheetFormatPr defaultColWidth="14.25" defaultRowHeight="15"/>
  <cols>
    <col min="1" max="1" width="31.625" style="1" bestFit="1" customWidth="1"/>
    <col min="2" max="2" width="33" style="3" hidden="1" customWidth="1"/>
    <col min="3" max="3" width="38.375" style="3" hidden="1" customWidth="1"/>
    <col min="4" max="4" width="21.625" style="3" hidden="1" customWidth="1"/>
    <col min="5" max="5" width="14.625" style="3" hidden="1" customWidth="1"/>
    <col min="6" max="6" width="6.875" style="3" hidden="1" customWidth="1"/>
    <col min="7" max="7" width="7" style="32" hidden="1" customWidth="1"/>
    <col min="8" max="8" width="10.125" style="32" hidden="1" customWidth="1"/>
    <col min="9" max="11" width="10.375" style="4" hidden="1" customWidth="1"/>
    <col min="12" max="12" width="7.25" style="4" hidden="1" customWidth="1"/>
    <col min="13" max="13" width="10.375" style="2" hidden="1" customWidth="1"/>
    <col min="14" max="14" width="8.875" style="2" hidden="1" customWidth="1"/>
    <col min="15" max="15" width="10.625" style="3" hidden="1" customWidth="1"/>
    <col min="16" max="16" width="11" style="2" hidden="1" customWidth="1"/>
    <col min="17" max="17" width="10.375" style="4" hidden="1" customWidth="1"/>
    <col min="18" max="18" width="12.625" style="4" hidden="1" customWidth="1"/>
    <col min="19" max="19" width="12.125" style="4" hidden="1" customWidth="1"/>
    <col min="20" max="20" width="16.875" style="11" hidden="1" customWidth="1"/>
    <col min="21" max="21" width="17.375" style="2" hidden="1" customWidth="1"/>
    <col min="22" max="22" width="9.75" style="2" hidden="1" customWidth="1"/>
    <col min="23" max="23" width="10.375" style="2" hidden="1" customWidth="1"/>
    <col min="24" max="24" width="17.25" style="2" hidden="1" customWidth="1"/>
    <col min="25" max="26" width="9.375" style="2" hidden="1" customWidth="1"/>
    <col min="27" max="27" width="14.75" style="11" hidden="1" customWidth="1"/>
    <col min="28" max="28" width="11.875" style="8" hidden="1" customWidth="1"/>
    <col min="29" max="29" width="11.25" style="8" hidden="1" customWidth="1"/>
    <col min="30" max="30" width="11.375" style="8" hidden="1" customWidth="1"/>
    <col min="31" max="31" width="11.375" style="2" hidden="1" customWidth="1"/>
    <col min="32" max="32" width="11" style="12" hidden="1" customWidth="1"/>
    <col min="33" max="33" width="11.125" style="2" hidden="1" customWidth="1"/>
    <col min="34" max="34" width="10.625" style="2" hidden="1" customWidth="1"/>
    <col min="35" max="35" width="12.125" style="2" hidden="1" customWidth="1"/>
    <col min="36" max="36" width="13.25" style="2" hidden="1" customWidth="1"/>
    <col min="37" max="37" width="11.375" style="2" hidden="1" customWidth="1"/>
    <col min="38" max="38" width="9.375" style="2" hidden="1" customWidth="1"/>
    <col min="39" max="39" width="13" style="2" hidden="1" customWidth="1"/>
    <col min="40" max="40" width="29.25" style="36" hidden="1" customWidth="1"/>
    <col min="41" max="43" width="11.625" style="36" hidden="1" customWidth="1"/>
    <col min="44" max="44" width="12.375" style="36" hidden="1" customWidth="1"/>
    <col min="45" max="48" width="13.875" style="36" hidden="1" customWidth="1"/>
    <col min="49" max="49" width="8.125" style="36" hidden="1" customWidth="1"/>
    <col min="50" max="50" width="13.125" style="14" hidden="1" customWidth="1"/>
    <col min="51" max="51" width="17" style="14" hidden="1" customWidth="1"/>
    <col min="52" max="53" width="18.75" style="14" hidden="1" customWidth="1"/>
    <col min="54" max="54" width="10.375" style="14" hidden="1" customWidth="1"/>
    <col min="55" max="55" width="11.25" style="2" hidden="1" customWidth="1"/>
    <col min="56" max="56" width="104.5" style="3" customWidth="1"/>
    <col min="57" max="16384" width="14.25" style="3"/>
  </cols>
  <sheetData>
    <row r="1" spans="1:56">
      <c r="E1" s="3" t="s">
        <v>454</v>
      </c>
      <c r="L1" s="19"/>
      <c r="M1" s="53"/>
      <c r="O1" s="48" t="s">
        <v>455</v>
      </c>
      <c r="P1" s="48"/>
      <c r="Q1" s="48"/>
      <c r="R1" s="48"/>
      <c r="S1" s="48"/>
      <c r="T1" s="49"/>
      <c r="U1" s="48"/>
      <c r="V1" s="48"/>
      <c r="W1" s="48"/>
      <c r="X1" s="48"/>
      <c r="Y1" s="41" t="s">
        <v>1340</v>
      </c>
      <c r="Z1" s="42"/>
      <c r="AA1" s="43"/>
      <c r="AB1" s="42"/>
      <c r="AC1" s="42"/>
      <c r="AD1" s="42"/>
      <c r="AE1" s="42"/>
      <c r="AF1" s="44"/>
      <c r="AG1" s="24" t="s">
        <v>1341</v>
      </c>
      <c r="AH1" s="45" t="s">
        <v>458</v>
      </c>
      <c r="AI1" s="46"/>
      <c r="AJ1" s="46"/>
      <c r="AK1" s="46"/>
      <c r="AL1" s="46"/>
      <c r="AM1" s="46"/>
      <c r="AN1" s="47"/>
      <c r="AO1" s="45" t="s">
        <v>1690</v>
      </c>
      <c r="AP1" s="46"/>
      <c r="AQ1" s="46"/>
      <c r="AR1" s="46"/>
      <c r="AS1" s="46"/>
      <c r="AT1" s="46"/>
      <c r="AU1" s="46"/>
      <c r="AV1" s="46"/>
      <c r="AW1" s="47"/>
      <c r="AX1" s="45" t="s">
        <v>1343</v>
      </c>
      <c r="AY1" s="46"/>
      <c r="AZ1" s="46"/>
      <c r="BA1" s="46"/>
      <c r="BB1" s="46"/>
      <c r="BC1" s="46"/>
      <c r="BD1" s="47" t="s">
        <v>1691</v>
      </c>
    </row>
    <row r="2" spans="1:56" s="18" customFormat="1" ht="47.25">
      <c r="A2" s="16" t="s">
        <v>1692</v>
      </c>
      <c r="B2" s="16" t="s">
        <v>462</v>
      </c>
      <c r="C2" s="16" t="s">
        <v>463</v>
      </c>
      <c r="D2" s="16" t="s">
        <v>1693</v>
      </c>
      <c r="E2" s="17" t="s">
        <v>1694</v>
      </c>
      <c r="F2" s="33" t="s">
        <v>1695</v>
      </c>
      <c r="G2" s="33" t="s">
        <v>1696</v>
      </c>
      <c r="H2" s="33" t="s">
        <v>1353</v>
      </c>
      <c r="I2" s="16" t="s">
        <v>475</v>
      </c>
      <c r="J2" s="86" t="s">
        <v>1697</v>
      </c>
      <c r="K2" s="86" t="s">
        <v>477</v>
      </c>
      <c r="L2" s="50" t="s">
        <v>1698</v>
      </c>
      <c r="M2" s="16" t="s">
        <v>478</v>
      </c>
      <c r="N2" s="16" t="s">
        <v>479</v>
      </c>
      <c r="O2" s="20" t="s">
        <v>1699</v>
      </c>
      <c r="P2" s="21" t="s">
        <v>1700</v>
      </c>
      <c r="Q2" s="21" t="s">
        <v>1701</v>
      </c>
      <c r="R2" s="21" t="s">
        <v>1702</v>
      </c>
      <c r="S2" s="21" t="s">
        <v>1703</v>
      </c>
      <c r="T2" s="21" t="s">
        <v>1704</v>
      </c>
      <c r="U2" s="21" t="s">
        <v>1705</v>
      </c>
      <c r="V2" s="21" t="s">
        <v>1706</v>
      </c>
      <c r="W2" s="50" t="s">
        <v>1707</v>
      </c>
      <c r="X2" s="21" t="s">
        <v>482</v>
      </c>
      <c r="Y2" s="20" t="s">
        <v>1708</v>
      </c>
      <c r="Z2" s="21" t="s">
        <v>1709</v>
      </c>
      <c r="AA2" s="21" t="s">
        <v>1710</v>
      </c>
      <c r="AB2" s="21" t="s">
        <v>1711</v>
      </c>
      <c r="AC2" s="21" t="s">
        <v>1712</v>
      </c>
      <c r="AD2" s="21" t="s">
        <v>1713</v>
      </c>
      <c r="AE2" s="21" t="s">
        <v>1714</v>
      </c>
      <c r="AF2" s="22" t="s">
        <v>1715</v>
      </c>
      <c r="AG2" s="87" t="s">
        <v>1716</v>
      </c>
      <c r="AH2" s="88" t="s">
        <v>1717</v>
      </c>
      <c r="AI2" s="89" t="s">
        <v>1718</v>
      </c>
      <c r="AJ2" s="89" t="s">
        <v>1719</v>
      </c>
      <c r="AK2" s="38" t="s">
        <v>1720</v>
      </c>
      <c r="AL2" s="38" t="s">
        <v>1721</v>
      </c>
      <c r="AM2" s="23" t="s">
        <v>1722</v>
      </c>
      <c r="AN2" s="55" t="s">
        <v>1723</v>
      </c>
      <c r="AO2" s="34" t="s">
        <v>1724</v>
      </c>
      <c r="AP2" s="34" t="s">
        <v>1725</v>
      </c>
      <c r="AQ2" s="34" t="s">
        <v>1726</v>
      </c>
      <c r="AR2" s="34" t="s">
        <v>495</v>
      </c>
      <c r="AS2" s="51" t="s">
        <v>1727</v>
      </c>
      <c r="AT2" s="51" t="s">
        <v>1728</v>
      </c>
      <c r="AU2" s="51" t="s">
        <v>1729</v>
      </c>
      <c r="AV2" s="51" t="s">
        <v>1730</v>
      </c>
      <c r="AW2" s="51" t="s">
        <v>1731</v>
      </c>
      <c r="AX2" s="25" t="s">
        <v>1732</v>
      </c>
      <c r="AY2" s="26" t="s">
        <v>1733</v>
      </c>
      <c r="AZ2" s="27" t="s">
        <v>1734</v>
      </c>
      <c r="BA2" s="28" t="s">
        <v>1735</v>
      </c>
      <c r="BB2" s="25" t="s">
        <v>1736</v>
      </c>
      <c r="BC2" s="25" t="s">
        <v>1737</v>
      </c>
      <c r="BD2" s="22" t="s">
        <v>1738</v>
      </c>
    </row>
    <row r="3" spans="1:56" ht="18" customHeight="1">
      <c r="A3" s="84" t="s">
        <v>1739</v>
      </c>
      <c r="B3" s="67" t="s">
        <v>1408</v>
      </c>
      <c r="C3" s="75" t="s">
        <v>1740</v>
      </c>
      <c r="D3" s="5" t="s">
        <v>1393</v>
      </c>
      <c r="E3" s="56"/>
      <c r="F3" s="56"/>
      <c r="G3" s="57"/>
      <c r="H3" s="58">
        <v>45628</v>
      </c>
      <c r="I3" s="58">
        <v>45684</v>
      </c>
      <c r="J3" s="58" t="s">
        <v>1395</v>
      </c>
      <c r="K3" s="58">
        <v>45747</v>
      </c>
      <c r="L3" s="59"/>
      <c r="M3" s="58"/>
      <c r="N3" s="2">
        <v>1</v>
      </c>
      <c r="O3" s="63"/>
      <c r="P3" s="61"/>
      <c r="Q3" s="58"/>
      <c r="R3" s="58"/>
      <c r="S3" s="58"/>
      <c r="T3" s="62">
        <f>20000000*999.58</f>
        <v>19991600000</v>
      </c>
      <c r="U3" s="61">
        <v>5</v>
      </c>
      <c r="V3" s="58"/>
      <c r="W3" s="4"/>
      <c r="X3" s="2" t="s">
        <v>1410</v>
      </c>
      <c r="Y3" s="61" t="s">
        <v>1397</v>
      </c>
      <c r="Z3" s="61" t="s">
        <v>1397</v>
      </c>
      <c r="AA3" s="6">
        <f>(AF3/3.305)*AB3*1.8</f>
        <v>342166864.00847208</v>
      </c>
      <c r="AB3" s="7">
        <f>11500*3.3058*1.8</f>
        <v>68430.060000000012</v>
      </c>
      <c r="AC3" s="8">
        <v>20000000</v>
      </c>
      <c r="AD3" s="7">
        <f t="shared" ref="AD3:AD14" si="0">AC3/AF3*3.3058</f>
        <v>7201.3941836401264</v>
      </c>
      <c r="AE3" s="2" t="s">
        <v>1398</v>
      </c>
      <c r="AF3" s="12">
        <v>9181</v>
      </c>
      <c r="AG3" s="61" t="s">
        <v>1399</v>
      </c>
      <c r="AH3" s="61" t="s">
        <v>1399</v>
      </c>
      <c r="AI3" s="61" t="s">
        <v>1399</v>
      </c>
      <c r="AJ3" s="61" t="s">
        <v>1399</v>
      </c>
      <c r="AK3" s="61" t="s">
        <v>1399</v>
      </c>
      <c r="AL3" s="61" t="s">
        <v>1401</v>
      </c>
      <c r="AM3" s="61" t="s">
        <v>1402</v>
      </c>
      <c r="AN3" s="64" t="s">
        <v>1403</v>
      </c>
      <c r="AO3" s="64"/>
      <c r="AP3" s="64"/>
      <c r="AQ3" s="64"/>
      <c r="AR3" s="64"/>
      <c r="AS3" s="64"/>
      <c r="AT3" s="64"/>
      <c r="AU3" s="65"/>
      <c r="AV3" s="64"/>
      <c r="AW3" s="64"/>
      <c r="AX3" s="56"/>
      <c r="AY3" s="85">
        <f>3.6*365*999.58*0.98</f>
        <v>1287179.1576</v>
      </c>
      <c r="AZ3" s="2" t="s">
        <v>1405</v>
      </c>
      <c r="BA3" s="2" t="s">
        <v>1405</v>
      </c>
      <c r="BB3" s="2"/>
      <c r="BC3" s="2" t="s">
        <v>1406</v>
      </c>
      <c r="BD3" s="2891" t="s">
        <v>1741</v>
      </c>
    </row>
    <row r="4" spans="1:56" ht="18" customHeight="1">
      <c r="A4" s="84" t="s">
        <v>1742</v>
      </c>
      <c r="B4" s="67" t="s">
        <v>1408</v>
      </c>
      <c r="C4" s="66" t="s">
        <v>1743</v>
      </c>
      <c r="D4" s="5" t="s">
        <v>1393</v>
      </c>
      <c r="E4" s="56"/>
      <c r="F4" s="56"/>
      <c r="G4" s="57"/>
      <c r="H4" s="58">
        <v>45628</v>
      </c>
      <c r="I4" s="58">
        <v>45684</v>
      </c>
      <c r="J4" s="58" t="s">
        <v>1395</v>
      </c>
      <c r="K4" s="58">
        <v>45747</v>
      </c>
      <c r="L4" s="59"/>
      <c r="M4" s="58"/>
      <c r="N4" s="2">
        <v>1</v>
      </c>
      <c r="O4" s="63"/>
      <c r="P4" s="61"/>
      <c r="Q4" s="58"/>
      <c r="R4" s="58"/>
      <c r="S4" s="58"/>
      <c r="T4" s="62">
        <f>20000000*999.58</f>
        <v>19991600000</v>
      </c>
      <c r="U4" s="61">
        <v>5</v>
      </c>
      <c r="V4" s="58"/>
      <c r="W4" s="4"/>
      <c r="X4" s="2" t="s">
        <v>1410</v>
      </c>
      <c r="Y4" s="61" t="s">
        <v>1397</v>
      </c>
      <c r="Z4" s="61" t="s">
        <v>1397</v>
      </c>
      <c r="AA4" s="6">
        <f>(AF4/3.305)*AB4*1.8</f>
        <v>350962352.50711048</v>
      </c>
      <c r="AB4" s="7">
        <f>11500*3.3058*1.8</f>
        <v>68430.060000000012</v>
      </c>
      <c r="AC4" s="8">
        <v>20000000</v>
      </c>
      <c r="AD4" s="7">
        <f t="shared" si="0"/>
        <v>7020.9196134650092</v>
      </c>
      <c r="AE4" s="2" t="s">
        <v>1398</v>
      </c>
      <c r="AF4" s="12">
        <v>9417</v>
      </c>
      <c r="AG4" s="61" t="s">
        <v>1399</v>
      </c>
      <c r="AH4" s="61" t="s">
        <v>1399</v>
      </c>
      <c r="AI4" s="61" t="s">
        <v>1399</v>
      </c>
      <c r="AJ4" s="61" t="s">
        <v>1399</v>
      </c>
      <c r="AK4" s="61" t="s">
        <v>1399</v>
      </c>
      <c r="AL4" s="61" t="s">
        <v>1401</v>
      </c>
      <c r="AM4" s="61" t="s">
        <v>1402</v>
      </c>
      <c r="AN4" s="64" t="s">
        <v>1411</v>
      </c>
      <c r="AO4" s="64"/>
      <c r="AP4" s="64"/>
      <c r="AQ4" s="64"/>
      <c r="AR4" s="64"/>
      <c r="AS4" s="64"/>
      <c r="AT4" s="64"/>
      <c r="AU4" s="65"/>
      <c r="AV4" s="64"/>
      <c r="AW4" s="64"/>
      <c r="AX4" s="56"/>
      <c r="AY4" s="85">
        <f>3.6*365*999.58*0.98</f>
        <v>1287179.1576</v>
      </c>
      <c r="AZ4" s="2" t="s">
        <v>1405</v>
      </c>
      <c r="BA4" s="2" t="s">
        <v>1405</v>
      </c>
      <c r="BB4" s="2"/>
      <c r="BC4" s="2" t="s">
        <v>1406</v>
      </c>
      <c r="BD4" s="2892"/>
    </row>
    <row r="5" spans="1:56" ht="18" customHeight="1">
      <c r="A5" s="84" t="s">
        <v>1744</v>
      </c>
      <c r="B5" s="67" t="s">
        <v>1745</v>
      </c>
      <c r="C5" s="66" t="s">
        <v>1746</v>
      </c>
      <c r="D5" s="5" t="s">
        <v>1414</v>
      </c>
      <c r="E5" s="56"/>
      <c r="F5" s="56"/>
      <c r="G5" s="57"/>
      <c r="H5" s="58">
        <v>45628</v>
      </c>
      <c r="I5" s="58">
        <v>45684</v>
      </c>
      <c r="J5" s="58" t="s">
        <v>1395</v>
      </c>
      <c r="K5" s="58">
        <v>45747</v>
      </c>
      <c r="L5" s="59"/>
      <c r="M5" s="58"/>
      <c r="N5" s="2">
        <v>1</v>
      </c>
      <c r="O5" s="63"/>
      <c r="P5" s="61"/>
      <c r="Q5" s="58"/>
      <c r="R5" s="58"/>
      <c r="S5" s="58"/>
      <c r="T5" s="62">
        <f>20000000*999.6</f>
        <v>19992000000</v>
      </c>
      <c r="U5" s="61">
        <v>5</v>
      </c>
      <c r="V5" s="58"/>
      <c r="W5" s="4"/>
      <c r="X5" s="2" t="s">
        <v>1410</v>
      </c>
      <c r="Y5" s="61" t="s">
        <v>1397</v>
      </c>
      <c r="Z5" s="61" t="s">
        <v>1397</v>
      </c>
      <c r="AA5" s="6">
        <f t="shared" ref="AA5:AA14" si="1">(AF5/3.305)*AB5*1.8</f>
        <v>339105943.2689864</v>
      </c>
      <c r="AB5" s="7">
        <f>13000*3.3058*1.8</f>
        <v>77355.72</v>
      </c>
      <c r="AC5" s="8">
        <v>20000000</v>
      </c>
      <c r="AD5" s="7">
        <f t="shared" si="0"/>
        <v>8214.1880979003599</v>
      </c>
      <c r="AE5" s="2" t="s">
        <v>1415</v>
      </c>
      <c r="AF5" s="12">
        <v>8049</v>
      </c>
      <c r="AG5" s="61" t="s">
        <v>1399</v>
      </c>
      <c r="AH5" s="61" t="s">
        <v>1399</v>
      </c>
      <c r="AI5" s="61" t="s">
        <v>1399</v>
      </c>
      <c r="AJ5" s="61" t="s">
        <v>1399</v>
      </c>
      <c r="AK5" s="61" t="s">
        <v>1399</v>
      </c>
      <c r="AL5" s="61" t="s">
        <v>1401</v>
      </c>
      <c r="AM5" s="61" t="s">
        <v>1402</v>
      </c>
      <c r="AN5" s="64" t="s">
        <v>1411</v>
      </c>
      <c r="AO5" s="64"/>
      <c r="AP5" s="64"/>
      <c r="AQ5" s="64"/>
      <c r="AR5" s="64"/>
      <c r="AS5" s="64"/>
      <c r="AT5" s="64"/>
      <c r="AU5" s="65"/>
      <c r="AV5" s="64"/>
      <c r="AW5" s="64"/>
      <c r="AX5" s="56"/>
      <c r="AY5" s="85">
        <f t="shared" ref="AY5:AY6" si="2">3.6*365*999.24*0.98</f>
        <v>1286741.3328</v>
      </c>
      <c r="AZ5" s="2" t="s">
        <v>1405</v>
      </c>
      <c r="BA5" s="2" t="s">
        <v>1405</v>
      </c>
      <c r="BB5" s="2"/>
      <c r="BC5" s="2" t="s">
        <v>1406</v>
      </c>
      <c r="BD5" s="2892"/>
    </row>
    <row r="6" spans="1:56" ht="18" customHeight="1">
      <c r="A6" s="84" t="s">
        <v>1747</v>
      </c>
      <c r="B6" s="67" t="s">
        <v>1745</v>
      </c>
      <c r="C6" s="66" t="s">
        <v>1746</v>
      </c>
      <c r="D6" s="5" t="s">
        <v>1414</v>
      </c>
      <c r="E6" s="56"/>
      <c r="F6" s="56"/>
      <c r="G6" s="57"/>
      <c r="H6" s="58">
        <v>45628</v>
      </c>
      <c r="I6" s="58">
        <v>45684</v>
      </c>
      <c r="J6" s="58" t="s">
        <v>1395</v>
      </c>
      <c r="K6" s="58">
        <v>45747</v>
      </c>
      <c r="L6" s="59"/>
      <c r="M6" s="58"/>
      <c r="N6" s="2">
        <v>1</v>
      </c>
      <c r="O6" s="63"/>
      <c r="P6" s="61"/>
      <c r="Q6" s="58"/>
      <c r="R6" s="58"/>
      <c r="S6" s="58"/>
      <c r="T6" s="62">
        <f>20000000*999.6</f>
        <v>19992000000</v>
      </c>
      <c r="U6" s="61">
        <v>5</v>
      </c>
      <c r="V6" s="58"/>
      <c r="W6" s="4"/>
      <c r="X6" s="2" t="s">
        <v>1410</v>
      </c>
      <c r="Y6" s="61" t="s">
        <v>1397</v>
      </c>
      <c r="Z6" s="61" t="s">
        <v>1397</v>
      </c>
      <c r="AA6" s="6">
        <f t="shared" si="1"/>
        <v>358527963.37670195</v>
      </c>
      <c r="AB6" s="7">
        <f>13000*3.3058*1.8</f>
        <v>77355.72</v>
      </c>
      <c r="AC6" s="8">
        <v>20000000</v>
      </c>
      <c r="AD6" s="7">
        <f t="shared" si="0"/>
        <v>7769.212690951822</v>
      </c>
      <c r="AE6" s="2" t="s">
        <v>1415</v>
      </c>
      <c r="AF6" s="12">
        <v>8510</v>
      </c>
      <c r="AG6" s="61" t="s">
        <v>1399</v>
      </c>
      <c r="AH6" s="61" t="s">
        <v>1399</v>
      </c>
      <c r="AI6" s="61" t="s">
        <v>1399</v>
      </c>
      <c r="AJ6" s="61" t="s">
        <v>1399</v>
      </c>
      <c r="AK6" s="61" t="s">
        <v>1399</v>
      </c>
      <c r="AL6" s="61" t="s">
        <v>1401</v>
      </c>
      <c r="AM6" s="61" t="s">
        <v>1402</v>
      </c>
      <c r="AN6" s="64" t="s">
        <v>1411</v>
      </c>
      <c r="AO6" s="64"/>
      <c r="AP6" s="64"/>
      <c r="AQ6" s="64"/>
      <c r="AR6" s="64"/>
      <c r="AS6" s="64"/>
      <c r="AT6" s="64"/>
      <c r="AU6" s="65"/>
      <c r="AV6" s="64"/>
      <c r="AW6" s="64"/>
      <c r="AX6" s="56"/>
      <c r="AY6" s="85">
        <f t="shared" si="2"/>
        <v>1286741.3328</v>
      </c>
      <c r="AZ6" s="2" t="s">
        <v>1405</v>
      </c>
      <c r="BA6" s="2" t="s">
        <v>1405</v>
      </c>
      <c r="BB6" s="2"/>
      <c r="BC6" s="2" t="s">
        <v>1406</v>
      </c>
      <c r="BD6" s="2892"/>
    </row>
    <row r="7" spans="1:56" ht="18" customHeight="1">
      <c r="A7" s="84" t="s">
        <v>1748</v>
      </c>
      <c r="B7" s="67" t="s">
        <v>1424</v>
      </c>
      <c r="C7" s="66" t="s">
        <v>1749</v>
      </c>
      <c r="D7" s="5" t="s">
        <v>1419</v>
      </c>
      <c r="E7" s="56"/>
      <c r="F7" s="56"/>
      <c r="G7" s="57"/>
      <c r="H7" s="58">
        <v>45628</v>
      </c>
      <c r="I7" s="58">
        <v>45684</v>
      </c>
      <c r="J7" s="58" t="s">
        <v>1395</v>
      </c>
      <c r="K7" s="58">
        <v>45747</v>
      </c>
      <c r="L7" s="59"/>
      <c r="M7" s="58"/>
      <c r="N7" s="2">
        <v>1</v>
      </c>
      <c r="O7" s="63"/>
      <c r="P7" s="61"/>
      <c r="Q7" s="58"/>
      <c r="R7" s="58"/>
      <c r="S7" s="58"/>
      <c r="T7" s="62">
        <f>20000000*999.24</f>
        <v>19984800000</v>
      </c>
      <c r="U7" s="61">
        <v>5</v>
      </c>
      <c r="V7" s="58"/>
      <c r="W7" s="4"/>
      <c r="X7" s="2" t="s">
        <v>1410</v>
      </c>
      <c r="Y7" s="61" t="s">
        <v>1397</v>
      </c>
      <c r="Z7" s="61" t="s">
        <v>1397</v>
      </c>
      <c r="AA7" s="6">
        <f t="shared" si="1"/>
        <v>479091392.79532832</v>
      </c>
      <c r="AB7" s="7">
        <f>18110*3.3058*1.8</f>
        <v>107762.4684</v>
      </c>
      <c r="AC7" s="8">
        <v>20000000</v>
      </c>
      <c r="AD7" s="7">
        <f t="shared" si="0"/>
        <v>8099.4732328800683</v>
      </c>
      <c r="AE7" s="2" t="s">
        <v>1415</v>
      </c>
      <c r="AF7" s="12">
        <v>8163</v>
      </c>
      <c r="AG7" s="61" t="s">
        <v>1399</v>
      </c>
      <c r="AH7" s="61" t="s">
        <v>1399</v>
      </c>
      <c r="AI7" s="61" t="s">
        <v>1399</v>
      </c>
      <c r="AJ7" s="61" t="s">
        <v>1399</v>
      </c>
      <c r="AK7" s="61" t="s">
        <v>1399</v>
      </c>
      <c r="AL7" s="61" t="s">
        <v>1401</v>
      </c>
      <c r="AM7" s="61" t="s">
        <v>1402</v>
      </c>
      <c r="AN7" s="64" t="s">
        <v>1411</v>
      </c>
      <c r="AO7" s="64"/>
      <c r="AP7" s="64"/>
      <c r="AQ7" s="64"/>
      <c r="AR7" s="64"/>
      <c r="AS7" s="64"/>
      <c r="AT7" s="64"/>
      <c r="AU7" s="65"/>
      <c r="AV7" s="64"/>
      <c r="AW7" s="64"/>
      <c r="AX7" s="56"/>
      <c r="AY7" s="85">
        <f>3.6*365*999.24*0.98</f>
        <v>1286741.3328</v>
      </c>
      <c r="AZ7" s="2" t="s">
        <v>1423</v>
      </c>
      <c r="BA7" s="2" t="s">
        <v>1423</v>
      </c>
      <c r="BB7" s="2"/>
      <c r="BC7" s="2" t="s">
        <v>1406</v>
      </c>
      <c r="BD7" s="2892"/>
    </row>
    <row r="8" spans="1:56" ht="18" customHeight="1">
      <c r="A8" s="84" t="s">
        <v>1750</v>
      </c>
      <c r="B8" s="67" t="s">
        <v>1424</v>
      </c>
      <c r="C8" s="73" t="s">
        <v>1751</v>
      </c>
      <c r="D8" s="5" t="s">
        <v>1419</v>
      </c>
      <c r="E8" s="56"/>
      <c r="F8" s="56"/>
      <c r="G8" s="57"/>
      <c r="H8" s="58">
        <v>45628</v>
      </c>
      <c r="I8" s="58">
        <v>45684</v>
      </c>
      <c r="J8" s="58" t="s">
        <v>1395</v>
      </c>
      <c r="K8" s="58">
        <v>45747</v>
      </c>
      <c r="L8" s="59"/>
      <c r="M8" s="58"/>
      <c r="N8" s="2">
        <v>1</v>
      </c>
      <c r="O8" s="63"/>
      <c r="P8" s="61"/>
      <c r="Q8" s="58"/>
      <c r="R8" s="58"/>
      <c r="S8" s="58"/>
      <c r="T8" s="62">
        <f>20000000*999.24</f>
        <v>19984800000</v>
      </c>
      <c r="U8" s="61">
        <v>5</v>
      </c>
      <c r="V8" s="58"/>
      <c r="W8" s="4"/>
      <c r="X8" s="2" t="s">
        <v>1410</v>
      </c>
      <c r="Y8" s="61" t="s">
        <v>1397</v>
      </c>
      <c r="Z8" s="61" t="s">
        <v>1397</v>
      </c>
      <c r="AA8" s="6">
        <f t="shared" si="1"/>
        <v>458549681.72361875</v>
      </c>
      <c r="AB8" s="7">
        <f>18110*3.3058*1.8</f>
        <v>107762.4684</v>
      </c>
      <c r="AC8" s="8">
        <v>20000000</v>
      </c>
      <c r="AD8" s="7">
        <f t="shared" si="0"/>
        <v>8462.3064123896074</v>
      </c>
      <c r="AE8" s="2" t="s">
        <v>1415</v>
      </c>
      <c r="AF8" s="12">
        <v>7813</v>
      </c>
      <c r="AG8" s="61" t="s">
        <v>1399</v>
      </c>
      <c r="AH8" s="61" t="s">
        <v>1399</v>
      </c>
      <c r="AI8" s="61" t="s">
        <v>1399</v>
      </c>
      <c r="AJ8" s="61" t="s">
        <v>1399</v>
      </c>
      <c r="AK8" s="61" t="s">
        <v>1399</v>
      </c>
      <c r="AL8" s="61" t="s">
        <v>1401</v>
      </c>
      <c r="AM8" s="61" t="s">
        <v>1402</v>
      </c>
      <c r="AN8" s="64" t="s">
        <v>1411</v>
      </c>
      <c r="AO8" s="64"/>
      <c r="AP8" s="64"/>
      <c r="AQ8" s="64"/>
      <c r="AR8" s="64"/>
      <c r="AS8" s="64"/>
      <c r="AT8" s="64"/>
      <c r="AU8" s="65"/>
      <c r="AV8" s="64"/>
      <c r="AW8" s="64"/>
      <c r="AX8" s="56"/>
      <c r="AY8" s="85">
        <f>3.6*365*999.24*0.98</f>
        <v>1286741.3328</v>
      </c>
      <c r="AZ8" s="2" t="s">
        <v>1427</v>
      </c>
      <c r="BA8" s="2" t="s">
        <v>1427</v>
      </c>
      <c r="BB8" s="2"/>
      <c r="BC8" s="2" t="s">
        <v>1406</v>
      </c>
      <c r="BD8" s="2892"/>
    </row>
    <row r="9" spans="1:56" ht="18" customHeight="1">
      <c r="A9" s="84" t="s">
        <v>1752</v>
      </c>
      <c r="B9" s="67" t="s">
        <v>1753</v>
      </c>
      <c r="C9" s="74" t="s">
        <v>1754</v>
      </c>
      <c r="D9" s="5" t="s">
        <v>1430</v>
      </c>
      <c r="E9" s="56"/>
      <c r="F9" s="56"/>
      <c r="G9" s="57"/>
      <c r="H9" s="58">
        <v>45628</v>
      </c>
      <c r="I9" s="58">
        <v>45684</v>
      </c>
      <c r="J9" s="58" t="s">
        <v>1395</v>
      </c>
      <c r="K9" s="58">
        <v>45747</v>
      </c>
      <c r="L9" s="59"/>
      <c r="M9" s="58"/>
      <c r="N9" s="2">
        <v>1</v>
      </c>
      <c r="O9" s="63"/>
      <c r="P9" s="61"/>
      <c r="Q9" s="58"/>
      <c r="R9" s="58"/>
      <c r="S9" s="58"/>
      <c r="T9" s="62">
        <f>20000000*999.44</f>
        <v>19988800000</v>
      </c>
      <c r="U9" s="61">
        <v>5</v>
      </c>
      <c r="V9" s="58"/>
      <c r="W9" s="4"/>
      <c r="X9" s="2" t="s">
        <v>1410</v>
      </c>
      <c r="Y9" s="61" t="s">
        <v>1397</v>
      </c>
      <c r="Z9" s="61" t="s">
        <v>1397</v>
      </c>
      <c r="AA9" s="6">
        <f t="shared" si="1"/>
        <v>209528337.22943419</v>
      </c>
      <c r="AB9" s="7">
        <f>7510*3.3058*1.8</f>
        <v>44687.804400000001</v>
      </c>
      <c r="AC9" s="8">
        <v>20000000</v>
      </c>
      <c r="AD9" s="7">
        <f t="shared" si="0"/>
        <v>7679.8699035892678</v>
      </c>
      <c r="AE9" s="2" t="s">
        <v>1415</v>
      </c>
      <c r="AF9" s="12">
        <v>8609</v>
      </c>
      <c r="AG9" s="61" t="s">
        <v>1399</v>
      </c>
      <c r="AH9" s="61" t="s">
        <v>1399</v>
      </c>
      <c r="AI9" s="61" t="s">
        <v>1399</v>
      </c>
      <c r="AJ9" s="61" t="s">
        <v>1399</v>
      </c>
      <c r="AK9" s="61" t="s">
        <v>1399</v>
      </c>
      <c r="AL9" s="61" t="s">
        <v>1401</v>
      </c>
      <c r="AM9" s="61" t="s">
        <v>1402</v>
      </c>
      <c r="AN9" s="64" t="s">
        <v>1411</v>
      </c>
      <c r="AO9" s="64"/>
      <c r="AP9" s="64"/>
      <c r="AQ9" s="64"/>
      <c r="AR9" s="64"/>
      <c r="AS9" s="64"/>
      <c r="AT9" s="64"/>
      <c r="AU9" s="65"/>
      <c r="AV9" s="64"/>
      <c r="AW9" s="64"/>
      <c r="AX9" s="56"/>
      <c r="AY9" s="85">
        <f>3.6*365*999.44*0.98</f>
        <v>1286998.8768000002</v>
      </c>
      <c r="AZ9" s="2" t="s">
        <v>1433</v>
      </c>
      <c r="BA9" s="2" t="s">
        <v>1433</v>
      </c>
      <c r="BB9" s="2"/>
      <c r="BC9" s="2" t="s">
        <v>1406</v>
      </c>
      <c r="BD9" s="2892"/>
    </row>
    <row r="10" spans="1:56" s="161" customFormat="1" ht="18" customHeight="1">
      <c r="A10" s="149" t="s">
        <v>1755</v>
      </c>
      <c r="B10" s="150" t="s">
        <v>1756</v>
      </c>
      <c r="C10" s="162" t="s">
        <v>1757</v>
      </c>
      <c r="D10" s="271" t="s">
        <v>1436</v>
      </c>
      <c r="E10" s="160"/>
      <c r="F10" s="160"/>
      <c r="G10" s="290"/>
      <c r="H10" s="291">
        <v>45628</v>
      </c>
      <c r="I10" s="291">
        <v>45684</v>
      </c>
      <c r="J10" s="291" t="s">
        <v>1395</v>
      </c>
      <c r="K10" s="291">
        <v>45747</v>
      </c>
      <c r="L10" s="292"/>
      <c r="M10" s="291"/>
      <c r="N10" s="293">
        <v>1</v>
      </c>
      <c r="O10" s="294"/>
      <c r="P10" s="295"/>
      <c r="Q10" s="291"/>
      <c r="R10" s="291"/>
      <c r="S10" s="291"/>
      <c r="T10" s="270">
        <f>20000000*999.24</f>
        <v>19984800000</v>
      </c>
      <c r="U10" s="295">
        <v>5</v>
      </c>
      <c r="V10" s="291"/>
      <c r="W10" s="296"/>
      <c r="X10" s="293" t="s">
        <v>1410</v>
      </c>
      <c r="Y10" s="295" t="s">
        <v>1397</v>
      </c>
      <c r="Z10" s="295" t="s">
        <v>1397</v>
      </c>
      <c r="AA10" s="297">
        <f t="shared" si="1"/>
        <v>219818507.83951586</v>
      </c>
      <c r="AB10" s="298">
        <f>7800*3.3058*1.8</f>
        <v>46413.432000000001</v>
      </c>
      <c r="AC10" s="299">
        <v>20000000</v>
      </c>
      <c r="AD10" s="298">
        <f t="shared" si="0"/>
        <v>7603.0358785648577</v>
      </c>
      <c r="AE10" s="293" t="s">
        <v>1415</v>
      </c>
      <c r="AF10" s="300">
        <f>385+8311</f>
        <v>8696</v>
      </c>
      <c r="AG10" s="295" t="s">
        <v>1399</v>
      </c>
      <c r="AH10" s="295" t="s">
        <v>1399</v>
      </c>
      <c r="AI10" s="295" t="s">
        <v>1399</v>
      </c>
      <c r="AJ10" s="295" t="s">
        <v>1399</v>
      </c>
      <c r="AK10" s="295" t="s">
        <v>1399</v>
      </c>
      <c r="AL10" s="295" t="s">
        <v>1401</v>
      </c>
      <c r="AM10" s="295" t="s">
        <v>1402</v>
      </c>
      <c r="AN10" s="158" t="s">
        <v>1411</v>
      </c>
      <c r="AO10" s="158"/>
      <c r="AP10" s="158"/>
      <c r="AQ10" s="158"/>
      <c r="AR10" s="158"/>
      <c r="AS10" s="158"/>
      <c r="AT10" s="158"/>
      <c r="AU10" s="159"/>
      <c r="AV10" s="158"/>
      <c r="AW10" s="158"/>
      <c r="AX10" s="160"/>
      <c r="AY10" s="301">
        <f>3.6*365*999.44*0.98</f>
        <v>1286998.8768000002</v>
      </c>
      <c r="AZ10" s="293" t="s">
        <v>1439</v>
      </c>
      <c r="BA10" s="293" t="s">
        <v>1439</v>
      </c>
      <c r="BB10" s="293"/>
      <c r="BC10" s="293" t="s">
        <v>1406</v>
      </c>
      <c r="BD10" s="2893"/>
    </row>
    <row r="11" spans="1:56" ht="18" customHeight="1">
      <c r="A11" s="84" t="s">
        <v>165</v>
      </c>
      <c r="B11" s="67" t="s">
        <v>1758</v>
      </c>
      <c r="C11" s="74" t="s">
        <v>1759</v>
      </c>
      <c r="D11" s="5" t="s">
        <v>1760</v>
      </c>
      <c r="E11" s="56"/>
      <c r="F11" s="56"/>
      <c r="G11" s="57"/>
      <c r="H11" s="58" t="s">
        <v>742</v>
      </c>
      <c r="I11" s="58" t="s">
        <v>742</v>
      </c>
      <c r="J11" s="58"/>
      <c r="K11" s="58"/>
      <c r="L11" s="59"/>
      <c r="M11" s="58"/>
      <c r="N11" s="2">
        <v>1</v>
      </c>
      <c r="O11" s="63"/>
      <c r="P11" s="61"/>
      <c r="Q11" s="58"/>
      <c r="R11" s="58"/>
      <c r="S11" s="58"/>
      <c r="T11" s="62">
        <f>20000000*700</f>
        <v>14000000000</v>
      </c>
      <c r="U11" s="61"/>
      <c r="V11" s="58"/>
      <c r="W11" s="4"/>
      <c r="X11" s="2" t="s">
        <v>1469</v>
      </c>
      <c r="Y11" s="61" t="s">
        <v>515</v>
      </c>
      <c r="Z11" s="61" t="s">
        <v>515</v>
      </c>
      <c r="AA11" s="6">
        <f>(AF11/3.305)*AB11*1.8</f>
        <v>423979620.20637828</v>
      </c>
      <c r="AB11" s="7">
        <f>20480*3.3058*1.8</f>
        <v>121865.01120000001</v>
      </c>
      <c r="AC11" s="8">
        <v>20000000</v>
      </c>
      <c r="AD11" s="7">
        <f>AC11/AF11*3.3058</f>
        <v>10350.031308703819</v>
      </c>
      <c r="AE11" s="2" t="s">
        <v>1398</v>
      </c>
      <c r="AF11" s="12">
        <v>6388</v>
      </c>
      <c r="AG11" s="61" t="s">
        <v>1399</v>
      </c>
      <c r="AH11" s="61" t="s">
        <v>1399</v>
      </c>
      <c r="AI11" s="61" t="s">
        <v>1399</v>
      </c>
      <c r="AJ11" s="61"/>
      <c r="AK11" s="61" t="s">
        <v>1399</v>
      </c>
      <c r="AL11" s="61" t="s">
        <v>1401</v>
      </c>
      <c r="AM11" s="61" t="s">
        <v>1402</v>
      </c>
      <c r="AN11" s="64"/>
      <c r="AO11" s="64"/>
      <c r="AP11" s="64"/>
      <c r="AQ11" s="64"/>
      <c r="AR11" s="64"/>
      <c r="AS11" s="64"/>
      <c r="AT11" s="64"/>
      <c r="AU11" s="65"/>
      <c r="AV11" s="64"/>
      <c r="AW11" s="64"/>
      <c r="AX11" s="56"/>
      <c r="AY11" s="85">
        <f>3.6*365*700*0.98</f>
        <v>901404</v>
      </c>
      <c r="AZ11" s="2" t="s">
        <v>1446</v>
      </c>
      <c r="BA11" s="2" t="s">
        <v>1446</v>
      </c>
      <c r="BB11" s="2"/>
      <c r="BC11" s="2" t="s">
        <v>1406</v>
      </c>
      <c r="BD11" s="67"/>
    </row>
    <row r="12" spans="1:56" ht="18" customHeight="1">
      <c r="A12" s="84" t="s">
        <v>166</v>
      </c>
      <c r="B12" s="67" t="s">
        <v>1758</v>
      </c>
      <c r="C12" s="74" t="s">
        <v>1761</v>
      </c>
      <c r="D12" s="5" t="s">
        <v>1762</v>
      </c>
      <c r="E12" s="56"/>
      <c r="F12" s="56"/>
      <c r="G12" s="57"/>
      <c r="H12" s="58" t="s">
        <v>742</v>
      </c>
      <c r="I12" s="58" t="s">
        <v>742</v>
      </c>
      <c r="J12" s="58"/>
      <c r="K12" s="58"/>
      <c r="L12" s="59"/>
      <c r="M12" s="58"/>
      <c r="N12" s="2">
        <v>1</v>
      </c>
      <c r="O12" s="63"/>
      <c r="P12" s="61"/>
      <c r="Q12" s="58"/>
      <c r="R12" s="58"/>
      <c r="S12" s="58"/>
      <c r="T12" s="62">
        <f>20000000*399.04</f>
        <v>7980800000</v>
      </c>
      <c r="U12" s="61"/>
      <c r="V12" s="58"/>
      <c r="W12" s="4"/>
      <c r="X12" s="2" t="s">
        <v>574</v>
      </c>
      <c r="Y12" s="61" t="s">
        <v>515</v>
      </c>
      <c r="Z12" s="61" t="s">
        <v>515</v>
      </c>
      <c r="AA12" s="6">
        <f t="shared" si="1"/>
        <v>112565659.96712859</v>
      </c>
      <c r="AB12" s="7">
        <f>8480*3.3058*1.8</f>
        <v>50459.731200000002</v>
      </c>
      <c r="AC12" s="8">
        <v>20000000</v>
      </c>
      <c r="AD12" s="7">
        <f t="shared" si="0"/>
        <v>16141.6015625</v>
      </c>
      <c r="AE12" s="2" t="s">
        <v>1398</v>
      </c>
      <c r="AF12" s="12">
        <v>4096</v>
      </c>
      <c r="AG12" s="61" t="s">
        <v>1399</v>
      </c>
      <c r="AH12" s="61" t="s">
        <v>1399</v>
      </c>
      <c r="AI12" s="61" t="s">
        <v>1399</v>
      </c>
      <c r="AJ12" s="61"/>
      <c r="AK12" s="61" t="s">
        <v>1399</v>
      </c>
      <c r="AL12" s="61" t="s">
        <v>1401</v>
      </c>
      <c r="AM12" s="61" t="s">
        <v>1402</v>
      </c>
      <c r="AN12" s="64"/>
      <c r="AO12" s="64"/>
      <c r="AP12" s="64"/>
      <c r="AQ12" s="64"/>
      <c r="AR12" s="64"/>
      <c r="AS12" s="64"/>
      <c r="AT12" s="64"/>
      <c r="AU12" s="65"/>
      <c r="AV12" s="64"/>
      <c r="AW12" s="64"/>
      <c r="AX12" s="56"/>
      <c r="AY12" s="85">
        <f>3.6*365*399.04*0.98</f>
        <v>513851.78880000004</v>
      </c>
      <c r="AZ12" s="2" t="s">
        <v>1452</v>
      </c>
      <c r="BA12" s="2" t="s">
        <v>1452</v>
      </c>
      <c r="BB12" s="2"/>
      <c r="BC12" s="2" t="s">
        <v>1406</v>
      </c>
      <c r="BD12" s="67"/>
    </row>
    <row r="13" spans="1:56" ht="14.25" customHeight="1">
      <c r="A13" s="84" t="s">
        <v>167</v>
      </c>
      <c r="B13" s="67" t="s">
        <v>1758</v>
      </c>
      <c r="C13" s="74" t="s">
        <v>1763</v>
      </c>
      <c r="D13" s="5" t="s">
        <v>1764</v>
      </c>
      <c r="E13" s="56"/>
      <c r="F13" s="56"/>
      <c r="G13" s="57"/>
      <c r="H13" s="58" t="s">
        <v>742</v>
      </c>
      <c r="I13" s="58" t="s">
        <v>742</v>
      </c>
      <c r="J13" s="58"/>
      <c r="K13" s="58"/>
      <c r="L13" s="59"/>
      <c r="M13" s="58"/>
      <c r="N13" s="2">
        <v>1</v>
      </c>
      <c r="O13" s="63"/>
      <c r="P13" s="61"/>
      <c r="Q13" s="58"/>
      <c r="R13" s="58"/>
      <c r="S13" s="58"/>
      <c r="T13" s="62">
        <f>20000000*499.96</f>
        <v>9999200000</v>
      </c>
      <c r="U13" s="61"/>
      <c r="V13" s="58"/>
      <c r="X13" s="2" t="s">
        <v>841</v>
      </c>
      <c r="Y13" s="61" t="s">
        <v>515</v>
      </c>
      <c r="Z13" s="61" t="s">
        <v>515</v>
      </c>
      <c r="AA13" s="6">
        <f>(AF13/3.305)*AB13*1.8</f>
        <v>114439222.16714068</v>
      </c>
      <c r="AB13" s="7">
        <f>7700*3.3058*1.8</f>
        <v>45818.387999999999</v>
      </c>
      <c r="AC13" s="8">
        <v>20000000</v>
      </c>
      <c r="AD13" s="7">
        <f>AC13/AF13*3.3058</f>
        <v>14416.921064108154</v>
      </c>
      <c r="AE13" s="2" t="s">
        <v>1398</v>
      </c>
      <c r="AF13" s="12">
        <v>4586</v>
      </c>
      <c r="AG13" s="61" t="s">
        <v>1399</v>
      </c>
      <c r="AH13" s="61" t="s">
        <v>1399</v>
      </c>
      <c r="AI13" s="61" t="s">
        <v>1399</v>
      </c>
      <c r="AJ13" s="61"/>
      <c r="AK13" s="61" t="s">
        <v>1399</v>
      </c>
      <c r="AL13" s="61" t="s">
        <v>1401</v>
      </c>
      <c r="AM13" s="61" t="s">
        <v>1402</v>
      </c>
      <c r="AN13" s="64"/>
      <c r="AO13" s="64"/>
      <c r="AP13" s="64"/>
      <c r="AQ13" s="64"/>
      <c r="AR13" s="64"/>
      <c r="AS13" s="64"/>
      <c r="AT13" s="64"/>
      <c r="AU13" s="65"/>
      <c r="AV13" s="64"/>
      <c r="AW13" s="64"/>
      <c r="AX13" s="56"/>
      <c r="AY13" s="85">
        <f>3.6*365*499.96*0.98</f>
        <v>643808.49119999993</v>
      </c>
      <c r="AZ13" s="2" t="s">
        <v>1458</v>
      </c>
      <c r="BA13" s="2" t="s">
        <v>1458</v>
      </c>
      <c r="BC13" s="2" t="s">
        <v>1406</v>
      </c>
      <c r="BD13" s="67"/>
    </row>
    <row r="14" spans="1:56">
      <c r="A14" s="84" t="s">
        <v>168</v>
      </c>
      <c r="B14" s="67" t="s">
        <v>1758</v>
      </c>
      <c r="C14" s="74" t="s">
        <v>1765</v>
      </c>
      <c r="D14" s="5" t="s">
        <v>1766</v>
      </c>
      <c r="E14" s="56"/>
      <c r="F14" s="56"/>
      <c r="G14" s="57"/>
      <c r="H14" s="58" t="s">
        <v>742</v>
      </c>
      <c r="I14" s="58" t="s">
        <v>742</v>
      </c>
      <c r="J14" s="58"/>
      <c r="K14" s="58"/>
      <c r="L14" s="59"/>
      <c r="M14" s="58"/>
      <c r="N14" s="2">
        <v>4</v>
      </c>
      <c r="O14" s="63"/>
      <c r="P14" s="61"/>
      <c r="Q14" s="58"/>
      <c r="R14" s="58"/>
      <c r="S14" s="58"/>
      <c r="T14" s="62">
        <f>20000000*3974.4</f>
        <v>79488000000</v>
      </c>
      <c r="U14" s="61"/>
      <c r="V14" s="58"/>
      <c r="X14" s="2" t="s">
        <v>531</v>
      </c>
      <c r="Y14" s="61" t="s">
        <v>515</v>
      </c>
      <c r="Z14" s="61" t="s">
        <v>515</v>
      </c>
      <c r="AA14" s="6">
        <f t="shared" si="1"/>
        <v>99766461.214968845</v>
      </c>
      <c r="AB14" s="7">
        <f>1298*3.3058*1.8</f>
        <v>7723.67112</v>
      </c>
      <c r="AC14" s="8">
        <v>20000000</v>
      </c>
      <c r="AD14" s="7">
        <f t="shared" si="0"/>
        <v>2787.7050217143819</v>
      </c>
      <c r="AE14" s="2" t="s">
        <v>1398</v>
      </c>
      <c r="AF14" s="12">
        <v>23717</v>
      </c>
      <c r="AG14" s="61" t="s">
        <v>1399</v>
      </c>
      <c r="AH14" s="61" t="s">
        <v>1399</v>
      </c>
      <c r="AI14" s="61" t="s">
        <v>1399</v>
      </c>
      <c r="AJ14" s="61"/>
      <c r="AK14" s="61" t="s">
        <v>1399</v>
      </c>
      <c r="AL14" s="61" t="s">
        <v>1401</v>
      </c>
      <c r="AM14" s="61" t="s">
        <v>1402</v>
      </c>
      <c r="AN14" s="64"/>
      <c r="AO14" s="64"/>
      <c r="AP14" s="64"/>
      <c r="AQ14" s="64"/>
      <c r="AR14" s="64"/>
      <c r="AS14" s="64"/>
      <c r="AT14" s="64"/>
      <c r="AU14" s="65"/>
      <c r="AV14" s="64"/>
      <c r="AW14" s="64"/>
      <c r="AX14" s="56"/>
      <c r="AY14" s="85">
        <f>3.6*365*3974.4*0.98</f>
        <v>5117914.3680000007</v>
      </c>
      <c r="AZ14" s="2" t="s">
        <v>1767</v>
      </c>
      <c r="BA14" s="2" t="s">
        <v>1767</v>
      </c>
      <c r="BC14" s="2" t="s">
        <v>1406</v>
      </c>
      <c r="BD14" s="67"/>
    </row>
    <row r="15" spans="1:56">
      <c r="A15" s="84" t="s">
        <v>162</v>
      </c>
      <c r="B15" s="67" t="s">
        <v>1459</v>
      </c>
      <c r="C15" s="74" t="s">
        <v>1768</v>
      </c>
      <c r="D15" s="5" t="s">
        <v>1769</v>
      </c>
      <c r="E15" s="56"/>
      <c r="F15" s="56"/>
      <c r="G15" s="57"/>
      <c r="H15" s="58" t="s">
        <v>742</v>
      </c>
      <c r="I15" s="58" t="s">
        <v>742</v>
      </c>
      <c r="J15" s="58"/>
      <c r="K15" s="58"/>
      <c r="L15" s="59"/>
      <c r="M15" s="58"/>
      <c r="N15" s="2">
        <v>3</v>
      </c>
      <c r="O15" s="63"/>
      <c r="P15" s="61"/>
      <c r="Q15" s="58"/>
      <c r="R15" s="58"/>
      <c r="S15" s="58"/>
      <c r="T15" s="62">
        <f>20000000*2176.71</f>
        <v>43534200000</v>
      </c>
      <c r="U15" s="61"/>
      <c r="V15" s="58"/>
      <c r="X15" s="2" t="s">
        <v>531</v>
      </c>
      <c r="Y15" s="61" t="s">
        <v>515</v>
      </c>
      <c r="Z15" s="61" t="s">
        <v>515</v>
      </c>
      <c r="AA15" s="6">
        <f>(AF15/3.305)*AB15*1.8</f>
        <v>293220067.73707712</v>
      </c>
      <c r="AB15" s="7">
        <f>3361*3.3058*1.8</f>
        <v>19999.42884</v>
      </c>
      <c r="AC15" s="8">
        <v>20000000</v>
      </c>
      <c r="AD15" s="7">
        <f>AC15/AF15*3.3058</f>
        <v>2456.0178306092125</v>
      </c>
      <c r="AE15" s="2" t="s">
        <v>1398</v>
      </c>
      <c r="AF15" s="12">
        <v>26920</v>
      </c>
      <c r="AG15" s="61" t="s">
        <v>1399</v>
      </c>
      <c r="AH15" s="61" t="s">
        <v>1399</v>
      </c>
      <c r="AI15" s="61" t="s">
        <v>1399</v>
      </c>
      <c r="AJ15" s="61"/>
      <c r="AK15" s="61" t="s">
        <v>1399</v>
      </c>
      <c r="AL15" s="61" t="s">
        <v>1401</v>
      </c>
      <c r="AM15" s="61" t="s">
        <v>1402</v>
      </c>
      <c r="AN15" s="64"/>
      <c r="AO15" s="64"/>
      <c r="AP15" s="64"/>
      <c r="AQ15" s="64"/>
      <c r="AR15" s="64"/>
      <c r="AS15" s="64"/>
      <c r="AT15" s="64"/>
      <c r="AU15" s="65"/>
      <c r="AV15" s="64"/>
      <c r="AW15" s="64"/>
      <c r="AX15" s="56"/>
      <c r="AY15" s="85">
        <f>3.6*365*2176.71*0.98</f>
        <v>2802993.0011999998</v>
      </c>
      <c r="AZ15" s="2" t="s">
        <v>1770</v>
      </c>
      <c r="BA15" s="2" t="s">
        <v>1770</v>
      </c>
      <c r="BC15" s="2" t="s">
        <v>1406</v>
      </c>
      <c r="BD15" s="67"/>
    </row>
    <row r="16" spans="1:56">
      <c r="A16" s="84" t="s">
        <v>164</v>
      </c>
      <c r="B16" s="67" t="s">
        <v>1466</v>
      </c>
      <c r="C16" s="74"/>
      <c r="D16" s="5"/>
      <c r="E16" s="56"/>
      <c r="F16" s="56"/>
      <c r="G16" s="57"/>
      <c r="H16" s="58"/>
      <c r="I16" s="58"/>
      <c r="J16" s="58"/>
      <c r="K16" s="58"/>
      <c r="L16" s="59"/>
      <c r="M16" s="58"/>
      <c r="O16" s="63"/>
      <c r="P16" s="61"/>
      <c r="Q16" s="58"/>
      <c r="R16" s="58"/>
      <c r="S16" s="58"/>
      <c r="T16" s="62"/>
      <c r="U16" s="61"/>
      <c r="V16" s="58"/>
      <c r="Y16" s="61"/>
      <c r="Z16" s="61"/>
      <c r="AA16" s="6"/>
      <c r="AB16" s="7"/>
      <c r="AD16" s="7"/>
      <c r="AG16" s="61"/>
      <c r="AH16" s="61"/>
      <c r="AI16" s="61"/>
      <c r="AJ16" s="61"/>
      <c r="AK16" s="61"/>
      <c r="AL16" s="61"/>
      <c r="AM16" s="61"/>
      <c r="AN16" s="64"/>
      <c r="AO16" s="64"/>
      <c r="AP16" s="64"/>
      <c r="AQ16" s="64"/>
      <c r="AR16" s="64"/>
      <c r="AS16" s="64"/>
      <c r="AT16" s="64"/>
      <c r="AU16" s="65"/>
      <c r="AV16" s="64"/>
      <c r="AW16" s="64"/>
      <c r="AX16" s="56"/>
      <c r="AY16" s="85"/>
      <c r="AZ16" s="2"/>
      <c r="BA16" s="2"/>
      <c r="BD16" s="67"/>
    </row>
    <row r="17" spans="1:56">
      <c r="A17" s="84" t="s">
        <v>161</v>
      </c>
      <c r="B17" s="67" t="s">
        <v>1453</v>
      </c>
      <c r="C17" s="74"/>
      <c r="D17" s="5"/>
      <c r="E17" s="56"/>
      <c r="F17" s="56"/>
      <c r="G17" s="57"/>
      <c r="H17" s="58"/>
      <c r="I17" s="58"/>
      <c r="J17" s="58"/>
      <c r="K17" s="58"/>
      <c r="L17" s="59"/>
      <c r="M17" s="58"/>
      <c r="O17" s="63"/>
      <c r="P17" s="61"/>
      <c r="Q17" s="58"/>
      <c r="R17" s="58"/>
      <c r="S17" s="58"/>
      <c r="T17" s="62"/>
      <c r="U17" s="61"/>
      <c r="V17" s="58"/>
      <c r="Y17" s="61"/>
      <c r="Z17" s="61"/>
      <c r="AA17" s="6"/>
      <c r="AB17" s="7"/>
      <c r="AD17" s="7"/>
      <c r="AG17" s="61"/>
      <c r="AH17" s="61"/>
      <c r="AI17" s="61"/>
      <c r="AJ17" s="61"/>
      <c r="AK17" s="61"/>
      <c r="AL17" s="61"/>
      <c r="AM17" s="61"/>
      <c r="AN17" s="64"/>
      <c r="AO17" s="64"/>
      <c r="AP17" s="64"/>
      <c r="AQ17" s="64"/>
      <c r="AR17" s="64"/>
      <c r="AS17" s="64"/>
      <c r="AT17" s="64"/>
      <c r="AU17" s="65"/>
      <c r="AV17" s="64"/>
      <c r="AW17" s="64"/>
      <c r="AX17" s="56"/>
      <c r="AY17" s="85"/>
      <c r="AZ17" s="2"/>
      <c r="BA17" s="2"/>
      <c r="BD17" s="67"/>
    </row>
    <row r="18" spans="1:56">
      <c r="A18" s="84" t="s">
        <v>163</v>
      </c>
      <c r="B18" s="67" t="s">
        <v>1463</v>
      </c>
      <c r="C18" s="74"/>
      <c r="D18" s="5"/>
      <c r="E18" s="56"/>
      <c r="F18" s="56"/>
      <c r="G18" s="57"/>
      <c r="H18" s="58"/>
      <c r="I18" s="58"/>
      <c r="J18" s="58"/>
      <c r="K18" s="58"/>
      <c r="L18" s="59"/>
      <c r="M18" s="58"/>
      <c r="O18" s="63"/>
      <c r="P18" s="61"/>
      <c r="Q18" s="58"/>
      <c r="R18" s="58"/>
      <c r="S18" s="58"/>
      <c r="T18" s="62"/>
      <c r="U18" s="61"/>
      <c r="V18" s="58"/>
      <c r="Y18" s="61"/>
      <c r="Z18" s="61"/>
      <c r="AA18" s="6"/>
      <c r="AB18" s="7"/>
      <c r="AD18" s="7"/>
      <c r="AG18" s="61"/>
      <c r="AH18" s="61"/>
      <c r="AI18" s="61"/>
      <c r="AJ18" s="61"/>
      <c r="AK18" s="61"/>
      <c r="AL18" s="61"/>
      <c r="AM18" s="61"/>
      <c r="AN18" s="64"/>
      <c r="AO18" s="64"/>
      <c r="AP18" s="64"/>
      <c r="AQ18" s="64"/>
      <c r="AR18" s="64"/>
      <c r="AS18" s="64"/>
      <c r="AT18" s="64"/>
      <c r="AU18" s="65"/>
      <c r="AV18" s="64"/>
      <c r="AW18" s="64"/>
      <c r="AX18" s="56"/>
      <c r="AY18" s="85"/>
      <c r="AZ18" s="2"/>
      <c r="BA18" s="2"/>
      <c r="BD18" s="67"/>
    </row>
    <row r="19" spans="1:56">
      <c r="A19" s="84" t="s">
        <v>159</v>
      </c>
      <c r="B19" s="67" t="s">
        <v>1771</v>
      </c>
      <c r="C19" s="74"/>
      <c r="D19" s="5"/>
      <c r="E19" s="56"/>
      <c r="F19" s="56"/>
      <c r="G19" s="57"/>
      <c r="H19" s="58"/>
      <c r="I19" s="58"/>
      <c r="J19" s="58"/>
      <c r="K19" s="58"/>
      <c r="L19" s="59"/>
      <c r="M19" s="58"/>
      <c r="O19" s="63"/>
      <c r="P19" s="61"/>
      <c r="Q19" s="58"/>
      <c r="R19" s="58"/>
      <c r="S19" s="58"/>
      <c r="T19" s="62"/>
      <c r="U19" s="61"/>
      <c r="V19" s="58"/>
      <c r="Y19" s="61"/>
      <c r="Z19" s="61"/>
      <c r="AA19" s="6"/>
      <c r="AB19" s="7"/>
      <c r="AD19" s="7"/>
      <c r="AG19" s="61"/>
      <c r="AH19" s="61"/>
      <c r="AI19" s="61"/>
      <c r="AJ19" s="61"/>
      <c r="AK19" s="61"/>
      <c r="AL19" s="61"/>
      <c r="AM19" s="61"/>
      <c r="AN19" s="64"/>
      <c r="AO19" s="64"/>
      <c r="AP19" s="64"/>
      <c r="AQ19" s="64"/>
      <c r="AR19" s="64"/>
      <c r="AS19" s="64"/>
      <c r="AT19" s="64"/>
      <c r="AU19" s="65"/>
      <c r="AV19" s="64"/>
      <c r="AW19" s="64"/>
      <c r="AX19" s="56"/>
      <c r="AY19" s="85"/>
      <c r="AZ19" s="2"/>
      <c r="BA19" s="2"/>
      <c r="BD19" s="67"/>
    </row>
    <row r="20" spans="1:56" s="161" customFormat="1">
      <c r="A20" s="149" t="s">
        <v>160</v>
      </c>
      <c r="B20" s="150" t="s">
        <v>1448</v>
      </c>
      <c r="C20" s="162"/>
      <c r="D20" s="271"/>
      <c r="E20" s="160"/>
      <c r="F20" s="160"/>
      <c r="G20" s="290"/>
      <c r="H20" s="291"/>
      <c r="I20" s="291"/>
      <c r="J20" s="291"/>
      <c r="K20" s="291"/>
      <c r="L20" s="292"/>
      <c r="M20" s="291"/>
      <c r="N20" s="293"/>
      <c r="O20" s="294"/>
      <c r="P20" s="295"/>
      <c r="Q20" s="291"/>
      <c r="R20" s="291"/>
      <c r="S20" s="291"/>
      <c r="T20" s="270"/>
      <c r="U20" s="295"/>
      <c r="V20" s="291"/>
      <c r="W20" s="293"/>
      <c r="X20" s="293"/>
      <c r="Y20" s="295"/>
      <c r="Z20" s="295"/>
      <c r="AA20" s="297"/>
      <c r="AB20" s="298"/>
      <c r="AC20" s="299"/>
      <c r="AD20" s="298"/>
      <c r="AE20" s="293"/>
      <c r="AF20" s="300"/>
      <c r="AG20" s="295"/>
      <c r="AH20" s="295"/>
      <c r="AI20" s="295"/>
      <c r="AJ20" s="295"/>
      <c r="AK20" s="295"/>
      <c r="AL20" s="295"/>
      <c r="AM20" s="295"/>
      <c r="AN20" s="158"/>
      <c r="AO20" s="158"/>
      <c r="AP20" s="158"/>
      <c r="AQ20" s="158"/>
      <c r="AR20" s="158"/>
      <c r="AS20" s="158"/>
      <c r="AT20" s="158"/>
      <c r="AU20" s="159"/>
      <c r="AV20" s="158"/>
      <c r="AW20" s="158"/>
      <c r="AX20" s="160"/>
      <c r="AY20" s="301"/>
      <c r="AZ20" s="293"/>
      <c r="BA20" s="293"/>
      <c r="BB20" s="302"/>
      <c r="BC20" s="293"/>
      <c r="BD20" s="150"/>
    </row>
    <row r="21" spans="1:56" ht="15" customHeight="1">
      <c r="A21" s="480" t="s">
        <v>1772</v>
      </c>
      <c r="B21" s="481" t="s">
        <v>1532</v>
      </c>
      <c r="C21" s="482"/>
      <c r="D21" s="482"/>
      <c r="E21" s="482"/>
      <c r="F21" s="482"/>
      <c r="G21" s="483"/>
      <c r="H21" s="483"/>
      <c r="I21" s="484"/>
      <c r="J21" s="484"/>
      <c r="K21" s="484"/>
      <c r="L21" s="484"/>
      <c r="M21" s="485"/>
      <c r="N21" s="485"/>
      <c r="O21" s="482"/>
      <c r="P21" s="485"/>
      <c r="Q21" s="485"/>
      <c r="R21" s="484"/>
      <c r="S21" s="484"/>
      <c r="T21" s="486"/>
      <c r="U21" s="485"/>
      <c r="V21" s="485"/>
      <c r="W21" s="485"/>
      <c r="X21" s="485"/>
      <c r="Y21" s="485"/>
      <c r="Z21" s="485"/>
      <c r="AA21" s="486"/>
      <c r="AB21" s="487"/>
      <c r="AC21" s="487"/>
      <c r="AD21" s="487"/>
      <c r="AE21" s="485"/>
      <c r="AF21" s="488"/>
      <c r="AG21" s="485"/>
      <c r="AH21" s="485"/>
      <c r="AI21" s="485"/>
      <c r="AJ21" s="485"/>
      <c r="AK21" s="485"/>
      <c r="AL21" s="485"/>
      <c r="AM21" s="485"/>
      <c r="AN21" s="489"/>
      <c r="AO21" s="489"/>
      <c r="AP21" s="489"/>
      <c r="AQ21" s="489"/>
      <c r="AR21" s="489"/>
      <c r="AS21" s="489"/>
      <c r="AT21" s="489"/>
      <c r="AU21" s="489"/>
      <c r="AV21" s="489"/>
      <c r="AW21" s="489"/>
      <c r="AX21" s="490"/>
      <c r="AY21" s="490"/>
      <c r="AZ21" s="490"/>
      <c r="BA21" s="490"/>
      <c r="BB21" s="490"/>
      <c r="BC21" s="485"/>
      <c r="BD21" s="2890" t="s">
        <v>1773</v>
      </c>
    </row>
    <row r="22" spans="1:56">
      <c r="A22" s="480" t="s">
        <v>1774</v>
      </c>
      <c r="B22" s="481" t="s">
        <v>1532</v>
      </c>
      <c r="C22" s="482"/>
      <c r="D22" s="482"/>
      <c r="E22" s="482"/>
      <c r="F22" s="482"/>
      <c r="G22" s="483"/>
      <c r="H22" s="483"/>
      <c r="I22" s="484"/>
      <c r="J22" s="484"/>
      <c r="K22" s="484"/>
      <c r="L22" s="484"/>
      <c r="M22" s="485"/>
      <c r="N22" s="485"/>
      <c r="O22" s="482"/>
      <c r="P22" s="485"/>
      <c r="Q22" s="485"/>
      <c r="R22" s="484"/>
      <c r="S22" s="484"/>
      <c r="T22" s="486"/>
      <c r="U22" s="485"/>
      <c r="V22" s="485"/>
      <c r="W22" s="485"/>
      <c r="X22" s="485"/>
      <c r="Y22" s="485"/>
      <c r="Z22" s="485"/>
      <c r="AA22" s="486"/>
      <c r="AB22" s="487"/>
      <c r="AC22" s="487"/>
      <c r="AD22" s="487"/>
      <c r="AE22" s="485"/>
      <c r="AF22" s="488"/>
      <c r="AG22" s="485"/>
      <c r="AH22" s="485"/>
      <c r="AI22" s="485"/>
      <c r="AJ22" s="485"/>
      <c r="AK22" s="485"/>
      <c r="AL22" s="485"/>
      <c r="AM22" s="485"/>
      <c r="AN22" s="489"/>
      <c r="AO22" s="489"/>
      <c r="AP22" s="489"/>
      <c r="AQ22" s="489"/>
      <c r="AR22" s="489"/>
      <c r="AS22" s="489"/>
      <c r="AT22" s="489"/>
      <c r="AU22" s="489"/>
      <c r="AV22" s="489"/>
      <c r="AW22" s="489"/>
      <c r="AX22" s="490"/>
      <c r="AY22" s="490"/>
      <c r="AZ22" s="490"/>
      <c r="BA22" s="490"/>
      <c r="BB22" s="490"/>
      <c r="BC22" s="485"/>
      <c r="BD22" s="2890"/>
    </row>
    <row r="23" spans="1:56">
      <c r="A23" s="480" t="s">
        <v>1775</v>
      </c>
      <c r="B23" s="481" t="s">
        <v>1532</v>
      </c>
      <c r="C23" s="482"/>
      <c r="D23" s="482"/>
      <c r="E23" s="482"/>
      <c r="F23" s="482"/>
      <c r="G23" s="483"/>
      <c r="H23" s="483"/>
      <c r="I23" s="484"/>
      <c r="J23" s="484"/>
      <c r="K23" s="484"/>
      <c r="L23" s="484"/>
      <c r="M23" s="485"/>
      <c r="N23" s="485"/>
      <c r="O23" s="482"/>
      <c r="P23" s="485"/>
      <c r="Q23" s="485"/>
      <c r="R23" s="484"/>
      <c r="S23" s="484"/>
      <c r="T23" s="486"/>
      <c r="U23" s="485"/>
      <c r="V23" s="485"/>
      <c r="W23" s="485"/>
      <c r="X23" s="485"/>
      <c r="Y23" s="485"/>
      <c r="Z23" s="485"/>
      <c r="AA23" s="486"/>
      <c r="AB23" s="487"/>
      <c r="AC23" s="487"/>
      <c r="AD23" s="487"/>
      <c r="AE23" s="485"/>
      <c r="AF23" s="488"/>
      <c r="AG23" s="485"/>
      <c r="AH23" s="485"/>
      <c r="AI23" s="485"/>
      <c r="AJ23" s="485"/>
      <c r="AK23" s="485"/>
      <c r="AL23" s="485"/>
      <c r="AM23" s="485"/>
      <c r="AN23" s="489"/>
      <c r="AO23" s="489"/>
      <c r="AP23" s="489"/>
      <c r="AQ23" s="489"/>
      <c r="AR23" s="489"/>
      <c r="AS23" s="489"/>
      <c r="AT23" s="489"/>
      <c r="AU23" s="489"/>
      <c r="AV23" s="489"/>
      <c r="AW23" s="489"/>
      <c r="AX23" s="490"/>
      <c r="AY23" s="490"/>
      <c r="AZ23" s="490"/>
      <c r="BA23" s="490"/>
      <c r="BB23" s="490"/>
      <c r="BC23" s="485"/>
      <c r="BD23" s="2890"/>
    </row>
    <row r="24" spans="1:56">
      <c r="A24" s="480" t="s">
        <v>1776</v>
      </c>
      <c r="B24" s="481" t="s">
        <v>1532</v>
      </c>
      <c r="C24" s="482"/>
      <c r="D24" s="482"/>
      <c r="E24" s="482"/>
      <c r="F24" s="482"/>
      <c r="G24" s="483"/>
      <c r="H24" s="483"/>
      <c r="I24" s="484"/>
      <c r="J24" s="484"/>
      <c r="K24" s="484"/>
      <c r="L24" s="484"/>
      <c r="M24" s="485"/>
      <c r="N24" s="485"/>
      <c r="O24" s="482"/>
      <c r="P24" s="485"/>
      <c r="Q24" s="485"/>
      <c r="R24" s="484"/>
      <c r="S24" s="484"/>
      <c r="T24" s="486"/>
      <c r="U24" s="485"/>
      <c r="V24" s="485"/>
      <c r="W24" s="485"/>
      <c r="X24" s="485"/>
      <c r="Y24" s="485"/>
      <c r="Z24" s="485"/>
      <c r="AA24" s="486"/>
      <c r="AB24" s="487"/>
      <c r="AC24" s="487"/>
      <c r="AD24" s="487"/>
      <c r="AE24" s="485"/>
      <c r="AF24" s="488"/>
      <c r="AG24" s="485"/>
      <c r="AH24" s="485"/>
      <c r="AI24" s="485"/>
      <c r="AJ24" s="485"/>
      <c r="AK24" s="485"/>
      <c r="AL24" s="485"/>
      <c r="AM24" s="485"/>
      <c r="AN24" s="489"/>
      <c r="AO24" s="489"/>
      <c r="AP24" s="489"/>
      <c r="AQ24" s="489"/>
      <c r="AR24" s="489"/>
      <c r="AS24" s="489"/>
      <c r="AT24" s="489"/>
      <c r="AU24" s="489"/>
      <c r="AV24" s="489"/>
      <c r="AW24" s="489"/>
      <c r="AX24" s="490"/>
      <c r="AY24" s="490"/>
      <c r="AZ24" s="490"/>
      <c r="BA24" s="490"/>
      <c r="BB24" s="490"/>
      <c r="BC24" s="485"/>
      <c r="BD24" s="2890"/>
    </row>
    <row r="25" spans="1:56">
      <c r="A25" s="480" t="s">
        <v>1777</v>
      </c>
      <c r="B25" s="481" t="s">
        <v>1532</v>
      </c>
      <c r="C25" s="482"/>
      <c r="D25" s="482"/>
      <c r="E25" s="482"/>
      <c r="F25" s="482"/>
      <c r="G25" s="483"/>
      <c r="H25" s="483"/>
      <c r="I25" s="484"/>
      <c r="J25" s="484"/>
      <c r="K25" s="484"/>
      <c r="L25" s="484"/>
      <c r="M25" s="485"/>
      <c r="N25" s="485"/>
      <c r="O25" s="482"/>
      <c r="P25" s="485"/>
      <c r="Q25" s="485"/>
      <c r="R25" s="484"/>
      <c r="S25" s="484"/>
      <c r="T25" s="486"/>
      <c r="U25" s="485"/>
      <c r="V25" s="485"/>
      <c r="W25" s="485"/>
      <c r="X25" s="485"/>
      <c r="Y25" s="485"/>
      <c r="Z25" s="485"/>
      <c r="AA25" s="486"/>
      <c r="AB25" s="487"/>
      <c r="AC25" s="487"/>
      <c r="AD25" s="487"/>
      <c r="AE25" s="485"/>
      <c r="AF25" s="488"/>
      <c r="AG25" s="485"/>
      <c r="AH25" s="485"/>
      <c r="AI25" s="485"/>
      <c r="AJ25" s="485"/>
      <c r="AK25" s="485"/>
      <c r="AL25" s="485"/>
      <c r="AM25" s="485"/>
      <c r="AN25" s="489"/>
      <c r="AO25" s="489"/>
      <c r="AP25" s="489"/>
      <c r="AQ25" s="489"/>
      <c r="AR25" s="489"/>
      <c r="AS25" s="489"/>
      <c r="AT25" s="489"/>
      <c r="AU25" s="489"/>
      <c r="AV25" s="489"/>
      <c r="AW25" s="489"/>
      <c r="AX25" s="490"/>
      <c r="AY25" s="490"/>
      <c r="AZ25" s="490"/>
      <c r="BA25" s="490"/>
      <c r="BB25" s="490"/>
      <c r="BC25" s="485"/>
      <c r="BD25" s="2890"/>
    </row>
    <row r="26" spans="1:56">
      <c r="A26" s="480" t="s">
        <v>1778</v>
      </c>
      <c r="B26" s="481" t="s">
        <v>1532</v>
      </c>
      <c r="C26" s="482"/>
      <c r="D26" s="482"/>
      <c r="E26" s="482"/>
      <c r="F26" s="482"/>
      <c r="G26" s="483"/>
      <c r="H26" s="483"/>
      <c r="I26" s="484"/>
      <c r="J26" s="484"/>
      <c r="K26" s="484"/>
      <c r="L26" s="484"/>
      <c r="M26" s="485"/>
      <c r="N26" s="485"/>
      <c r="O26" s="482"/>
      <c r="P26" s="485"/>
      <c r="Q26" s="485"/>
      <c r="R26" s="484"/>
      <c r="S26" s="484"/>
      <c r="T26" s="486"/>
      <c r="U26" s="485"/>
      <c r="V26" s="485"/>
      <c r="W26" s="485"/>
      <c r="X26" s="485"/>
      <c r="Y26" s="485"/>
      <c r="Z26" s="485"/>
      <c r="AA26" s="486"/>
      <c r="AB26" s="487"/>
      <c r="AC26" s="487"/>
      <c r="AD26" s="487"/>
      <c r="AE26" s="485"/>
      <c r="AF26" s="488"/>
      <c r="AG26" s="485"/>
      <c r="AH26" s="485"/>
      <c r="AI26" s="485"/>
      <c r="AJ26" s="485"/>
      <c r="AK26" s="485"/>
      <c r="AL26" s="485"/>
      <c r="AM26" s="485"/>
      <c r="AN26" s="489"/>
      <c r="AO26" s="489"/>
      <c r="AP26" s="489"/>
      <c r="AQ26" s="489"/>
      <c r="AR26" s="489"/>
      <c r="AS26" s="489"/>
      <c r="AT26" s="489"/>
      <c r="AU26" s="489"/>
      <c r="AV26" s="489"/>
      <c r="AW26" s="489"/>
      <c r="AX26" s="490"/>
      <c r="AY26" s="490"/>
      <c r="AZ26" s="490"/>
      <c r="BA26" s="490"/>
      <c r="BB26" s="490"/>
      <c r="BC26" s="485"/>
      <c r="BD26" s="2890"/>
    </row>
    <row r="27" spans="1:56">
      <c r="A27" s="480" t="s">
        <v>1779</v>
      </c>
      <c r="B27" s="481" t="s">
        <v>1532</v>
      </c>
      <c r="C27" s="482"/>
      <c r="D27" s="482"/>
      <c r="E27" s="482"/>
      <c r="F27" s="482"/>
      <c r="G27" s="483"/>
      <c r="H27" s="483"/>
      <c r="I27" s="484"/>
      <c r="J27" s="484"/>
      <c r="K27" s="484"/>
      <c r="L27" s="484"/>
      <c r="M27" s="485"/>
      <c r="N27" s="485"/>
      <c r="O27" s="482"/>
      <c r="P27" s="485"/>
      <c r="Q27" s="485"/>
      <c r="R27" s="484"/>
      <c r="S27" s="484"/>
      <c r="T27" s="486"/>
      <c r="U27" s="485"/>
      <c r="V27" s="485"/>
      <c r="W27" s="485"/>
      <c r="X27" s="485"/>
      <c r="Y27" s="485"/>
      <c r="Z27" s="485"/>
      <c r="AA27" s="486"/>
      <c r="AB27" s="487"/>
      <c r="AC27" s="487"/>
      <c r="AD27" s="487"/>
      <c r="AE27" s="485"/>
      <c r="AF27" s="488"/>
      <c r="AG27" s="485"/>
      <c r="AH27" s="485"/>
      <c r="AI27" s="485"/>
      <c r="AJ27" s="485"/>
      <c r="AK27" s="485"/>
      <c r="AL27" s="485"/>
      <c r="AM27" s="485"/>
      <c r="AN27" s="489"/>
      <c r="AO27" s="489"/>
      <c r="AP27" s="489"/>
      <c r="AQ27" s="489"/>
      <c r="AR27" s="489"/>
      <c r="AS27" s="489"/>
      <c r="AT27" s="489"/>
      <c r="AU27" s="489"/>
      <c r="AV27" s="489"/>
      <c r="AW27" s="489"/>
      <c r="AX27" s="490"/>
      <c r="AY27" s="490"/>
      <c r="AZ27" s="490"/>
      <c r="BA27" s="490"/>
      <c r="BB27" s="490"/>
      <c r="BC27" s="485"/>
      <c r="BD27" s="2890"/>
    </row>
    <row r="28" spans="1:56">
      <c r="A28" s="480" t="s">
        <v>1780</v>
      </c>
      <c r="B28" s="481" t="s">
        <v>1532</v>
      </c>
      <c r="C28" s="482"/>
      <c r="D28" s="482"/>
      <c r="E28" s="482"/>
      <c r="F28" s="482"/>
      <c r="G28" s="483"/>
      <c r="H28" s="483"/>
      <c r="I28" s="484"/>
      <c r="J28" s="484"/>
      <c r="K28" s="484"/>
      <c r="L28" s="484"/>
      <c r="M28" s="485"/>
      <c r="N28" s="485"/>
      <c r="O28" s="482"/>
      <c r="P28" s="485"/>
      <c r="Q28" s="485"/>
      <c r="R28" s="484"/>
      <c r="S28" s="484"/>
      <c r="T28" s="486"/>
      <c r="U28" s="485"/>
      <c r="V28" s="485"/>
      <c r="W28" s="485"/>
      <c r="X28" s="485"/>
      <c r="Y28" s="485"/>
      <c r="Z28" s="485"/>
      <c r="AA28" s="486"/>
      <c r="AB28" s="487"/>
      <c r="AC28" s="487"/>
      <c r="AD28" s="487"/>
      <c r="AE28" s="485"/>
      <c r="AF28" s="488"/>
      <c r="AG28" s="485"/>
      <c r="AH28" s="485"/>
      <c r="AI28" s="485"/>
      <c r="AJ28" s="485"/>
      <c r="AK28" s="485"/>
      <c r="AL28" s="485"/>
      <c r="AM28" s="485"/>
      <c r="AN28" s="489"/>
      <c r="AO28" s="489"/>
      <c r="AP28" s="489"/>
      <c r="AQ28" s="489"/>
      <c r="AR28" s="489"/>
      <c r="AS28" s="489"/>
      <c r="AT28" s="489"/>
      <c r="AU28" s="489"/>
      <c r="AV28" s="489"/>
      <c r="AW28" s="489"/>
      <c r="AX28" s="490"/>
      <c r="AY28" s="490"/>
      <c r="AZ28" s="490"/>
      <c r="BA28" s="490"/>
      <c r="BB28" s="490"/>
      <c r="BC28" s="485"/>
      <c r="BD28" s="2890"/>
    </row>
    <row r="29" spans="1:56">
      <c r="A29" s="480" t="s">
        <v>1781</v>
      </c>
      <c r="B29" s="481" t="s">
        <v>1532</v>
      </c>
      <c r="C29" s="482"/>
      <c r="D29" s="482"/>
      <c r="E29" s="482"/>
      <c r="F29" s="482"/>
      <c r="G29" s="483"/>
      <c r="H29" s="483"/>
      <c r="I29" s="484"/>
      <c r="J29" s="484"/>
      <c r="K29" s="484"/>
      <c r="L29" s="484"/>
      <c r="M29" s="485"/>
      <c r="N29" s="485"/>
      <c r="O29" s="482"/>
      <c r="P29" s="485"/>
      <c r="Q29" s="485"/>
      <c r="R29" s="484"/>
      <c r="S29" s="484"/>
      <c r="T29" s="486"/>
      <c r="U29" s="485"/>
      <c r="V29" s="485"/>
      <c r="W29" s="485"/>
      <c r="X29" s="485"/>
      <c r="Y29" s="485"/>
      <c r="Z29" s="485"/>
      <c r="AA29" s="486"/>
      <c r="AB29" s="487"/>
      <c r="AC29" s="487"/>
      <c r="AD29" s="487"/>
      <c r="AE29" s="485"/>
      <c r="AF29" s="488"/>
      <c r="AG29" s="485"/>
      <c r="AH29" s="485"/>
      <c r="AI29" s="485"/>
      <c r="AJ29" s="485"/>
      <c r="AK29" s="485"/>
      <c r="AL29" s="485"/>
      <c r="AM29" s="485"/>
      <c r="AN29" s="489"/>
      <c r="AO29" s="489"/>
      <c r="AP29" s="489"/>
      <c r="AQ29" s="489"/>
      <c r="AR29" s="489"/>
      <c r="AS29" s="489"/>
      <c r="AT29" s="489"/>
      <c r="AU29" s="489"/>
      <c r="AV29" s="489"/>
      <c r="AW29" s="489"/>
      <c r="AX29" s="490"/>
      <c r="AY29" s="490"/>
      <c r="AZ29" s="490"/>
      <c r="BA29" s="490"/>
      <c r="BB29" s="490"/>
      <c r="BC29" s="485"/>
      <c r="BD29" s="2890"/>
    </row>
    <row r="30" spans="1:56">
      <c r="A30" s="80" t="s">
        <v>1782</v>
      </c>
      <c r="Q30" s="2"/>
    </row>
    <row r="31" spans="1:56">
      <c r="Q31" s="2"/>
    </row>
    <row r="32" spans="1:56">
      <c r="Q32" s="2"/>
    </row>
    <row r="33" spans="17:17">
      <c r="Q33" s="2"/>
    </row>
    <row r="34" spans="17:17">
      <c r="Q34" s="2"/>
    </row>
    <row r="35" spans="17:17">
      <c r="Q35" s="2"/>
    </row>
    <row r="36" spans="17:17">
      <c r="Q36" s="2"/>
    </row>
    <row r="37" spans="17:17">
      <c r="Q37" s="2"/>
    </row>
    <row r="38" spans="17:17">
      <c r="Q38" s="2"/>
    </row>
    <row r="39" spans="17:17">
      <c r="Q39" s="2"/>
    </row>
    <row r="40" spans="17:17">
      <c r="Q40" s="2"/>
    </row>
    <row r="41" spans="17:17">
      <c r="Q41" s="2"/>
    </row>
    <row r="42" spans="17:17">
      <c r="Q42" s="2"/>
    </row>
    <row r="43" spans="17:17">
      <c r="Q43" s="2"/>
    </row>
    <row r="44" spans="17:17">
      <c r="Q44" s="2"/>
    </row>
    <row r="45" spans="17:17">
      <c r="Q45" s="2"/>
    </row>
    <row r="46" spans="17:17">
      <c r="Q46" s="2"/>
    </row>
    <row r="47" spans="17:17">
      <c r="Q47" s="2"/>
    </row>
    <row r="48" spans="17:17">
      <c r="Q48" s="2"/>
    </row>
    <row r="49" spans="17:17">
      <c r="Q49" s="2"/>
    </row>
    <row r="50" spans="17:17">
      <c r="Q50" s="2"/>
    </row>
    <row r="51" spans="17:17">
      <c r="Q51" s="2"/>
    </row>
    <row r="52" spans="17:17">
      <c r="Q52" s="2"/>
    </row>
    <row r="53" spans="17:17">
      <c r="Q53" s="2"/>
    </row>
    <row r="54" spans="17:17">
      <c r="Q54" s="2"/>
    </row>
    <row r="55" spans="17:17">
      <c r="Q55" s="2"/>
    </row>
    <row r="56" spans="17:17">
      <c r="Q56" s="2"/>
    </row>
    <row r="57" spans="17:17">
      <c r="Q57" s="2"/>
    </row>
    <row r="58" spans="17:17">
      <c r="Q58" s="2"/>
    </row>
    <row r="59" spans="17:17">
      <c r="Q59" s="2"/>
    </row>
    <row r="60" spans="17:17">
      <c r="Q60" s="2"/>
    </row>
    <row r="61" spans="17:17">
      <c r="Q61" s="2"/>
    </row>
    <row r="62" spans="17:17">
      <c r="Q62" s="2"/>
    </row>
    <row r="63" spans="17:17">
      <c r="Q63" s="2"/>
    </row>
    <row r="64" spans="17:17">
      <c r="Q64" s="2"/>
    </row>
    <row r="65" spans="17:17">
      <c r="Q65" s="2"/>
    </row>
    <row r="66" spans="17:17">
      <c r="Q66" s="2"/>
    </row>
    <row r="67" spans="17:17">
      <c r="Q67" s="2"/>
    </row>
    <row r="68" spans="17:17">
      <c r="Q68" s="2"/>
    </row>
    <row r="69" spans="17:17">
      <c r="Q69" s="2"/>
    </row>
    <row r="70" spans="17:17">
      <c r="Q70" s="2"/>
    </row>
    <row r="71" spans="17:17">
      <c r="Q71" s="2"/>
    </row>
    <row r="72" spans="17:17">
      <c r="Q72" s="2"/>
    </row>
    <row r="73" spans="17:17">
      <c r="Q73" s="2"/>
    </row>
    <row r="74" spans="17:17">
      <c r="Q74" s="2"/>
    </row>
    <row r="75" spans="17:17">
      <c r="Q75" s="2"/>
    </row>
    <row r="76" spans="17:17">
      <c r="Q76" s="2"/>
    </row>
    <row r="77" spans="17:17">
      <c r="Q77" s="2"/>
    </row>
    <row r="78" spans="17:17">
      <c r="Q78" s="2"/>
    </row>
    <row r="79" spans="17:17">
      <c r="Q79" s="2"/>
    </row>
    <row r="80" spans="17:17">
      <c r="Q80" s="2"/>
    </row>
    <row r="81" spans="17:17">
      <c r="Q81" s="2"/>
    </row>
    <row r="82" spans="17:17">
      <c r="Q82" s="2"/>
    </row>
    <row r="83" spans="17:17">
      <c r="Q83" s="2"/>
    </row>
    <row r="84" spans="17:17">
      <c r="Q84" s="2"/>
    </row>
    <row r="85" spans="17:17">
      <c r="Q85" s="2"/>
    </row>
    <row r="86" spans="17:17">
      <c r="Q86" s="2"/>
    </row>
    <row r="87" spans="17:17">
      <c r="Q87" s="2"/>
    </row>
    <row r="88" spans="17:17">
      <c r="Q88" s="2"/>
    </row>
    <row r="89" spans="17:17">
      <c r="Q89" s="2"/>
    </row>
    <row r="90" spans="17:17">
      <c r="Q90" s="2"/>
    </row>
    <row r="91" spans="17:17">
      <c r="Q91" s="2"/>
    </row>
    <row r="92" spans="17:17">
      <c r="Q92" s="2"/>
    </row>
    <row r="93" spans="17:17">
      <c r="Q93" s="2"/>
    </row>
    <row r="94" spans="17:17">
      <c r="Q94" s="2"/>
    </row>
    <row r="95" spans="17:17">
      <c r="Q95" s="2"/>
    </row>
    <row r="96" spans="17:17">
      <c r="Q96" s="2"/>
    </row>
    <row r="97" spans="17:17">
      <c r="Q97" s="2"/>
    </row>
    <row r="98" spans="17:17">
      <c r="Q98" s="2"/>
    </row>
    <row r="99" spans="17:17">
      <c r="Q99" s="2"/>
    </row>
    <row r="100" spans="17:17">
      <c r="Q100" s="2"/>
    </row>
    <row r="101" spans="17:17">
      <c r="Q101" s="2"/>
    </row>
    <row r="102" spans="17:17">
      <c r="Q102" s="2"/>
    </row>
    <row r="103" spans="17:17">
      <c r="Q103" s="2"/>
    </row>
    <row r="104" spans="17:17">
      <c r="Q104" s="2"/>
    </row>
    <row r="105" spans="17:17">
      <c r="Q105" s="2"/>
    </row>
    <row r="106" spans="17:17">
      <c r="Q106" s="2"/>
    </row>
    <row r="107" spans="17:17">
      <c r="Q107" s="2"/>
    </row>
    <row r="108" spans="17:17">
      <c r="Q108" s="2"/>
    </row>
    <row r="109" spans="17:17">
      <c r="Q109" s="2"/>
    </row>
    <row r="110" spans="17:17">
      <c r="Q110" s="2"/>
    </row>
  </sheetData>
  <autoFilter ref="A2:BD13" xr:uid="{6E147DCE-A6F4-47F7-9F8B-7CFC47C10580}"/>
  <mergeCells count="2">
    <mergeCell ref="BD21:BD29"/>
    <mergeCell ref="BD3:BD10"/>
  </mergeCells>
  <phoneticPr fontId="9"/>
  <dataValidations count="1">
    <dataValidation type="list" allowBlank="1" showInputMessage="1" showErrorMessage="1" sqref="AL3:AL1048576" xr:uid="{7CE827F6-99A6-4118-B200-1C6A7F297252}">
      <formula1>"YES,NO,-"</formula1>
    </dataValidation>
  </dataValidations>
  <pageMargins left="0.70866141732283472" right="0.70866141732283472" top="0.74803149606299213" bottom="0.74803149606299213" header="0.31496062992125984" footer="0.31496062992125984"/>
  <pageSetup paperSize="8" scale="70" orientation="landscape" r:id="rId1"/>
  <legacyDrawing r:id="rId2"/>
  <extLst>
    <ext xmlns:x14="http://schemas.microsoft.com/office/spreadsheetml/2009/9/main" uri="{CCE6A557-97BC-4b89-ADB6-D9C93CAAB3DF}">
      <x14:dataValidations xmlns:xm="http://schemas.microsoft.com/office/excel/2006/main" count="1">
        <x14:dataValidation type="list" showInputMessage="1" showErrorMessage="1" xr:uid="{A8738DBD-1B97-4861-B424-0132AB2BBE7B}">
          <x14:formula1>
            <xm:f>'Back up'!$D$3:$D$8</xm:f>
          </x14:formula1>
          <xm:sqref>O9:O20</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DB12-E3AC-4A99-A392-437B9921A20B}">
  <sheetPr codeName="Sheet9">
    <tabColor theme="4" tint="-0.249977111117893"/>
  </sheetPr>
  <dimension ref="A1:BE110"/>
  <sheetViews>
    <sheetView zoomScaleNormal="100" workbookViewId="0">
      <pane xSplit="4" ySplit="2" topLeftCell="F3" activePane="bottomRight" state="frozen"/>
      <selection pane="topRight" activeCell="G1" sqref="G1"/>
      <selection pane="bottomLeft" activeCell="A3" sqref="A3"/>
      <selection pane="bottomRight" activeCell="D30" sqref="A30:D37"/>
    </sheetView>
  </sheetViews>
  <sheetFormatPr defaultColWidth="14.25" defaultRowHeight="15"/>
  <cols>
    <col min="1" max="1" width="17.125" style="1" customWidth="1"/>
    <col min="2" max="3" width="5.875" style="2" hidden="1" customWidth="1"/>
    <col min="4" max="4" width="54.625" style="3" customWidth="1"/>
    <col min="5" max="5" width="30.25" style="3" bestFit="1" customWidth="1"/>
    <col min="6" max="6" width="19.875" style="3" bestFit="1" customWidth="1"/>
    <col min="7" max="7" width="15.625" style="3" bestFit="1" customWidth="1"/>
    <col min="8" max="8" width="7.75" style="3" bestFit="1" customWidth="1"/>
    <col min="9" max="9" width="15.875" style="32" customWidth="1"/>
    <col min="10" max="10" width="12.75" style="4" customWidth="1"/>
    <col min="11" max="11" width="13.125" style="4" customWidth="1"/>
    <col min="12" max="12" width="12.25" style="2" customWidth="1"/>
    <col min="13" max="13" width="8.875" style="2" bestFit="1" customWidth="1"/>
    <col min="14" max="14" width="11.125" style="3" customWidth="1"/>
    <col min="15" max="15" width="9.625" style="2" customWidth="1"/>
    <col min="16" max="16" width="10.125" style="4" customWidth="1"/>
    <col min="17" max="17" width="10.875" style="4" customWidth="1"/>
    <col min="18" max="18" width="12" style="4" customWidth="1"/>
    <col min="19" max="19" width="15.25" style="11" customWidth="1"/>
    <col min="20" max="20" width="19.25" style="2" customWidth="1"/>
    <col min="21" max="22" width="12.25" style="2" customWidth="1"/>
    <col min="23" max="23" width="17.25" style="2" customWidth="1"/>
    <col min="24" max="24" width="11" style="2" customWidth="1"/>
    <col min="25" max="25" width="16.25" style="2" customWidth="1"/>
    <col min="26" max="26" width="9.375" style="11" customWidth="1"/>
    <col min="27" max="27" width="10" style="8" customWidth="1"/>
    <col min="28" max="28" width="14.375" style="8" customWidth="1"/>
    <col min="29" max="29" width="13.875" style="8" bestFit="1" customWidth="1"/>
    <col min="30" max="30" width="15.375" style="2" bestFit="1" customWidth="1"/>
    <col min="31" max="31" width="11" style="12" customWidth="1"/>
    <col min="32" max="32" width="10.75" style="2" customWidth="1"/>
    <col min="33" max="33" width="14.375" style="2" customWidth="1"/>
    <col min="34" max="34" width="7.625" style="2" customWidth="1"/>
    <col min="35" max="35" width="15" style="2" customWidth="1"/>
    <col min="36" max="36" width="10.75" style="2" customWidth="1"/>
    <col min="37" max="37" width="18.875" style="2" customWidth="1"/>
    <col min="38" max="38" width="16.625" style="36" customWidth="1"/>
    <col min="39" max="41" width="11.625" style="36" customWidth="1"/>
    <col min="42" max="46" width="13.875" style="36" customWidth="1"/>
    <col min="47" max="47" width="8.125" style="36" customWidth="1"/>
    <col min="48" max="48" width="13.125" style="14" customWidth="1"/>
    <col min="49" max="49" width="17" style="14" customWidth="1"/>
    <col min="50" max="50" width="14.875" style="14" customWidth="1"/>
    <col min="51" max="51" width="16" style="14" customWidth="1"/>
    <col min="52" max="52" width="11.75" style="14" customWidth="1"/>
    <col min="53" max="53" width="11.25" style="2" bestFit="1" customWidth="1"/>
    <col min="54" max="54" width="29.75" style="3" customWidth="1"/>
    <col min="55" max="16384" width="14.25" style="3"/>
  </cols>
  <sheetData>
    <row r="1" spans="1:57" ht="33.75" customHeight="1">
      <c r="A1" s="332" t="s">
        <v>1783</v>
      </c>
      <c r="G1" s="3" t="s">
        <v>454</v>
      </c>
      <c r="L1" s="4"/>
      <c r="M1" s="19"/>
      <c r="N1" s="53"/>
      <c r="P1" s="48" t="s">
        <v>455</v>
      </c>
      <c r="Q1" s="48"/>
      <c r="R1" s="48"/>
      <c r="S1" s="48"/>
      <c r="T1" s="48"/>
      <c r="U1" s="49"/>
      <c r="V1" s="48"/>
      <c r="W1" s="48"/>
      <c r="X1" s="48"/>
      <c r="Y1" s="48"/>
      <c r="Z1" s="41" t="s">
        <v>1340</v>
      </c>
      <c r="AA1" s="42"/>
      <c r="AB1" s="43"/>
      <c r="AC1" s="42"/>
      <c r="AD1" s="42"/>
      <c r="AE1" s="42"/>
      <c r="AF1" s="42"/>
      <c r="AG1" s="44"/>
      <c r="AH1" s="24" t="s">
        <v>1341</v>
      </c>
      <c r="AI1" s="45" t="s">
        <v>458</v>
      </c>
      <c r="AJ1" s="46"/>
      <c r="AK1" s="46"/>
      <c r="AL1" s="46"/>
      <c r="AM1" s="46"/>
      <c r="AN1" s="46"/>
      <c r="AO1" s="47"/>
      <c r="AP1" s="45" t="s">
        <v>1784</v>
      </c>
      <c r="AQ1" s="46"/>
      <c r="AR1" s="46"/>
      <c r="AS1" s="46"/>
      <c r="AT1" s="46"/>
      <c r="AU1" s="46"/>
      <c r="AV1" s="46"/>
      <c r="AW1" s="46"/>
      <c r="AX1" s="47"/>
      <c r="AY1" s="45" t="s">
        <v>1343</v>
      </c>
      <c r="AZ1" s="46"/>
      <c r="BA1" s="46"/>
      <c r="BB1" s="46"/>
      <c r="BC1" s="46"/>
      <c r="BD1" s="46"/>
      <c r="BE1" s="47"/>
    </row>
    <row r="2" spans="1:57" s="18" customFormat="1" ht="48.75" customHeight="1">
      <c r="A2" s="16" t="s">
        <v>1785</v>
      </c>
      <c r="B2" s="16" t="s">
        <v>1786</v>
      </c>
      <c r="C2" s="16" t="s">
        <v>1787</v>
      </c>
      <c r="D2" s="16" t="s">
        <v>462</v>
      </c>
      <c r="E2" s="16" t="s">
        <v>463</v>
      </c>
      <c r="F2" s="16" t="s">
        <v>1693</v>
      </c>
      <c r="G2" s="17" t="s">
        <v>1694</v>
      </c>
      <c r="H2" s="33" t="s">
        <v>1695</v>
      </c>
      <c r="I2" s="33" t="s">
        <v>1353</v>
      </c>
      <c r="J2" s="16" t="s">
        <v>475</v>
      </c>
      <c r="K2" s="86" t="s">
        <v>1697</v>
      </c>
      <c r="L2" s="86" t="s">
        <v>477</v>
      </c>
      <c r="M2" s="50" t="s">
        <v>1698</v>
      </c>
      <c r="N2" s="16" t="s">
        <v>478</v>
      </c>
      <c r="O2" s="16" t="s">
        <v>479</v>
      </c>
      <c r="P2" s="20" t="s">
        <v>1699</v>
      </c>
      <c r="Q2" s="21" t="s">
        <v>1700</v>
      </c>
      <c r="R2" s="21" t="s">
        <v>1701</v>
      </c>
      <c r="S2" s="21" t="s">
        <v>1702</v>
      </c>
      <c r="T2" s="21" t="s">
        <v>1703</v>
      </c>
      <c r="U2" s="21" t="s">
        <v>1704</v>
      </c>
      <c r="V2" s="21" t="s">
        <v>1705</v>
      </c>
      <c r="W2" s="21" t="s">
        <v>1706</v>
      </c>
      <c r="X2" s="50" t="s">
        <v>1707</v>
      </c>
      <c r="Y2" s="21" t="s">
        <v>482</v>
      </c>
      <c r="Z2" s="20" t="s">
        <v>1708</v>
      </c>
      <c r="AA2" s="21" t="s">
        <v>1709</v>
      </c>
      <c r="AB2" s="21" t="s">
        <v>1710</v>
      </c>
      <c r="AC2" s="21" t="s">
        <v>1711</v>
      </c>
      <c r="AD2" s="21" t="s">
        <v>1712</v>
      </c>
      <c r="AE2" s="21" t="s">
        <v>1713</v>
      </c>
      <c r="AF2" s="21" t="s">
        <v>1714</v>
      </c>
      <c r="AG2" s="22" t="s">
        <v>1715</v>
      </c>
      <c r="AH2" s="87" t="s">
        <v>1716</v>
      </c>
      <c r="AI2" s="88" t="s">
        <v>1717</v>
      </c>
      <c r="AJ2" s="89" t="s">
        <v>1788</v>
      </c>
      <c r="AK2" s="89" t="s">
        <v>1719</v>
      </c>
      <c r="AL2" s="38" t="s">
        <v>1720</v>
      </c>
      <c r="AM2" s="38" t="s">
        <v>1721</v>
      </c>
      <c r="AN2" s="23" t="s">
        <v>1722</v>
      </c>
      <c r="AO2" s="55" t="s">
        <v>1723</v>
      </c>
      <c r="AP2" s="34" t="s">
        <v>1724</v>
      </c>
      <c r="AQ2" s="34" t="s">
        <v>1725</v>
      </c>
      <c r="AR2" s="34" t="s">
        <v>1726</v>
      </c>
      <c r="AS2" s="34" t="s">
        <v>495</v>
      </c>
      <c r="AT2" s="51" t="s">
        <v>1727</v>
      </c>
      <c r="AU2" s="51" t="s">
        <v>1728</v>
      </c>
      <c r="AV2" s="51" t="s">
        <v>1729</v>
      </c>
      <c r="AW2" s="51" t="s">
        <v>1730</v>
      </c>
      <c r="AX2" s="51" t="s">
        <v>1731</v>
      </c>
      <c r="AY2" s="25" t="s">
        <v>1732</v>
      </c>
      <c r="AZ2" s="26" t="s">
        <v>1733</v>
      </c>
      <c r="BA2" s="27" t="s">
        <v>1734</v>
      </c>
      <c r="BB2" s="28" t="s">
        <v>1735</v>
      </c>
      <c r="BC2" s="25" t="s">
        <v>1736</v>
      </c>
      <c r="BD2" s="25" t="s">
        <v>1737</v>
      </c>
      <c r="BE2" s="22" t="s">
        <v>1789</v>
      </c>
    </row>
    <row r="3" spans="1:57" ht="18" customHeight="1">
      <c r="A3" s="68"/>
      <c r="B3" s="69"/>
      <c r="C3" s="69"/>
      <c r="D3" s="67"/>
      <c r="E3" s="74"/>
      <c r="G3" s="74"/>
      <c r="I3" s="3"/>
      <c r="J3" s="3"/>
      <c r="K3" s="32"/>
      <c r="L3" s="4"/>
      <c r="M3" s="4"/>
      <c r="N3" s="63"/>
      <c r="O3" s="61"/>
      <c r="P3" s="58"/>
      <c r="Q3" s="58"/>
      <c r="R3" s="58"/>
      <c r="S3" s="61"/>
      <c r="T3" s="61"/>
      <c r="U3" s="62"/>
      <c r="V3" s="4"/>
      <c r="Z3" s="60"/>
      <c r="AA3" s="61"/>
      <c r="AB3" s="6"/>
      <c r="AC3" s="7"/>
      <c r="AD3" s="79"/>
      <c r="AE3" s="7"/>
      <c r="AH3" s="61"/>
      <c r="AI3" s="61"/>
      <c r="AJ3" s="61"/>
      <c r="AK3" s="61"/>
      <c r="AL3" s="64"/>
      <c r="AM3" s="64"/>
      <c r="AN3" s="64"/>
      <c r="AO3" s="64"/>
      <c r="AP3" s="64"/>
      <c r="AQ3" s="64"/>
      <c r="AR3" s="64"/>
      <c r="AS3" s="65"/>
      <c r="AT3" s="64"/>
      <c r="AU3" s="64"/>
      <c r="AV3" s="56"/>
      <c r="AW3" s="37"/>
      <c r="AX3" s="2"/>
      <c r="AY3" s="2"/>
      <c r="AZ3" s="2"/>
      <c r="BB3" s="5"/>
      <c r="BD3" s="2"/>
    </row>
    <row r="4" spans="1:57" ht="18" customHeight="1">
      <c r="A4" s="68"/>
      <c r="B4" s="69"/>
      <c r="C4" s="69"/>
      <c r="D4" s="67"/>
      <c r="E4" s="74"/>
      <c r="I4" s="10"/>
      <c r="J4" s="10"/>
      <c r="L4" s="4"/>
      <c r="M4" s="4"/>
      <c r="S4" s="3"/>
      <c r="U4" s="4"/>
      <c r="V4" s="4"/>
      <c r="Z4" s="6"/>
      <c r="AA4" s="7"/>
      <c r="AC4" s="7"/>
      <c r="AL4" s="35"/>
      <c r="AM4" s="35"/>
      <c r="AN4" s="35"/>
      <c r="AO4" s="82"/>
      <c r="AP4" s="82"/>
      <c r="AQ4" s="82"/>
      <c r="AR4" s="82"/>
      <c r="AS4" s="83"/>
      <c r="AT4" s="82"/>
      <c r="AU4" s="82"/>
      <c r="AV4" s="81"/>
      <c r="AW4" s="37"/>
      <c r="AX4" s="2"/>
      <c r="AY4" s="2"/>
      <c r="AZ4" s="2"/>
      <c r="BB4" s="5"/>
    </row>
    <row r="5" spans="1:57" ht="18" customHeight="1">
      <c r="A5" s="68"/>
      <c r="B5" s="69"/>
      <c r="C5" s="69"/>
      <c r="D5" s="67"/>
      <c r="E5" s="74"/>
      <c r="G5" s="10"/>
      <c r="H5" s="10"/>
      <c r="I5" s="4"/>
      <c r="S5" s="3"/>
      <c r="U5" s="4"/>
      <c r="V5" s="4"/>
      <c r="Z5" s="6"/>
      <c r="AA5" s="7"/>
      <c r="AC5" s="7"/>
      <c r="AL5" s="35"/>
      <c r="AM5" s="35"/>
      <c r="AN5" s="35"/>
      <c r="AO5" s="82"/>
      <c r="AP5" s="82"/>
      <c r="AQ5" s="82"/>
      <c r="AR5" s="82"/>
      <c r="AS5" s="83"/>
      <c r="AT5" s="82"/>
      <c r="AU5" s="82"/>
      <c r="AV5" s="81"/>
      <c r="AW5" s="37"/>
      <c r="AX5" s="2"/>
      <c r="AY5" s="2"/>
      <c r="AZ5" s="2"/>
      <c r="BB5" s="5"/>
    </row>
    <row r="6" spans="1:57" ht="18" customHeight="1">
      <c r="A6" s="68"/>
      <c r="B6" s="69"/>
      <c r="C6" s="69"/>
      <c r="D6" s="67"/>
      <c r="E6" s="74"/>
      <c r="G6" s="10"/>
      <c r="H6" s="10"/>
      <c r="I6" s="4"/>
      <c r="S6" s="3"/>
      <c r="U6" s="4"/>
      <c r="V6" s="4"/>
      <c r="Z6" s="2"/>
      <c r="AA6" s="7"/>
      <c r="AC6" s="7"/>
      <c r="AL6" s="35"/>
      <c r="AM6" s="35"/>
      <c r="AN6" s="35"/>
      <c r="AO6" s="82"/>
      <c r="AP6" s="82"/>
      <c r="AQ6" s="82"/>
      <c r="AR6" s="82"/>
      <c r="AS6" s="83"/>
      <c r="AT6" s="82"/>
      <c r="AU6" s="82"/>
      <c r="AV6" s="81"/>
      <c r="AW6" s="37"/>
      <c r="AX6" s="2"/>
      <c r="AY6" s="2"/>
      <c r="AZ6" s="2"/>
      <c r="BB6" s="5"/>
    </row>
    <row r="7" spans="1:57" ht="18" customHeight="1">
      <c r="A7" s="70"/>
      <c r="B7" s="71"/>
      <c r="C7" s="71"/>
      <c r="D7" s="72"/>
      <c r="E7" s="74"/>
      <c r="S7" s="30"/>
      <c r="T7" s="30"/>
      <c r="U7" s="4"/>
      <c r="V7" s="4"/>
      <c r="AB7" s="7"/>
      <c r="AC7" s="7"/>
      <c r="AL7" s="35"/>
      <c r="AM7" s="35"/>
      <c r="AN7" s="35"/>
      <c r="AO7" s="35"/>
      <c r="AP7" s="35"/>
      <c r="AQ7" s="35"/>
      <c r="AR7" s="35"/>
      <c r="AS7" s="52"/>
      <c r="AT7" s="35"/>
      <c r="AU7" s="35"/>
      <c r="AV7" s="29"/>
      <c r="AW7" s="37"/>
      <c r="AX7" s="2"/>
      <c r="AY7" s="2"/>
      <c r="AZ7" s="2"/>
      <c r="BB7" s="5"/>
    </row>
    <row r="8" spans="1:57" ht="18" customHeight="1">
      <c r="A8" s="70"/>
      <c r="B8" s="71"/>
      <c r="C8" s="71"/>
      <c r="D8" s="67"/>
      <c r="G8" s="10"/>
      <c r="H8" s="10"/>
      <c r="I8" s="4"/>
      <c r="S8" s="30"/>
      <c r="U8" s="4"/>
      <c r="V8" s="4"/>
      <c r="AB8" s="7"/>
      <c r="AC8" s="7"/>
      <c r="AL8" s="35"/>
      <c r="AM8" s="35"/>
      <c r="AN8" s="35"/>
      <c r="AO8" s="35"/>
      <c r="AP8" s="35"/>
      <c r="AQ8" s="35"/>
      <c r="AR8" s="35"/>
      <c r="AS8" s="52"/>
      <c r="AT8" s="35"/>
      <c r="AU8" s="35"/>
      <c r="AV8" s="10"/>
      <c r="AW8" s="37"/>
      <c r="AX8" s="2"/>
      <c r="AY8" s="2"/>
      <c r="AZ8" s="2"/>
      <c r="BB8" s="13"/>
    </row>
    <row r="9" spans="1:57" ht="14.25" customHeight="1">
      <c r="P9" s="2"/>
      <c r="S9" s="39"/>
      <c r="Z9" s="39"/>
    </row>
    <row r="10" spans="1:57">
      <c r="P10" s="2"/>
      <c r="S10" s="39"/>
      <c r="Z10" s="39"/>
      <c r="AE10" s="9"/>
    </row>
    <row r="11" spans="1:57" s="67" customFormat="1" ht="16.5" customHeight="1">
      <c r="A11" s="68"/>
      <c r="B11" s="71"/>
      <c r="C11" s="71"/>
      <c r="I11" s="101"/>
      <c r="J11" s="100"/>
      <c r="K11" s="100"/>
      <c r="L11" s="71"/>
      <c r="M11" s="71"/>
      <c r="O11" s="71"/>
      <c r="P11" s="71"/>
      <c r="Q11" s="100"/>
      <c r="R11" s="100"/>
      <c r="S11" s="102"/>
      <c r="T11" s="71"/>
      <c r="U11" s="71"/>
      <c r="V11" s="71"/>
      <c r="W11" s="71"/>
      <c r="X11" s="71"/>
      <c r="Y11" s="71"/>
      <c r="Z11" s="102"/>
      <c r="AA11" s="95"/>
      <c r="AB11" s="95"/>
      <c r="AC11" s="95"/>
      <c r="AD11" s="71"/>
      <c r="AE11" s="103"/>
      <c r="AF11" s="71"/>
      <c r="AG11" s="71"/>
      <c r="AH11" s="71"/>
      <c r="AI11" s="71"/>
      <c r="AJ11" s="71"/>
      <c r="AK11" s="71"/>
      <c r="AL11" s="104"/>
      <c r="AM11" s="104"/>
      <c r="AN11" s="104"/>
      <c r="AO11" s="104"/>
      <c r="AP11" s="104"/>
      <c r="AQ11" s="104"/>
      <c r="AR11" s="104"/>
      <c r="AS11" s="104"/>
      <c r="AT11" s="104"/>
      <c r="AU11" s="104"/>
      <c r="AV11" s="91"/>
      <c r="AW11" s="91"/>
      <c r="AX11" s="91"/>
      <c r="AY11" s="91"/>
      <c r="AZ11" s="91"/>
      <c r="BA11" s="71"/>
    </row>
    <row r="12" spans="1:57">
      <c r="P12" s="2"/>
      <c r="S12" s="39"/>
      <c r="Z12" s="39"/>
      <c r="AE12" s="9"/>
    </row>
    <row r="13" spans="1:57">
      <c r="P13" s="2"/>
      <c r="S13" s="39"/>
      <c r="Z13" s="39"/>
      <c r="AE13" s="9"/>
    </row>
    <row r="14" spans="1:57">
      <c r="P14" s="2"/>
      <c r="S14" s="39"/>
      <c r="Z14" s="39"/>
      <c r="AE14" s="9"/>
    </row>
    <row r="15" spans="1:57">
      <c r="P15" s="2"/>
      <c r="S15" s="39"/>
      <c r="Z15" s="39"/>
      <c r="AE15" s="9"/>
    </row>
    <row r="16" spans="1:57">
      <c r="P16" s="2"/>
      <c r="Q16" s="4" t="s">
        <v>454</v>
      </c>
      <c r="S16" s="39"/>
      <c r="Z16" s="39"/>
    </row>
    <row r="17" spans="16:26">
      <c r="P17" s="2"/>
      <c r="S17" s="39"/>
      <c r="Z17" s="39"/>
    </row>
    <row r="18" spans="16:26">
      <c r="P18" s="2"/>
      <c r="S18" s="39"/>
      <c r="Z18" s="39"/>
    </row>
    <row r="19" spans="16:26">
      <c r="P19" s="2"/>
      <c r="S19" s="39"/>
      <c r="Z19" s="39"/>
    </row>
    <row r="20" spans="16:26">
      <c r="P20" s="2"/>
      <c r="S20" s="39"/>
      <c r="Z20" s="39"/>
    </row>
    <row r="21" spans="16:26">
      <c r="P21" s="2"/>
    </row>
    <row r="22" spans="16:26">
      <c r="P22" s="2"/>
    </row>
    <row r="23" spans="16:26">
      <c r="P23" s="2"/>
    </row>
    <row r="24" spans="16:26">
      <c r="P24" s="2"/>
    </row>
    <row r="25" spans="16:26">
      <c r="P25" s="2"/>
    </row>
    <row r="26" spans="16:26">
      <c r="P26" s="2"/>
    </row>
    <row r="27" spans="16:26">
      <c r="P27" s="2"/>
    </row>
    <row r="28" spans="16:26">
      <c r="P28" s="2"/>
    </row>
    <row r="29" spans="16:26">
      <c r="P29" s="2"/>
    </row>
    <row r="30" spans="16:26">
      <c r="P30" s="2"/>
    </row>
    <row r="31" spans="16:26">
      <c r="P31" s="2"/>
    </row>
    <row r="32" spans="16:26">
      <c r="P32" s="2"/>
    </row>
    <row r="33" spans="16:16">
      <c r="P33" s="2"/>
    </row>
    <row r="34" spans="16:16">
      <c r="P34" s="2"/>
    </row>
    <row r="35" spans="16:16">
      <c r="P35" s="2"/>
    </row>
    <row r="36" spans="16:16">
      <c r="P36" s="2"/>
    </row>
    <row r="37" spans="16:16">
      <c r="P37" s="2"/>
    </row>
    <row r="38" spans="16:16">
      <c r="P38" s="2"/>
    </row>
    <row r="39" spans="16:16">
      <c r="P39" s="2"/>
    </row>
    <row r="40" spans="16:16">
      <c r="P40" s="2"/>
    </row>
    <row r="41" spans="16:16">
      <c r="P41" s="2"/>
    </row>
    <row r="42" spans="16:16">
      <c r="P42" s="2"/>
    </row>
    <row r="43" spans="16:16">
      <c r="P43" s="2"/>
    </row>
    <row r="44" spans="16:16">
      <c r="P44" s="2"/>
    </row>
    <row r="45" spans="16:16">
      <c r="P45" s="2"/>
    </row>
    <row r="46" spans="16:16">
      <c r="P46" s="2"/>
    </row>
    <row r="47" spans="16:16">
      <c r="P47" s="2"/>
    </row>
    <row r="48" spans="16:16">
      <c r="P48" s="2"/>
    </row>
    <row r="49" spans="16:16">
      <c r="P49" s="2"/>
    </row>
    <row r="50" spans="16:16">
      <c r="P50" s="2"/>
    </row>
    <row r="51" spans="16:16">
      <c r="P51" s="2"/>
    </row>
    <row r="52" spans="16:16">
      <c r="P52" s="2"/>
    </row>
    <row r="53" spans="16:16">
      <c r="P53" s="2"/>
    </row>
    <row r="54" spans="16:16">
      <c r="P54" s="2"/>
    </row>
    <row r="55" spans="16:16">
      <c r="P55" s="2"/>
    </row>
    <row r="56" spans="16:16">
      <c r="P56" s="2"/>
    </row>
    <row r="57" spans="16:16">
      <c r="P57" s="2"/>
    </row>
    <row r="58" spans="16:16">
      <c r="P58" s="2"/>
    </row>
    <row r="59" spans="16:16">
      <c r="P59" s="2"/>
    </row>
    <row r="60" spans="16:16">
      <c r="P60" s="2"/>
    </row>
    <row r="61" spans="16:16">
      <c r="P61" s="2"/>
    </row>
    <row r="62" spans="16:16">
      <c r="P62" s="2"/>
    </row>
    <row r="63" spans="16:16">
      <c r="P63" s="2"/>
    </row>
    <row r="64" spans="16:16">
      <c r="P64" s="2"/>
    </row>
    <row r="65" spans="16:16">
      <c r="P65" s="2"/>
    </row>
    <row r="66" spans="16:16">
      <c r="P66" s="2"/>
    </row>
    <row r="67" spans="16:16">
      <c r="P67" s="2"/>
    </row>
    <row r="68" spans="16:16">
      <c r="P68" s="2"/>
    </row>
    <row r="69" spans="16:16">
      <c r="P69" s="2"/>
    </row>
    <row r="70" spans="16:16">
      <c r="P70" s="2"/>
    </row>
    <row r="71" spans="16:16">
      <c r="P71" s="2"/>
    </row>
    <row r="72" spans="16:16">
      <c r="P72" s="2"/>
    </row>
    <row r="73" spans="16:16">
      <c r="P73" s="2"/>
    </row>
    <row r="74" spans="16:16">
      <c r="P74" s="2"/>
    </row>
    <row r="75" spans="16:16">
      <c r="P75" s="2"/>
    </row>
    <row r="76" spans="16:16">
      <c r="P76" s="2"/>
    </row>
    <row r="77" spans="16:16">
      <c r="P77" s="2"/>
    </row>
    <row r="78" spans="16:16">
      <c r="P78" s="2"/>
    </row>
    <row r="79" spans="16:16">
      <c r="P79" s="2"/>
    </row>
    <row r="80" spans="16:16">
      <c r="P80" s="2"/>
    </row>
    <row r="81" spans="16:16">
      <c r="P81" s="2"/>
    </row>
    <row r="82" spans="16:16">
      <c r="P82" s="2"/>
    </row>
    <row r="83" spans="16:16">
      <c r="P83" s="2"/>
    </row>
    <row r="84" spans="16:16">
      <c r="P84" s="2"/>
    </row>
    <row r="85" spans="16:16">
      <c r="P85" s="2"/>
    </row>
    <row r="86" spans="16:16">
      <c r="P86" s="2"/>
    </row>
    <row r="87" spans="16:16">
      <c r="P87" s="2"/>
    </row>
    <row r="88" spans="16:16">
      <c r="P88" s="2"/>
    </row>
    <row r="89" spans="16:16">
      <c r="P89" s="2"/>
    </row>
    <row r="90" spans="16:16">
      <c r="P90" s="2"/>
    </row>
    <row r="91" spans="16:16">
      <c r="P91" s="2"/>
    </row>
    <row r="92" spans="16:16">
      <c r="P92" s="2"/>
    </row>
    <row r="93" spans="16:16">
      <c r="P93" s="2"/>
    </row>
    <row r="94" spans="16:16">
      <c r="P94" s="2"/>
    </row>
    <row r="95" spans="16:16">
      <c r="P95" s="2"/>
    </row>
    <row r="96" spans="16:16">
      <c r="P96" s="2"/>
    </row>
    <row r="97" spans="16:16">
      <c r="P97" s="2"/>
    </row>
    <row r="98" spans="16:16">
      <c r="P98" s="2"/>
    </row>
    <row r="99" spans="16:16">
      <c r="P99" s="2"/>
    </row>
    <row r="100" spans="16:16">
      <c r="P100" s="2"/>
    </row>
    <row r="101" spans="16:16">
      <c r="P101" s="2"/>
    </row>
    <row r="102" spans="16:16">
      <c r="P102" s="2"/>
    </row>
    <row r="103" spans="16:16">
      <c r="P103" s="2"/>
    </row>
    <row r="104" spans="16:16">
      <c r="P104" s="2"/>
    </row>
    <row r="105" spans="16:16">
      <c r="P105" s="2"/>
    </row>
    <row r="106" spans="16:16">
      <c r="P106" s="2"/>
    </row>
    <row r="107" spans="16:16">
      <c r="P107" s="2"/>
    </row>
    <row r="108" spans="16:16">
      <c r="P108" s="2"/>
    </row>
    <row r="109" spans="16:16">
      <c r="P109" s="2"/>
    </row>
    <row r="110" spans="16:16">
      <c r="P110" s="2"/>
    </row>
  </sheetData>
  <autoFilter ref="A2:BB8" xr:uid="{6E147DCE-A6F4-47F7-9F8B-7CFC47C10580}"/>
  <phoneticPr fontId="19" type="noConversion"/>
  <dataValidations count="1">
    <dataValidation type="list" allowBlank="1" showInputMessage="1" showErrorMessage="1" sqref="AJ3:AJ1048576" xr:uid="{C6F76B42-B48E-4611-920F-0AB8AE4FF939}">
      <formula1>"YES,NO,-"</formula1>
    </dataValidation>
  </dataValidations>
  <pageMargins left="0.70866141732283472" right="0.70866141732283472" top="0.74803149606299213" bottom="0.74803149606299213" header="0.31496062992125984" footer="0.31496062992125984"/>
  <pageSetup paperSize="8" scale="70" orientation="landscape" r:id="rId1"/>
  <legacyDrawing r:id="rId2"/>
  <extLst>
    <ext xmlns:x14="http://schemas.microsoft.com/office/spreadsheetml/2009/9/main" uri="{CCE6A557-97BC-4b89-ADB6-D9C93CAAB3DF}">
      <x14:dataValidations xmlns:xm="http://schemas.microsoft.com/office/excel/2006/main" count="1">
        <x14:dataValidation type="list" showInputMessage="1" showErrorMessage="1" xr:uid="{523A3A88-733E-432D-9A3E-0DD1B5D289BF}">
          <x14:formula1>
            <xm:f>'Back up'!$D$3:$D$8</xm:f>
          </x14:formula1>
          <xm:sqref>N3:N8</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63FC-7B71-4033-B78B-1D9FFB5B5AC7}">
  <sheetPr codeName="Sheet10">
    <tabColor theme="5" tint="-0.249977111117893"/>
  </sheetPr>
  <dimension ref="A1:BP213"/>
  <sheetViews>
    <sheetView showGridLines="0" zoomScaleNormal="100" workbookViewId="0">
      <pane xSplit="5" ySplit="2" topLeftCell="F3" activePane="bottomRight" state="frozen"/>
      <selection pane="topRight" activeCell="S63" sqref="S63"/>
      <selection pane="bottomLeft" activeCell="S63" sqref="S63"/>
      <selection pane="bottomRight" activeCell="S63" sqref="S63"/>
    </sheetView>
  </sheetViews>
  <sheetFormatPr defaultColWidth="14.25" defaultRowHeight="15" customHeight="1" outlineLevelRow="1" outlineLevelCol="2"/>
  <cols>
    <col min="1" max="1" width="18.375" style="3" customWidth="1"/>
    <col min="2" max="2" width="12.5" style="1" customWidth="1"/>
    <col min="3" max="3" width="23.625" style="3" hidden="1" customWidth="1" outlineLevel="1"/>
    <col min="4" max="4" width="34.25" style="3" hidden="1" customWidth="1" outlineLevel="1"/>
    <col min="5" max="5" width="20.5" style="3" hidden="1" customWidth="1" outlineLevel="1"/>
    <col min="6" max="7" width="8" style="337" customWidth="1" collapsed="1"/>
    <col min="8" max="8" width="12.5" style="337" customWidth="1"/>
    <col min="9" max="9" width="5.125" style="36" customWidth="1"/>
    <col min="10" max="10" width="5.125" style="32" customWidth="1"/>
    <col min="11" max="11" width="9.875" style="3" hidden="1" customWidth="1" outlineLevel="1"/>
    <col min="12" max="12" width="8.875" style="32" customWidth="1" collapsed="1"/>
    <col min="13" max="13" width="9.25" style="4" customWidth="1"/>
    <col min="14" max="15" width="9.25" style="2" hidden="1" customWidth="1" outlineLevel="2"/>
    <col min="16" max="16" width="9.5" style="2" customWidth="1" outlineLevel="1" collapsed="1"/>
    <col min="17" max="17" width="4.875" style="4" customWidth="1"/>
    <col min="18" max="18" width="13.625" style="2" customWidth="1"/>
    <col min="19" max="19" width="9.625" style="2" customWidth="1"/>
    <col min="20" max="20" width="15.625" style="11" hidden="1" customWidth="1" outlineLevel="1"/>
    <col min="21" max="21" width="7.875" style="8" customWidth="1" collapsed="1"/>
    <col min="22" max="22" width="13.875" style="8" customWidth="1"/>
    <col min="23" max="23" width="13.125" style="2" customWidth="1"/>
    <col min="24" max="24" width="9.875" style="12" customWidth="1"/>
    <col min="25" max="25" width="9.875" style="2" customWidth="1"/>
    <col min="26" max="26" width="11.625" style="2" customWidth="1"/>
    <col min="27" max="27" width="16.5" style="2" bestFit="1" customWidth="1"/>
    <col min="28" max="28" width="27" style="2" customWidth="1"/>
    <col min="29" max="29" width="12.375" style="2" hidden="1" customWidth="1" outlineLevel="1"/>
    <col min="30" max="30" width="11.375" style="2" hidden="1" customWidth="1" collapsed="1"/>
    <col min="31" max="31" width="11.625" style="2" hidden="1" customWidth="1"/>
    <col min="32" max="32" width="16.625" style="36" hidden="1" customWidth="1"/>
    <col min="33" max="33" width="11" style="36" hidden="1" customWidth="1"/>
    <col min="34" max="34" width="11.625" style="36" hidden="1" customWidth="1"/>
    <col min="35" max="35" width="11.625" style="36" customWidth="1"/>
    <col min="36" max="36" width="12.375" style="36" customWidth="1"/>
    <col min="37" max="37" width="9.875" style="32" customWidth="1"/>
    <col min="38" max="38" width="12.5" style="32" bestFit="1" customWidth="1"/>
    <col min="39" max="39" width="8.375" style="32" customWidth="1"/>
    <col min="40" max="41" width="13.875" style="36" hidden="1" customWidth="1" outlineLevel="1"/>
    <col min="42" max="42" width="11.625" style="36" customWidth="1" collapsed="1"/>
    <col min="43" max="46" width="11.625" style="36" customWidth="1"/>
    <col min="47" max="48" width="11.625" style="14" customWidth="1"/>
    <col min="49" max="49" width="114.75" style="14" bestFit="1" customWidth="1"/>
    <col min="50" max="50" width="16" style="14" customWidth="1"/>
    <col min="51" max="51" width="11.75" style="14" customWidth="1"/>
    <col min="52" max="52" width="11.75" style="1" customWidth="1"/>
    <col min="53" max="53" width="19" style="2" customWidth="1"/>
    <col min="54" max="54" width="16" style="3" customWidth="1"/>
    <col min="55" max="16384" width="14.25" style="3"/>
  </cols>
  <sheetData>
    <row r="1" spans="1:68" s="146" customFormat="1" ht="33.75" customHeight="1">
      <c r="A1" s="332" t="s">
        <v>1790</v>
      </c>
      <c r="B1" s="1"/>
      <c r="C1" s="354"/>
      <c r="D1" s="354"/>
      <c r="E1" s="354"/>
      <c r="F1" s="2"/>
      <c r="G1" s="2"/>
      <c r="H1" s="3"/>
      <c r="I1" s="354"/>
      <c r="J1" s="354"/>
      <c r="K1" s="354" t="s">
        <v>454</v>
      </c>
      <c r="L1" s="354"/>
      <c r="M1" s="378"/>
      <c r="N1" s="378"/>
      <c r="O1" s="378"/>
      <c r="P1" s="378"/>
      <c r="Q1" s="357"/>
      <c r="R1" s="2607" t="s">
        <v>455</v>
      </c>
      <c r="S1" s="2607"/>
      <c r="T1" s="2896"/>
      <c r="U1" s="465" t="s">
        <v>456</v>
      </c>
      <c r="V1" s="526" t="s">
        <v>1791</v>
      </c>
      <c r="W1" s="44"/>
      <c r="X1" s="466" t="s">
        <v>1341</v>
      </c>
      <c r="Y1" s="467" t="s">
        <v>458</v>
      </c>
      <c r="Z1" s="46"/>
      <c r="AA1" s="46"/>
      <c r="AB1" s="46"/>
      <c r="AC1" s="47"/>
      <c r="AD1" s="46"/>
      <c r="AE1" s="46"/>
      <c r="AF1" s="46"/>
      <c r="AG1" s="46"/>
      <c r="AH1" s="47"/>
      <c r="AI1" s="2897" t="s">
        <v>1792</v>
      </c>
      <c r="AJ1" s="2898"/>
      <c r="AK1" s="2898"/>
      <c r="AL1" s="2898"/>
      <c r="AM1" s="2898"/>
      <c r="AN1" s="528"/>
      <c r="AO1" s="529"/>
      <c r="AP1" s="2897" t="s">
        <v>1793</v>
      </c>
      <c r="AQ1" s="2898"/>
      <c r="AR1" s="2898"/>
      <c r="AS1" s="2898"/>
      <c r="AT1" s="2898"/>
      <c r="AU1" s="2898"/>
      <c r="AV1" s="2899"/>
      <c r="AW1" s="360"/>
      <c r="AX1" s="379"/>
      <c r="AY1" s="379"/>
      <c r="AZ1" s="379"/>
      <c r="BA1" s="379"/>
      <c r="BB1" s="379"/>
      <c r="BC1" s="380"/>
      <c r="BD1" s="354"/>
      <c r="BE1" s="354"/>
      <c r="BF1" s="354"/>
    </row>
    <row r="2" spans="1:68" s="650" customFormat="1" ht="39" thickBot="1">
      <c r="A2" s="647" t="s">
        <v>1344</v>
      </c>
      <c r="B2" s="647" t="s">
        <v>1345</v>
      </c>
      <c r="C2" s="647" t="s">
        <v>1346</v>
      </c>
      <c r="D2" s="647" t="s">
        <v>1347</v>
      </c>
      <c r="E2" s="647" t="s">
        <v>1794</v>
      </c>
      <c r="F2" s="647" t="s">
        <v>1350</v>
      </c>
      <c r="G2" s="647" t="s">
        <v>1351</v>
      </c>
      <c r="H2" s="647" t="s">
        <v>1352</v>
      </c>
      <c r="I2" s="2846" t="s">
        <v>1795</v>
      </c>
      <c r="J2" s="2847"/>
      <c r="K2" s="647" t="s">
        <v>1349</v>
      </c>
      <c r="L2" s="647" t="s">
        <v>1796</v>
      </c>
      <c r="M2" s="647" t="s">
        <v>1354</v>
      </c>
      <c r="N2" s="647" t="s">
        <v>1697</v>
      </c>
      <c r="O2" s="647" t="s">
        <v>1356</v>
      </c>
      <c r="P2" s="647" t="s">
        <v>1357</v>
      </c>
      <c r="Q2" s="647" t="s">
        <v>1358</v>
      </c>
      <c r="R2" s="647" t="s">
        <v>480</v>
      </c>
      <c r="S2" s="647" t="s">
        <v>1360</v>
      </c>
      <c r="T2" s="647" t="s">
        <v>482</v>
      </c>
      <c r="U2" s="647" t="s">
        <v>1363</v>
      </c>
      <c r="V2" s="647" t="s">
        <v>1797</v>
      </c>
      <c r="W2" s="647" t="s">
        <v>1798</v>
      </c>
      <c r="X2" s="648" t="s">
        <v>1716</v>
      </c>
      <c r="Y2" s="648" t="s">
        <v>1717</v>
      </c>
      <c r="Z2" s="648" t="s">
        <v>1799</v>
      </c>
      <c r="AA2" s="2846" t="s">
        <v>1800</v>
      </c>
      <c r="AB2" s="2900"/>
      <c r="AC2" s="649" t="s">
        <v>1723</v>
      </c>
      <c r="AD2" s="649" t="s">
        <v>1727</v>
      </c>
      <c r="AE2" s="649" t="s">
        <v>1801</v>
      </c>
      <c r="AF2" s="649" t="s">
        <v>1802</v>
      </c>
      <c r="AG2" s="649" t="s">
        <v>1803</v>
      </c>
      <c r="AH2" s="646" t="s">
        <v>1804</v>
      </c>
      <c r="AI2" s="648" t="s">
        <v>1805</v>
      </c>
      <c r="AJ2" s="648" t="s">
        <v>1385</v>
      </c>
      <c r="AK2" s="648" t="s">
        <v>1806</v>
      </c>
      <c r="AL2" s="648" t="s">
        <v>1807</v>
      </c>
      <c r="AM2" s="648" t="s">
        <v>1808</v>
      </c>
      <c r="AN2" s="648" t="s">
        <v>1734</v>
      </c>
      <c r="AO2" s="648" t="s">
        <v>1809</v>
      </c>
      <c r="AP2" s="648" t="s">
        <v>1810</v>
      </c>
      <c r="AQ2" s="648" t="s">
        <v>1811</v>
      </c>
      <c r="AR2" s="648" t="s">
        <v>1812</v>
      </c>
      <c r="AS2" s="648" t="s">
        <v>1813</v>
      </c>
      <c r="AT2" s="648" t="s">
        <v>1814</v>
      </c>
      <c r="AU2" s="597" t="s">
        <v>494</v>
      </c>
      <c r="AV2" s="648" t="s">
        <v>1383</v>
      </c>
      <c r="AW2" s="648" t="s">
        <v>1815</v>
      </c>
    </row>
    <row r="3" spans="1:68" s="338" customFormat="1" ht="24" outlineLevel="1">
      <c r="A3" s="2894" t="str">
        <f>"POSN2HO M&amp;A - 5PJT                         "
&amp;ROUND(SUM(L3:L7),2)</f>
        <v>POSN2HO M&amp;A - 5PJT                         1668.87</v>
      </c>
      <c r="B3" s="635" t="s">
        <v>1816</v>
      </c>
      <c r="C3" s="637" t="s">
        <v>1817</v>
      </c>
      <c r="D3" s="639" t="s">
        <v>1818</v>
      </c>
      <c r="E3" s="745" t="s">
        <v>1819</v>
      </c>
      <c r="F3" s="706">
        <v>7.1900000000000006E-2</v>
      </c>
      <c r="G3" s="656"/>
      <c r="H3" s="351">
        <v>465.5</v>
      </c>
      <c r="I3" s="613">
        <v>1347</v>
      </c>
      <c r="J3" s="614">
        <f>I3/365</f>
        <v>3.6904109589041094</v>
      </c>
      <c r="K3" s="325">
        <v>45664</v>
      </c>
      <c r="L3" s="1438">
        <v>362.88</v>
      </c>
      <c r="M3" s="587">
        <v>45839</v>
      </c>
      <c r="N3" s="325" t="s">
        <v>742</v>
      </c>
      <c r="O3" s="587"/>
      <c r="P3" s="587">
        <f>EDATE(M3,6)</f>
        <v>46023</v>
      </c>
      <c r="Q3" s="617">
        <v>1</v>
      </c>
      <c r="R3" s="744">
        <v>40000000</v>
      </c>
      <c r="S3" s="619">
        <v>6</v>
      </c>
      <c r="T3" s="350" t="s">
        <v>1820</v>
      </c>
      <c r="U3" s="621" t="s">
        <v>1821</v>
      </c>
      <c r="V3" s="589">
        <v>30000000</v>
      </c>
      <c r="W3" s="623">
        <v>1566.18</v>
      </c>
      <c r="X3" s="626" t="s">
        <v>1822</v>
      </c>
      <c r="Y3" s="593" t="s">
        <v>1823</v>
      </c>
      <c r="Z3" s="617" t="s">
        <v>1824</v>
      </c>
      <c r="AA3" s="593" t="s">
        <v>1825</v>
      </c>
      <c r="AB3" s="626" t="s">
        <v>1826</v>
      </c>
      <c r="AC3" s="598">
        <v>8370116</v>
      </c>
      <c r="AD3" s="81"/>
      <c r="AE3" s="600"/>
      <c r="AF3" s="600"/>
      <c r="AG3" s="600"/>
      <c r="AH3" s="327"/>
      <c r="AI3" s="587">
        <f ca="1">TODAY()</f>
        <v>46037</v>
      </c>
      <c r="AJ3" s="587" t="s">
        <v>1827</v>
      </c>
      <c r="AK3" s="1046" t="s">
        <v>1828</v>
      </c>
      <c r="AL3" s="629" t="s">
        <v>1829</v>
      </c>
      <c r="AM3" s="594">
        <v>576</v>
      </c>
      <c r="AN3" s="351" t="s">
        <v>1830</v>
      </c>
      <c r="AO3" s="351" t="s">
        <v>1830</v>
      </c>
      <c r="AP3" s="594">
        <v>30000</v>
      </c>
      <c r="AQ3" s="631">
        <f>+L3*30000</f>
        <v>10886400</v>
      </c>
      <c r="AR3" s="633">
        <v>5</v>
      </c>
      <c r="AS3" s="601">
        <f>30000000*90%*L3/1000*AR3</f>
        <v>48988800</v>
      </c>
      <c r="AT3" s="611">
        <f>+L3*100000000/1000</f>
        <v>36288000</v>
      </c>
      <c r="AU3" s="611">
        <f>+L3*300000000/1000</f>
        <v>108864000</v>
      </c>
      <c r="AV3" s="611">
        <f>+L3*1050000000/1000</f>
        <v>381024000</v>
      </c>
      <c r="AW3" s="608" t="s">
        <v>1831</v>
      </c>
      <c r="AX3" s="272" t="s">
        <v>1832</v>
      </c>
      <c r="AY3" s="272"/>
      <c r="AZ3" s="272"/>
      <c r="BA3" s="272"/>
      <c r="BB3" s="272"/>
      <c r="BC3" s="272"/>
      <c r="BD3" s="272"/>
      <c r="BE3" s="272"/>
      <c r="BF3" s="272"/>
      <c r="BG3" s="272"/>
      <c r="BH3" s="272"/>
      <c r="BI3" s="272"/>
      <c r="BJ3" s="272"/>
      <c r="BK3" s="272"/>
      <c r="BL3" s="272"/>
      <c r="BM3" s="272"/>
      <c r="BN3" s="272"/>
      <c r="BO3" s="272"/>
      <c r="BP3" s="272"/>
    </row>
    <row r="4" spans="1:68" s="338" customFormat="1" ht="16.5" outlineLevel="1">
      <c r="A4" s="2894"/>
      <c r="B4" s="635" t="s">
        <v>1833</v>
      </c>
      <c r="C4" s="637" t="s">
        <v>1834</v>
      </c>
      <c r="D4" s="640" t="s">
        <v>1835</v>
      </c>
      <c r="E4" s="587" t="s">
        <v>1819</v>
      </c>
      <c r="F4" s="656">
        <v>7.9899999999999999E-2</v>
      </c>
      <c r="G4" s="656"/>
      <c r="H4" s="351">
        <v>204.47</v>
      </c>
      <c r="I4" s="613">
        <v>1437</v>
      </c>
      <c r="J4" s="614">
        <f t="shared" ref="J4:J7" si="0">I4/365</f>
        <v>3.9369863013698629</v>
      </c>
      <c r="K4" s="325">
        <v>45664</v>
      </c>
      <c r="L4" s="1438">
        <v>141.12</v>
      </c>
      <c r="M4" s="587">
        <v>45839</v>
      </c>
      <c r="N4" s="325" t="s">
        <v>742</v>
      </c>
      <c r="O4" s="587"/>
      <c r="P4" s="587">
        <f t="shared" ref="P4:P7" si="1">EDATE(M4,6)</f>
        <v>46023</v>
      </c>
      <c r="Q4" s="617">
        <v>1</v>
      </c>
      <c r="R4" s="619">
        <v>40000000</v>
      </c>
      <c r="S4" s="619">
        <v>6</v>
      </c>
      <c r="T4" s="350" t="s">
        <v>1836</v>
      </c>
      <c r="U4" s="621" t="s">
        <v>1821</v>
      </c>
      <c r="V4" s="589">
        <v>30000000</v>
      </c>
      <c r="W4" s="624">
        <v>625</v>
      </c>
      <c r="X4" s="626" t="s">
        <v>1837</v>
      </c>
      <c r="Y4" s="593" t="s">
        <v>1823</v>
      </c>
      <c r="Z4" s="617" t="s">
        <v>1838</v>
      </c>
      <c r="AA4" s="593" t="s">
        <v>1825</v>
      </c>
      <c r="AB4" s="626" t="s">
        <v>1839</v>
      </c>
      <c r="AC4" s="598">
        <v>3417797</v>
      </c>
      <c r="AD4" s="81"/>
      <c r="AE4" s="600"/>
      <c r="AF4" s="600"/>
      <c r="AG4" s="600"/>
      <c r="AH4" s="327"/>
      <c r="AI4" s="587">
        <f t="shared" ref="AI4:AI7" ca="1" si="2">TODAY()</f>
        <v>46037</v>
      </c>
      <c r="AJ4" s="587" t="s">
        <v>1830</v>
      </c>
      <c r="AK4" s="1046" t="s">
        <v>1828</v>
      </c>
      <c r="AL4" s="629" t="s">
        <v>1840</v>
      </c>
      <c r="AM4" s="594">
        <v>224</v>
      </c>
      <c r="AN4" s="351" t="s">
        <v>1830</v>
      </c>
      <c r="AO4" s="351" t="s">
        <v>1830</v>
      </c>
      <c r="AP4" s="594">
        <v>30000</v>
      </c>
      <c r="AQ4" s="631">
        <f>+L4*30000</f>
        <v>4233600</v>
      </c>
      <c r="AR4" s="633">
        <v>5</v>
      </c>
      <c r="AS4" s="601">
        <f>30000000*90%*L4/1000*AR4</f>
        <v>19051200</v>
      </c>
      <c r="AT4" s="611">
        <f>+L4*100000000/1000</f>
        <v>14112000</v>
      </c>
      <c r="AU4" s="611">
        <f>+L4*300000000/1000</f>
        <v>42336000</v>
      </c>
      <c r="AV4" s="611">
        <f t="shared" ref="AV4:AV7" si="3">+L4*1050000000/1000</f>
        <v>148176000</v>
      </c>
      <c r="AW4" s="608" t="s">
        <v>1841</v>
      </c>
      <c r="AX4" s="272"/>
      <c r="AY4" s="272"/>
      <c r="AZ4" s="272"/>
      <c r="BA4" s="272"/>
      <c r="BB4" s="272"/>
      <c r="BC4" s="272"/>
      <c r="BD4" s="272"/>
      <c r="BE4" s="272"/>
      <c r="BF4" s="272"/>
      <c r="BG4" s="272"/>
      <c r="BH4" s="272"/>
      <c r="BI4" s="272"/>
      <c r="BJ4" s="272"/>
      <c r="BK4" s="272"/>
      <c r="BL4" s="272"/>
      <c r="BM4" s="272"/>
      <c r="BN4" s="272"/>
      <c r="BO4" s="272"/>
      <c r="BP4" s="272"/>
    </row>
    <row r="5" spans="1:68" s="338" customFormat="1" ht="16.5" outlineLevel="1">
      <c r="A5" s="2894"/>
      <c r="B5" s="635" t="s">
        <v>1842</v>
      </c>
      <c r="C5" s="637" t="s">
        <v>1843</v>
      </c>
      <c r="D5" s="639" t="s">
        <v>1844</v>
      </c>
      <c r="E5" s="587" t="s">
        <v>1845</v>
      </c>
      <c r="F5" s="656">
        <v>7.3599999999999999E-2</v>
      </c>
      <c r="G5" s="656"/>
      <c r="H5" s="351">
        <v>1076.5</v>
      </c>
      <c r="I5" s="613">
        <v>1351</v>
      </c>
      <c r="J5" s="614">
        <f t="shared" si="0"/>
        <v>3.7013698630136984</v>
      </c>
      <c r="K5" s="325">
        <v>45664</v>
      </c>
      <c r="L5" s="1438">
        <v>790.65</v>
      </c>
      <c r="M5" s="587">
        <v>45839</v>
      </c>
      <c r="N5" s="325" t="s">
        <v>742</v>
      </c>
      <c r="O5" s="587"/>
      <c r="P5" s="587">
        <f t="shared" si="1"/>
        <v>46023</v>
      </c>
      <c r="Q5" s="617">
        <v>1</v>
      </c>
      <c r="R5" s="619">
        <v>40000000</v>
      </c>
      <c r="S5" s="619">
        <v>6</v>
      </c>
      <c r="T5" s="350" t="s">
        <v>1846</v>
      </c>
      <c r="U5" s="621" t="s">
        <v>1821</v>
      </c>
      <c r="V5" s="589">
        <v>30000000</v>
      </c>
      <c r="W5" s="624">
        <v>3464</v>
      </c>
      <c r="X5" s="626" t="s">
        <v>1847</v>
      </c>
      <c r="Y5" s="593" t="s">
        <v>1823</v>
      </c>
      <c r="Z5" s="617" t="s">
        <v>1838</v>
      </c>
      <c r="AA5" s="593" t="s">
        <v>1825</v>
      </c>
      <c r="AB5" s="626" t="s">
        <v>1848</v>
      </c>
      <c r="AC5" s="598">
        <v>19148820</v>
      </c>
      <c r="AD5" s="81"/>
      <c r="AE5" s="600"/>
      <c r="AF5" s="600"/>
      <c r="AG5" s="600"/>
      <c r="AH5" s="327"/>
      <c r="AI5" s="587">
        <f t="shared" ca="1" si="2"/>
        <v>46037</v>
      </c>
      <c r="AJ5" s="587" t="s">
        <v>1830</v>
      </c>
      <c r="AK5" s="1046" t="s">
        <v>1849</v>
      </c>
      <c r="AL5" s="629" t="s">
        <v>1840</v>
      </c>
      <c r="AM5" s="594">
        <v>1255</v>
      </c>
      <c r="AN5" s="351" t="s">
        <v>1830</v>
      </c>
      <c r="AO5" s="351" t="s">
        <v>1830</v>
      </c>
      <c r="AP5" s="594">
        <v>30000</v>
      </c>
      <c r="AQ5" s="631">
        <f>+L5*30000</f>
        <v>23719500</v>
      </c>
      <c r="AR5" s="633">
        <v>5</v>
      </c>
      <c r="AS5" s="601">
        <f>30000000*90%*L5/1000*AR5</f>
        <v>106737750</v>
      </c>
      <c r="AT5" s="611">
        <f>+L5*100000000/1000</f>
        <v>79065000</v>
      </c>
      <c r="AU5" s="611">
        <f>+L5*300000000/1000</f>
        <v>237195000</v>
      </c>
      <c r="AV5" s="611">
        <f t="shared" si="3"/>
        <v>830182500</v>
      </c>
      <c r="AW5" s="609" t="s">
        <v>1850</v>
      </c>
      <c r="AX5" s="272"/>
      <c r="AY5" s="272"/>
      <c r="AZ5" s="272"/>
      <c r="BA5" s="272"/>
      <c r="BB5" s="272"/>
      <c r="BC5" s="272"/>
      <c r="BD5" s="272"/>
      <c r="BE5" s="272"/>
      <c r="BF5" s="272"/>
      <c r="BG5" s="272"/>
      <c r="BH5" s="272"/>
      <c r="BI5" s="272"/>
      <c r="BJ5" s="272"/>
      <c r="BK5" s="272"/>
      <c r="BL5" s="272"/>
      <c r="BM5" s="272"/>
      <c r="BN5" s="272"/>
      <c r="BO5" s="272"/>
      <c r="BP5" s="272"/>
    </row>
    <row r="6" spans="1:68" s="338" customFormat="1" ht="16.5" outlineLevel="1">
      <c r="A6" s="2894"/>
      <c r="B6" s="635" t="s">
        <v>1851</v>
      </c>
      <c r="C6" s="637" t="s">
        <v>1852</v>
      </c>
      <c r="D6" s="639" t="s">
        <v>1853</v>
      </c>
      <c r="E6" s="587" t="s">
        <v>1854</v>
      </c>
      <c r="F6" s="656">
        <v>7.4899999999999994E-2</v>
      </c>
      <c r="G6" s="656"/>
      <c r="H6" s="351">
        <v>177</v>
      </c>
      <c r="I6" s="613">
        <v>1401</v>
      </c>
      <c r="J6" s="614">
        <f t="shared" si="0"/>
        <v>3.8383561643835615</v>
      </c>
      <c r="K6" s="325">
        <v>45664</v>
      </c>
      <c r="L6" s="1438">
        <v>125.37</v>
      </c>
      <c r="M6" s="587">
        <v>45839</v>
      </c>
      <c r="N6" s="325" t="s">
        <v>742</v>
      </c>
      <c r="O6" s="587"/>
      <c r="P6" s="587">
        <f t="shared" si="1"/>
        <v>46023</v>
      </c>
      <c r="Q6" s="617">
        <v>1</v>
      </c>
      <c r="R6" s="619">
        <v>40000000</v>
      </c>
      <c r="S6" s="619">
        <v>6</v>
      </c>
      <c r="T6" s="350" t="s">
        <v>1855</v>
      </c>
      <c r="U6" s="621" t="s">
        <v>1821</v>
      </c>
      <c r="V6" s="589">
        <v>30000000</v>
      </c>
      <c r="W6" s="624">
        <v>537</v>
      </c>
      <c r="X6" s="626" t="s">
        <v>1856</v>
      </c>
      <c r="Y6" s="593" t="s">
        <v>1823</v>
      </c>
      <c r="Z6" s="617" t="s">
        <v>1857</v>
      </c>
      <c r="AA6" s="593" t="s">
        <v>1825</v>
      </c>
      <c r="AB6" s="626" t="s">
        <v>1858</v>
      </c>
      <c r="AC6" s="598">
        <v>3036347</v>
      </c>
      <c r="AD6" s="81"/>
      <c r="AE6" s="600"/>
      <c r="AF6" s="600"/>
      <c r="AG6" s="600"/>
      <c r="AH6" s="327"/>
      <c r="AI6" s="587">
        <f t="shared" ca="1" si="2"/>
        <v>46037</v>
      </c>
      <c r="AJ6" s="587" t="s">
        <v>1830</v>
      </c>
      <c r="AK6" s="1046" t="s">
        <v>1828</v>
      </c>
      <c r="AL6" s="629" t="s">
        <v>1840</v>
      </c>
      <c r="AM6" s="594">
        <v>199</v>
      </c>
      <c r="AN6" s="351" t="s">
        <v>1830</v>
      </c>
      <c r="AO6" s="351" t="s">
        <v>1830</v>
      </c>
      <c r="AP6" s="594">
        <v>30000</v>
      </c>
      <c r="AQ6" s="631">
        <f>+L6*30000</f>
        <v>3761100</v>
      </c>
      <c r="AR6" s="633">
        <v>5</v>
      </c>
      <c r="AS6" s="601">
        <f>30000000*90%*L6/1000*AR6</f>
        <v>16924950</v>
      </c>
      <c r="AT6" s="611">
        <f>+L6*100000000/1000</f>
        <v>12537000</v>
      </c>
      <c r="AU6" s="611">
        <f>+L6*300000000/1000</f>
        <v>37611000</v>
      </c>
      <c r="AV6" s="611">
        <f t="shared" si="3"/>
        <v>131638500</v>
      </c>
      <c r="AW6" s="609" t="s">
        <v>1850</v>
      </c>
      <c r="AX6" s="272"/>
      <c r="AY6" s="272"/>
      <c r="AZ6" s="272"/>
      <c r="BA6" s="272"/>
      <c r="BB6" s="272"/>
      <c r="BC6" s="272"/>
      <c r="BD6" s="272"/>
      <c r="BE6" s="272"/>
      <c r="BF6" s="272"/>
      <c r="BG6" s="272"/>
      <c r="BH6" s="272"/>
      <c r="BI6" s="272"/>
      <c r="BJ6" s="272"/>
      <c r="BK6" s="272"/>
      <c r="BL6" s="272"/>
      <c r="BM6" s="272"/>
      <c r="BN6" s="272"/>
      <c r="BO6" s="272"/>
      <c r="BP6" s="272"/>
    </row>
    <row r="7" spans="1:68" s="338" customFormat="1" ht="16.5" outlineLevel="1">
      <c r="A7" s="2895"/>
      <c r="B7" s="636" t="s">
        <v>1859</v>
      </c>
      <c r="C7" s="638" t="s">
        <v>1860</v>
      </c>
      <c r="D7" s="641" t="s">
        <v>1861</v>
      </c>
      <c r="E7" s="588" t="s">
        <v>1862</v>
      </c>
      <c r="F7" s="657">
        <v>7.8799999999999995E-2</v>
      </c>
      <c r="G7" s="657"/>
      <c r="H7" s="659">
        <v>351.83</v>
      </c>
      <c r="I7" s="615">
        <v>1410</v>
      </c>
      <c r="J7" s="616">
        <f t="shared" si="0"/>
        <v>3.8630136986301369</v>
      </c>
      <c r="K7" s="602">
        <v>45664</v>
      </c>
      <c r="L7" s="1439">
        <v>248.85</v>
      </c>
      <c r="M7" s="588">
        <v>45839</v>
      </c>
      <c r="N7" s="602" t="s">
        <v>742</v>
      </c>
      <c r="O7" s="588"/>
      <c r="P7" s="588">
        <f t="shared" si="1"/>
        <v>46023</v>
      </c>
      <c r="Q7" s="618">
        <v>1</v>
      </c>
      <c r="R7" s="620">
        <v>40000000</v>
      </c>
      <c r="S7" s="620">
        <v>6</v>
      </c>
      <c r="T7" s="592" t="s">
        <v>1863</v>
      </c>
      <c r="U7" s="622" t="s">
        <v>1821</v>
      </c>
      <c r="V7" s="590">
        <v>30000000</v>
      </c>
      <c r="W7" s="625">
        <f>320+740+310+330+320</f>
        <v>2020</v>
      </c>
      <c r="X7" s="627" t="s">
        <v>1864</v>
      </c>
      <c r="Y7" s="595" t="s">
        <v>1823</v>
      </c>
      <c r="Z7" s="618" t="s">
        <v>1865</v>
      </c>
      <c r="AA7" s="1325" t="s">
        <v>1866</v>
      </c>
      <c r="AB7" s="627" t="s">
        <v>1867</v>
      </c>
      <c r="AC7" s="603">
        <v>6026920</v>
      </c>
      <c r="AD7" s="604"/>
      <c r="AE7" s="605"/>
      <c r="AF7" s="605"/>
      <c r="AG7" s="605"/>
      <c r="AH7" s="606"/>
      <c r="AI7" s="588">
        <f t="shared" ca="1" si="2"/>
        <v>46037</v>
      </c>
      <c r="AJ7" s="588" t="s">
        <v>1830</v>
      </c>
      <c r="AK7" s="1047" t="s">
        <v>1828</v>
      </c>
      <c r="AL7" s="630" t="s">
        <v>1840</v>
      </c>
      <c r="AM7" s="628">
        <v>395</v>
      </c>
      <c r="AN7" s="596" t="s">
        <v>1830</v>
      </c>
      <c r="AO7" s="596" t="s">
        <v>1830</v>
      </c>
      <c r="AP7" s="628">
        <v>30000</v>
      </c>
      <c r="AQ7" s="632">
        <f>+L7*30000</f>
        <v>7465500</v>
      </c>
      <c r="AR7" s="634">
        <v>5</v>
      </c>
      <c r="AS7" s="607">
        <f>30000000*90%*L7/1000*AR7</f>
        <v>33594750</v>
      </c>
      <c r="AT7" s="612">
        <f>+L7*100000000/1000</f>
        <v>24885000</v>
      </c>
      <c r="AU7" s="612">
        <f>+L7*300000000/1000</f>
        <v>74655000</v>
      </c>
      <c r="AV7" s="612">
        <f t="shared" si="3"/>
        <v>261292500</v>
      </c>
      <c r="AW7" s="610" t="s">
        <v>1850</v>
      </c>
      <c r="AX7" s="272"/>
      <c r="AY7" s="272"/>
      <c r="AZ7" s="272"/>
      <c r="BA7" s="272"/>
      <c r="BB7" s="272"/>
      <c r="BC7" s="272"/>
      <c r="BD7" s="272"/>
      <c r="BE7" s="272"/>
      <c r="BF7" s="272"/>
      <c r="BG7" s="272"/>
      <c r="BH7" s="272"/>
      <c r="BI7" s="272"/>
      <c r="BJ7" s="272"/>
      <c r="BK7" s="272"/>
      <c r="BL7" s="272"/>
      <c r="BM7" s="272"/>
      <c r="BN7" s="272"/>
      <c r="BO7" s="272"/>
      <c r="BP7" s="272"/>
    </row>
    <row r="8" spans="1:68" ht="18" customHeight="1">
      <c r="A8" s="67"/>
      <c r="B8" s="743">
        <f>SUM(L3:L7)</f>
        <v>1668.87</v>
      </c>
      <c r="C8" s="67"/>
      <c r="D8" s="66"/>
      <c r="E8" s="5"/>
      <c r="F8" s="470"/>
      <c r="G8" s="470"/>
      <c r="H8" s="382"/>
      <c r="I8" s="525"/>
      <c r="L8" s="713">
        <f>+SUM(L3:L7)</f>
        <v>1668.87</v>
      </c>
      <c r="M8" s="325"/>
      <c r="P8" s="3"/>
      <c r="Q8" s="2"/>
      <c r="R8" s="4"/>
      <c r="S8" s="8"/>
      <c r="T8" s="464"/>
      <c r="V8" s="7"/>
      <c r="X8" s="350"/>
      <c r="Y8" s="357"/>
      <c r="Z8" s="350"/>
      <c r="AA8" s="357"/>
      <c r="AB8" s="357"/>
      <c r="AC8" s="82"/>
      <c r="AD8" s="82"/>
      <c r="AE8" s="82"/>
      <c r="AF8" s="82"/>
      <c r="AG8" s="82"/>
      <c r="AH8" s="82"/>
      <c r="AI8" s="83"/>
      <c r="AJ8" s="83"/>
      <c r="AN8" s="599"/>
      <c r="AO8" s="599"/>
      <c r="AP8" s="599"/>
      <c r="AQ8" s="82"/>
      <c r="AR8" s="82"/>
      <c r="AS8" s="82"/>
      <c r="AT8" s="82"/>
      <c r="AU8" s="82"/>
      <c r="AV8" s="381"/>
      <c r="AW8" s="2"/>
      <c r="AX8" s="2"/>
      <c r="AY8" s="2"/>
      <c r="BB8" s="5"/>
    </row>
    <row r="9" spans="1:68" ht="18" customHeight="1">
      <c r="A9" s="67"/>
      <c r="C9" s="67"/>
      <c r="D9" s="66"/>
      <c r="E9" s="5"/>
      <c r="F9" s="470"/>
      <c r="G9" s="470"/>
      <c r="H9" s="382"/>
      <c r="I9" s="35"/>
      <c r="P9" s="3"/>
      <c r="Q9" s="2"/>
      <c r="R9" s="4"/>
      <c r="S9" s="8"/>
      <c r="T9" s="8"/>
      <c r="V9" s="7"/>
      <c r="AC9" s="35"/>
      <c r="AD9" s="35"/>
      <c r="AE9" s="35"/>
      <c r="AF9" s="35"/>
      <c r="AG9" s="35"/>
      <c r="AH9" s="35"/>
      <c r="AI9" s="52"/>
      <c r="AJ9" s="32"/>
      <c r="AN9" s="35"/>
      <c r="AO9" s="10"/>
      <c r="AP9" s="35"/>
      <c r="AQ9" s="35"/>
      <c r="AR9" s="35"/>
      <c r="AS9" s="1579"/>
      <c r="AT9" s="35"/>
      <c r="AU9" s="35"/>
      <c r="AV9" s="37"/>
      <c r="AW9" s="2"/>
      <c r="AX9" s="2"/>
      <c r="AY9" s="2"/>
      <c r="BB9" s="5"/>
    </row>
    <row r="10" spans="1:68" ht="18" customHeight="1">
      <c r="A10" s="67"/>
      <c r="B10" s="68"/>
      <c r="C10" s="67"/>
      <c r="D10" s="73"/>
      <c r="E10" s="5"/>
      <c r="F10" s="470"/>
      <c r="G10" s="470"/>
      <c r="H10" s="382"/>
      <c r="I10" s="35"/>
      <c r="P10" s="3"/>
      <c r="Q10" s="2"/>
      <c r="R10" s="4"/>
      <c r="S10" s="8"/>
      <c r="T10" s="8"/>
      <c r="V10" s="7"/>
      <c r="AC10" s="35"/>
      <c r="AD10" s="35"/>
      <c r="AE10" s="35"/>
      <c r="AF10" s="35"/>
      <c r="AG10" s="35"/>
      <c r="AH10" s="35"/>
      <c r="AI10" s="52"/>
      <c r="AJ10" s="32"/>
      <c r="AN10" s="35"/>
      <c r="AO10" s="10"/>
      <c r="AP10" s="35"/>
      <c r="AQ10" s="35"/>
      <c r="AR10" s="1579"/>
      <c r="AS10" s="35"/>
      <c r="AT10" s="35"/>
      <c r="AU10" s="35"/>
      <c r="AV10" s="37"/>
      <c r="AW10" s="2"/>
      <c r="AX10" s="2"/>
      <c r="AY10" s="2"/>
      <c r="BB10" s="5"/>
    </row>
    <row r="11" spans="1:68" ht="18" customHeight="1">
      <c r="A11" s="67"/>
      <c r="B11" s="68"/>
      <c r="C11" s="67"/>
      <c r="D11" s="74"/>
      <c r="F11" s="470"/>
      <c r="G11" s="470"/>
      <c r="H11" s="382"/>
      <c r="I11" s="35"/>
      <c r="P11" s="3"/>
      <c r="Q11" s="2"/>
      <c r="R11" s="4"/>
      <c r="S11" s="8"/>
      <c r="T11" s="8"/>
      <c r="V11" s="7"/>
      <c r="AC11" s="35"/>
      <c r="AD11" s="35"/>
      <c r="AE11" s="35"/>
      <c r="AF11" s="35"/>
      <c r="AG11" s="35"/>
      <c r="AH11" s="35"/>
      <c r="AI11" s="52"/>
      <c r="AJ11" s="32"/>
      <c r="AN11" s="35"/>
      <c r="AO11" s="10"/>
      <c r="AP11" s="35"/>
      <c r="AQ11" s="35"/>
      <c r="AR11" s="1579"/>
      <c r="AS11" s="35"/>
      <c r="AT11" s="35"/>
      <c r="AU11" s="35"/>
      <c r="AV11" s="37"/>
      <c r="AW11" s="2"/>
      <c r="AX11" s="2"/>
      <c r="AY11" s="2"/>
    </row>
    <row r="12" spans="1:68" ht="18" customHeight="1">
      <c r="A12" s="67"/>
      <c r="B12" s="68"/>
      <c r="C12" s="67"/>
      <c r="D12" s="74"/>
      <c r="F12" s="470"/>
      <c r="G12" s="470"/>
      <c r="H12" s="352"/>
      <c r="I12" s="35"/>
      <c r="P12" s="3"/>
      <c r="Q12" s="2"/>
      <c r="R12" s="4"/>
      <c r="S12" s="8"/>
      <c r="T12" s="8"/>
      <c r="V12" s="7"/>
      <c r="AC12" s="35"/>
      <c r="AD12" s="35"/>
      <c r="AE12" s="35"/>
      <c r="AF12" s="35"/>
      <c r="AG12" s="35"/>
      <c r="AH12" s="35"/>
      <c r="AI12" s="52"/>
      <c r="AJ12" s="32"/>
      <c r="AN12" s="35"/>
      <c r="AO12" s="10"/>
      <c r="AP12" s="35"/>
      <c r="AQ12" s="35"/>
      <c r="AR12" s="1579"/>
      <c r="AS12" s="35"/>
      <c r="AT12" s="35"/>
      <c r="AU12" s="35"/>
      <c r="AV12" s="37"/>
      <c r="AW12" s="2"/>
      <c r="AX12" s="2"/>
      <c r="AY12" s="2"/>
    </row>
    <row r="13" spans="1:68" ht="18" customHeight="1">
      <c r="A13" s="67"/>
      <c r="B13" s="68"/>
      <c r="C13" s="76"/>
      <c r="D13" s="74"/>
      <c r="F13" s="470"/>
      <c r="G13" s="470"/>
      <c r="H13" s="352"/>
      <c r="I13" s="35"/>
      <c r="P13" s="3"/>
      <c r="Q13" s="2"/>
      <c r="R13" s="4"/>
      <c r="S13" s="8"/>
      <c r="T13" s="8"/>
      <c r="U13" s="79"/>
      <c r="V13" s="7"/>
      <c r="AC13" s="35"/>
      <c r="AD13" s="35"/>
      <c r="AE13" s="35"/>
      <c r="AF13" s="35"/>
      <c r="AG13" s="35"/>
      <c r="AH13" s="35"/>
      <c r="AI13" s="52"/>
      <c r="AJ13" s="32"/>
      <c r="AN13" s="35"/>
      <c r="AO13" s="10"/>
      <c r="AP13" s="35"/>
      <c r="AQ13" s="35"/>
      <c r="AR13" s="35"/>
      <c r="AS13" s="35"/>
      <c r="AT13" s="35"/>
      <c r="AU13" s="35"/>
      <c r="AV13" s="37"/>
      <c r="AW13" s="2"/>
      <c r="AX13" s="2"/>
      <c r="AY13" s="2"/>
      <c r="BB13" s="5"/>
    </row>
    <row r="14" spans="1:68">
      <c r="A14" s="67"/>
      <c r="B14" s="68"/>
      <c r="C14" s="67"/>
      <c r="D14" s="74"/>
      <c r="F14" s="470"/>
      <c r="G14" s="470"/>
      <c r="H14" s="382"/>
      <c r="I14" s="35"/>
      <c r="P14" s="3"/>
      <c r="Q14" s="2"/>
      <c r="R14" s="4"/>
      <c r="S14" s="8"/>
      <c r="T14" s="8"/>
      <c r="V14" s="7"/>
      <c r="X14" s="77"/>
      <c r="AC14" s="35"/>
      <c r="AD14" s="35"/>
      <c r="AE14" s="35"/>
      <c r="AF14" s="35"/>
      <c r="AG14" s="35"/>
      <c r="AH14" s="35"/>
      <c r="AI14" s="52"/>
      <c r="AJ14" s="32"/>
      <c r="AN14" s="35"/>
      <c r="AO14" s="10"/>
      <c r="AP14" s="35"/>
      <c r="AQ14" s="35"/>
      <c r="AR14" s="35"/>
      <c r="AS14" s="35"/>
      <c r="AT14" s="35"/>
      <c r="AU14" s="1486"/>
      <c r="AW14" s="2"/>
      <c r="AX14" s="2"/>
      <c r="AY14" s="2"/>
      <c r="BB14" s="78"/>
    </row>
    <row r="15" spans="1:68" ht="18" customHeight="1">
      <c r="A15" s="67"/>
      <c r="B15" s="68"/>
      <c r="C15" s="67"/>
      <c r="D15" s="74"/>
      <c r="F15" s="468"/>
      <c r="G15" s="468"/>
      <c r="H15" s="382"/>
      <c r="I15" s="35"/>
      <c r="P15" s="3"/>
      <c r="Q15" s="2"/>
      <c r="R15" s="4"/>
      <c r="S15" s="8"/>
      <c r="T15" s="8"/>
      <c r="V15" s="7"/>
      <c r="AC15" s="35"/>
      <c r="AD15" s="35"/>
      <c r="AE15" s="35"/>
      <c r="AF15" s="35"/>
      <c r="AG15" s="35"/>
      <c r="AH15" s="35"/>
      <c r="AI15" s="52"/>
      <c r="AJ15" s="32"/>
      <c r="AN15" s="35"/>
      <c r="AO15" s="10"/>
      <c r="AP15" s="35"/>
      <c r="AQ15" s="35"/>
      <c r="AR15" s="35"/>
      <c r="AS15" s="35"/>
      <c r="AT15" s="35"/>
      <c r="AU15" s="1486"/>
      <c r="AV15" s="37"/>
      <c r="AW15" s="2"/>
      <c r="AX15" s="2"/>
      <c r="AY15" s="2"/>
      <c r="BB15" s="5"/>
    </row>
    <row r="16" spans="1:68" ht="18" customHeight="1">
      <c r="A16" s="67"/>
      <c r="B16" s="68"/>
      <c r="C16" s="67"/>
      <c r="D16" s="74"/>
      <c r="F16" s="468"/>
      <c r="G16" s="468"/>
      <c r="H16" s="382"/>
      <c r="I16" s="35"/>
      <c r="P16" s="3"/>
      <c r="Q16" s="2"/>
      <c r="R16" s="4"/>
      <c r="S16" s="8"/>
      <c r="T16" s="8"/>
      <c r="V16" s="7"/>
      <c r="AC16" s="35"/>
      <c r="AD16" s="35"/>
      <c r="AE16" s="35"/>
      <c r="AF16" s="35"/>
      <c r="AG16" s="35"/>
      <c r="AH16" s="35"/>
      <c r="AI16" s="52"/>
      <c r="AJ16" s="52"/>
      <c r="AN16" s="35"/>
      <c r="AO16" s="10"/>
      <c r="AP16" s="35"/>
      <c r="AQ16" s="35"/>
      <c r="AR16" s="35"/>
      <c r="AS16" s="35"/>
      <c r="AT16" s="35"/>
      <c r="AU16" s="1486"/>
      <c r="AV16" s="37"/>
      <c r="AW16" s="2"/>
      <c r="AX16" s="2"/>
      <c r="AY16" s="2"/>
      <c r="BB16" s="5"/>
    </row>
    <row r="17" spans="1:54" ht="18" customHeight="1">
      <c r="A17" s="67"/>
      <c r="B17" s="68"/>
      <c r="C17" s="67"/>
      <c r="D17" s="74"/>
      <c r="F17" s="468"/>
      <c r="G17" s="468"/>
      <c r="H17" s="382"/>
      <c r="I17" s="35"/>
      <c r="P17" s="3"/>
      <c r="Q17" s="2"/>
      <c r="R17" s="4"/>
      <c r="S17" s="8"/>
      <c r="T17" s="8"/>
      <c r="V17" s="7"/>
      <c r="AC17" s="35"/>
      <c r="AD17" s="35"/>
      <c r="AE17" s="35"/>
      <c r="AF17" s="35"/>
      <c r="AG17" s="35"/>
      <c r="AH17" s="35"/>
      <c r="AI17" s="52"/>
      <c r="AJ17" s="52"/>
      <c r="AN17" s="35"/>
      <c r="AO17" s="10"/>
      <c r="AP17" s="35"/>
      <c r="AQ17" s="35"/>
      <c r="AR17" s="35"/>
      <c r="AS17" s="35"/>
      <c r="AT17" s="35"/>
      <c r="AU17" s="35"/>
      <c r="AV17" s="37"/>
      <c r="AW17" s="2"/>
      <c r="AX17" s="2"/>
      <c r="AY17" s="2"/>
      <c r="BB17" s="5"/>
    </row>
    <row r="18" spans="1:54" ht="27.75" customHeight="1">
      <c r="A18" s="67"/>
      <c r="B18" s="2"/>
      <c r="C18" s="2"/>
      <c r="D18" s="2"/>
      <c r="E18" s="2"/>
      <c r="F18" s="2"/>
      <c r="G18" s="2"/>
      <c r="H18" s="32"/>
      <c r="I18" s="32"/>
      <c r="P18" s="3"/>
      <c r="Q18" s="2"/>
      <c r="R18" s="4"/>
      <c r="S18" s="8"/>
      <c r="T18" s="8"/>
      <c r="V18" s="7"/>
      <c r="AC18" s="35"/>
      <c r="AD18" s="35"/>
      <c r="AE18" s="35"/>
      <c r="AF18" s="35"/>
      <c r="AG18" s="35"/>
      <c r="AH18" s="35"/>
      <c r="AI18" s="52"/>
      <c r="AJ18" s="52"/>
      <c r="AN18" s="35"/>
      <c r="AO18" s="10"/>
      <c r="AP18" s="35"/>
      <c r="AQ18" s="35"/>
      <c r="AR18" s="35"/>
      <c r="AS18" s="35"/>
      <c r="AT18" s="35"/>
      <c r="AU18" s="1486"/>
      <c r="AV18" s="37"/>
      <c r="AW18" s="2"/>
      <c r="AX18" s="2"/>
      <c r="AY18" s="2"/>
      <c r="BB18" s="5"/>
    </row>
    <row r="19" spans="1:54" ht="18" customHeight="1">
      <c r="A19" s="67"/>
      <c r="B19" s="68"/>
      <c r="C19" s="67"/>
      <c r="D19" s="74"/>
      <c r="F19" s="470"/>
      <c r="G19" s="470"/>
      <c r="H19" s="351"/>
      <c r="I19" s="35"/>
      <c r="P19" s="3"/>
      <c r="Q19" s="2"/>
      <c r="R19" s="4"/>
      <c r="S19" s="8"/>
      <c r="T19" s="8"/>
      <c r="V19" s="7"/>
      <c r="AC19" s="35"/>
      <c r="AD19" s="35"/>
      <c r="AE19" s="35"/>
      <c r="AF19" s="35"/>
      <c r="AG19" s="35"/>
      <c r="AH19" s="35"/>
      <c r="AI19" s="52"/>
      <c r="AJ19" s="52"/>
      <c r="AN19" s="35"/>
      <c r="AO19" s="10"/>
      <c r="AP19" s="35"/>
      <c r="AQ19" s="35"/>
      <c r="AR19" s="35"/>
      <c r="AS19" s="35"/>
      <c r="AT19" s="35"/>
      <c r="AU19" s="1486"/>
      <c r="AV19" s="37"/>
      <c r="AW19" s="2"/>
      <c r="AX19" s="2"/>
      <c r="AY19" s="2"/>
      <c r="BB19" s="5"/>
    </row>
    <row r="20" spans="1:54" ht="18" customHeight="1">
      <c r="A20" s="67"/>
      <c r="B20" s="70"/>
      <c r="C20" s="72"/>
      <c r="D20" s="74"/>
      <c r="F20" s="470"/>
      <c r="G20" s="470"/>
      <c r="H20" s="352"/>
      <c r="I20" s="35"/>
      <c r="P20" s="3"/>
      <c r="Q20" s="2"/>
      <c r="R20" s="4"/>
      <c r="S20" s="8"/>
      <c r="T20" s="8"/>
      <c r="U20" s="7"/>
      <c r="V20" s="7"/>
      <c r="AF20" s="35"/>
      <c r="AG20" s="35"/>
      <c r="AH20" s="35"/>
      <c r="AI20" s="35"/>
      <c r="AJ20" s="35"/>
      <c r="AN20" s="35"/>
      <c r="AO20" s="35"/>
      <c r="AP20" s="35"/>
      <c r="AQ20" s="35"/>
      <c r="AR20" s="35"/>
      <c r="AS20" s="35"/>
      <c r="AT20" s="35"/>
      <c r="AU20" s="1486"/>
      <c r="AV20" s="37"/>
      <c r="AW20" s="2"/>
      <c r="AX20" s="2"/>
      <c r="AY20" s="2"/>
      <c r="BB20" s="5"/>
    </row>
    <row r="21" spans="1:54" ht="18" customHeight="1">
      <c r="A21" s="67"/>
      <c r="B21" s="70"/>
      <c r="C21" s="67"/>
      <c r="F21" s="470"/>
      <c r="G21" s="470"/>
      <c r="H21" s="382"/>
      <c r="I21" s="35"/>
      <c r="R21" s="4"/>
      <c r="S21" s="8"/>
      <c r="T21" s="8"/>
      <c r="U21" s="7"/>
      <c r="V21" s="7"/>
      <c r="AF21" s="35"/>
      <c r="AG21" s="35"/>
      <c r="AH21" s="35"/>
      <c r="AI21" s="35"/>
      <c r="AJ21" s="35"/>
      <c r="AN21" s="35"/>
      <c r="AO21" s="35"/>
      <c r="AP21" s="35"/>
      <c r="AQ21" s="35"/>
      <c r="AR21" s="35"/>
      <c r="AS21" s="35"/>
      <c r="AT21" s="35"/>
      <c r="AU21" s="36"/>
      <c r="AV21" s="37"/>
      <c r="AW21" s="2"/>
      <c r="AX21" s="2"/>
      <c r="AY21" s="2"/>
      <c r="BB21" s="13"/>
    </row>
    <row r="22" spans="1:54" ht="14.25" customHeight="1">
      <c r="F22" s="470"/>
      <c r="G22" s="470"/>
      <c r="H22" s="382"/>
      <c r="Q22" s="2"/>
      <c r="S22" s="8"/>
      <c r="T22" s="8"/>
      <c r="AU22" s="36"/>
      <c r="AW22" s="2"/>
      <c r="AX22" s="2"/>
    </row>
    <row r="23" spans="1:54">
      <c r="F23" s="470"/>
      <c r="G23" s="470"/>
      <c r="H23" s="382"/>
      <c r="Q23" s="2"/>
      <c r="S23" s="8"/>
      <c r="T23" s="8"/>
      <c r="X23" s="9"/>
    </row>
    <row r="24" spans="1:54" ht="16.5" customHeight="1">
      <c r="F24" s="470"/>
      <c r="G24" s="470"/>
      <c r="H24" s="382"/>
      <c r="Q24" s="2"/>
      <c r="S24" s="8"/>
      <c r="T24" s="8"/>
      <c r="X24" s="9"/>
    </row>
    <row r="25" spans="1:54">
      <c r="F25" s="470"/>
      <c r="G25" s="470"/>
      <c r="H25" s="382"/>
      <c r="Q25" s="2"/>
      <c r="S25" s="8"/>
      <c r="T25" s="8"/>
      <c r="X25" s="9"/>
    </row>
    <row r="26" spans="1:54">
      <c r="F26" s="470"/>
      <c r="G26" s="470"/>
      <c r="H26" s="382"/>
      <c r="Q26" s="2"/>
      <c r="S26" s="8"/>
      <c r="T26" s="8"/>
      <c r="X26" s="9"/>
    </row>
    <row r="27" spans="1:54">
      <c r="F27" s="470"/>
      <c r="G27" s="470"/>
      <c r="H27" s="382"/>
      <c r="Q27" s="2"/>
      <c r="S27" s="8"/>
      <c r="T27" s="8"/>
      <c r="X27" s="9"/>
    </row>
    <row r="28" spans="1:54">
      <c r="F28" s="470"/>
      <c r="G28" s="470"/>
      <c r="H28" s="382"/>
      <c r="Q28" s="2"/>
      <c r="S28" s="8"/>
      <c r="T28" s="8"/>
      <c r="X28" s="9"/>
    </row>
    <row r="29" spans="1:54">
      <c r="F29" s="470"/>
      <c r="G29" s="470"/>
      <c r="H29" s="382"/>
      <c r="Q29" s="2"/>
      <c r="S29" s="8"/>
      <c r="T29" s="8"/>
    </row>
    <row r="30" spans="1:54">
      <c r="F30" s="470"/>
      <c r="G30" s="470"/>
      <c r="H30" s="382"/>
      <c r="Q30" s="2"/>
      <c r="S30" s="8"/>
      <c r="T30" s="8"/>
    </row>
    <row r="31" spans="1:54">
      <c r="F31" s="470"/>
      <c r="G31" s="470"/>
      <c r="H31" s="351"/>
      <c r="Q31" s="2"/>
      <c r="S31" s="8"/>
      <c r="T31" s="8"/>
    </row>
    <row r="32" spans="1:54">
      <c r="F32" s="470"/>
      <c r="G32" s="470"/>
      <c r="H32" s="351"/>
      <c r="Q32" s="2"/>
      <c r="T32" s="39"/>
    </row>
    <row r="33" spans="6:20">
      <c r="F33" s="470"/>
      <c r="G33" s="470"/>
      <c r="H33" s="351"/>
      <c r="Q33" s="2"/>
      <c r="T33" s="39"/>
    </row>
    <row r="34" spans="6:20">
      <c r="F34" s="470"/>
      <c r="G34" s="470"/>
      <c r="H34" s="351"/>
      <c r="Q34" s="2"/>
    </row>
    <row r="35" spans="6:20">
      <c r="F35" s="470"/>
      <c r="G35" s="470"/>
      <c r="H35" s="351"/>
      <c r="Q35" s="2"/>
    </row>
    <row r="36" spans="6:20">
      <c r="F36" s="470"/>
      <c r="G36" s="470"/>
      <c r="H36" s="351"/>
      <c r="Q36" s="2"/>
    </row>
    <row r="37" spans="6:20">
      <c r="F37" s="470"/>
      <c r="G37" s="470"/>
      <c r="H37" s="351"/>
      <c r="Q37" s="2"/>
    </row>
    <row r="38" spans="6:20">
      <c r="F38" s="575"/>
      <c r="G38" s="575"/>
      <c r="H38" s="580"/>
      <c r="Q38" s="2"/>
    </row>
    <row r="39" spans="6:20">
      <c r="F39" s="470"/>
      <c r="G39" s="470"/>
      <c r="H39" s="351"/>
      <c r="Q39" s="2"/>
    </row>
    <row r="40" spans="6:20">
      <c r="F40" s="470"/>
      <c r="G40" s="470"/>
      <c r="H40" s="351"/>
      <c r="Q40" s="2"/>
    </row>
    <row r="41" spans="6:20">
      <c r="F41" s="470"/>
      <c r="G41" s="470"/>
      <c r="H41" s="351"/>
      <c r="Q41" s="2"/>
    </row>
    <row r="42" spans="6:20">
      <c r="F42" s="470"/>
      <c r="G42" s="470"/>
      <c r="H42" s="351"/>
      <c r="Q42" s="2"/>
    </row>
    <row r="43" spans="6:20">
      <c r="F43" s="470"/>
      <c r="G43" s="470"/>
      <c r="H43" s="351"/>
      <c r="Q43" s="2"/>
    </row>
    <row r="44" spans="6:20">
      <c r="F44" s="470"/>
      <c r="G44" s="470"/>
      <c r="H44" s="351"/>
      <c r="Q44" s="2"/>
    </row>
    <row r="45" spans="6:20">
      <c r="F45" s="470"/>
      <c r="G45" s="470"/>
      <c r="H45" s="351"/>
      <c r="Q45" s="2"/>
    </row>
    <row r="46" spans="6:20">
      <c r="F46" s="470"/>
      <c r="G46" s="470"/>
      <c r="H46" s="351"/>
      <c r="Q46" s="2"/>
    </row>
    <row r="47" spans="6:20">
      <c r="F47" s="470"/>
      <c r="G47" s="470"/>
      <c r="H47" s="351"/>
      <c r="Q47" s="2"/>
    </row>
    <row r="48" spans="6:20">
      <c r="F48" s="470"/>
      <c r="G48" s="470"/>
      <c r="H48" s="351"/>
      <c r="Q48" s="2"/>
    </row>
    <row r="49" spans="6:17">
      <c r="F49" s="470"/>
      <c r="G49" s="470"/>
      <c r="H49" s="351"/>
      <c r="Q49" s="2"/>
    </row>
    <row r="50" spans="6:17">
      <c r="F50" s="470"/>
      <c r="G50" s="470"/>
      <c r="H50" s="351"/>
      <c r="Q50" s="2"/>
    </row>
    <row r="51" spans="6:17">
      <c r="F51" s="470"/>
      <c r="G51" s="470"/>
      <c r="H51" s="351"/>
      <c r="Q51" s="2"/>
    </row>
    <row r="52" spans="6:17">
      <c r="F52" s="470"/>
      <c r="G52" s="470"/>
      <c r="H52" s="351"/>
      <c r="Q52" s="2"/>
    </row>
    <row r="53" spans="6:17">
      <c r="F53" s="470"/>
      <c r="G53" s="470"/>
      <c r="H53" s="351"/>
      <c r="Q53" s="2"/>
    </row>
    <row r="54" spans="6:17">
      <c r="F54" s="470"/>
      <c r="G54" s="470"/>
      <c r="H54" s="351"/>
      <c r="Q54" s="2"/>
    </row>
    <row r="55" spans="6:17">
      <c r="F55" s="470"/>
      <c r="G55" s="470"/>
      <c r="H55" s="351"/>
      <c r="Q55" s="2"/>
    </row>
    <row r="56" spans="6:17">
      <c r="F56" s="470"/>
      <c r="G56" s="470"/>
      <c r="H56" s="351"/>
      <c r="Q56" s="2"/>
    </row>
    <row r="57" spans="6:17">
      <c r="F57" s="470"/>
      <c r="G57" s="470"/>
      <c r="H57" s="351"/>
      <c r="Q57" s="2"/>
    </row>
    <row r="58" spans="6:17">
      <c r="F58" s="470"/>
      <c r="G58" s="470"/>
      <c r="H58" s="351"/>
      <c r="Q58" s="2"/>
    </row>
    <row r="59" spans="6:17">
      <c r="F59" s="470"/>
      <c r="G59" s="470"/>
      <c r="H59" s="351"/>
      <c r="Q59" s="2"/>
    </row>
    <row r="60" spans="6:17">
      <c r="F60" s="470"/>
      <c r="G60" s="470"/>
      <c r="H60" s="351"/>
      <c r="Q60" s="2"/>
    </row>
    <row r="61" spans="6:17">
      <c r="F61" s="470"/>
      <c r="G61" s="470"/>
      <c r="H61" s="351"/>
      <c r="Q61" s="2"/>
    </row>
    <row r="62" spans="6:17">
      <c r="F62" s="470"/>
      <c r="G62" s="470"/>
      <c r="H62" s="351"/>
      <c r="Q62" s="2"/>
    </row>
    <row r="63" spans="6:17">
      <c r="F63" s="470"/>
      <c r="G63" s="470"/>
      <c r="H63" s="351"/>
      <c r="Q63" s="2"/>
    </row>
    <row r="64" spans="6:17">
      <c r="F64" s="470"/>
      <c r="G64" s="470"/>
      <c r="H64" s="351"/>
      <c r="Q64" s="2"/>
    </row>
    <row r="65" spans="6:17">
      <c r="F65" s="470"/>
      <c r="G65" s="470"/>
      <c r="H65" s="351"/>
      <c r="Q65" s="2"/>
    </row>
    <row r="66" spans="6:17">
      <c r="F66" s="470"/>
      <c r="G66" s="470"/>
      <c r="H66" s="351"/>
      <c r="Q66" s="2"/>
    </row>
    <row r="67" spans="6:17">
      <c r="F67" s="470"/>
      <c r="G67" s="470"/>
      <c r="H67" s="351"/>
      <c r="Q67" s="2"/>
    </row>
    <row r="68" spans="6:17">
      <c r="F68" s="470"/>
      <c r="G68" s="470"/>
      <c r="H68" s="351"/>
      <c r="Q68" s="2"/>
    </row>
    <row r="69" spans="6:17">
      <c r="F69" s="470"/>
      <c r="G69" s="470"/>
      <c r="H69" s="351"/>
      <c r="Q69" s="2"/>
    </row>
    <row r="70" spans="6:17">
      <c r="F70" s="470"/>
      <c r="G70" s="470"/>
      <c r="H70" s="351"/>
      <c r="Q70" s="2"/>
    </row>
    <row r="71" spans="6:17">
      <c r="F71" s="470"/>
      <c r="G71" s="470"/>
      <c r="H71" s="351"/>
      <c r="Q71" s="2"/>
    </row>
    <row r="72" spans="6:17">
      <c r="F72" s="470"/>
      <c r="G72" s="470"/>
      <c r="H72" s="351"/>
      <c r="Q72" s="2"/>
    </row>
    <row r="73" spans="6:17">
      <c r="F73" s="470"/>
      <c r="G73" s="470"/>
      <c r="H73" s="351"/>
      <c r="Q73" s="2"/>
    </row>
    <row r="74" spans="6:17">
      <c r="F74" s="575"/>
      <c r="G74" s="575"/>
      <c r="H74" s="580"/>
      <c r="Q74" s="2"/>
    </row>
    <row r="75" spans="6:17">
      <c r="F75" s="470"/>
      <c r="G75" s="470"/>
      <c r="H75" s="351"/>
      <c r="Q75" s="2"/>
    </row>
    <row r="76" spans="6:17">
      <c r="F76" s="470"/>
      <c r="G76" s="470"/>
      <c r="H76" s="351"/>
      <c r="Q76" s="2"/>
    </row>
    <row r="77" spans="6:17">
      <c r="F77" s="470"/>
      <c r="G77" s="470"/>
      <c r="H77" s="351"/>
      <c r="Q77" s="2"/>
    </row>
    <row r="78" spans="6:17">
      <c r="F78" s="470"/>
      <c r="G78" s="470"/>
      <c r="H78" s="351"/>
      <c r="Q78" s="2"/>
    </row>
    <row r="79" spans="6:17">
      <c r="F79" s="470"/>
      <c r="G79" s="470"/>
      <c r="H79" s="351"/>
      <c r="Q79" s="2"/>
    </row>
    <row r="80" spans="6:17">
      <c r="F80" s="470"/>
      <c r="G80" s="470"/>
      <c r="H80" s="351"/>
      <c r="Q80" s="2"/>
    </row>
    <row r="81" spans="6:17">
      <c r="F81" s="470"/>
      <c r="G81" s="470"/>
      <c r="H81" s="351"/>
      <c r="Q81" s="2"/>
    </row>
    <row r="82" spans="6:17">
      <c r="F82" s="470"/>
      <c r="G82" s="470"/>
      <c r="H82" s="351"/>
      <c r="Q82" s="2"/>
    </row>
    <row r="83" spans="6:17">
      <c r="F83" s="470"/>
      <c r="G83" s="470"/>
      <c r="H83" s="351"/>
      <c r="Q83" s="2"/>
    </row>
    <row r="84" spans="6:17">
      <c r="F84" s="470"/>
      <c r="G84" s="470"/>
      <c r="H84" s="351"/>
      <c r="Q84" s="2"/>
    </row>
    <row r="85" spans="6:17">
      <c r="F85" s="470"/>
      <c r="G85" s="470"/>
      <c r="H85" s="351"/>
      <c r="Q85" s="2"/>
    </row>
    <row r="86" spans="6:17">
      <c r="F86" s="470"/>
      <c r="G86" s="470"/>
      <c r="H86" s="351"/>
      <c r="Q86" s="2"/>
    </row>
    <row r="87" spans="6:17">
      <c r="F87" s="470"/>
      <c r="G87" s="470"/>
      <c r="H87" s="351"/>
      <c r="Q87" s="2"/>
    </row>
    <row r="88" spans="6:17">
      <c r="F88" s="470"/>
      <c r="G88" s="470"/>
      <c r="H88" s="351"/>
      <c r="Q88" s="2"/>
    </row>
    <row r="89" spans="6:17">
      <c r="F89" s="470"/>
      <c r="G89" s="470"/>
      <c r="H89" s="351"/>
      <c r="Q89" s="2"/>
    </row>
    <row r="90" spans="6:17">
      <c r="F90" s="575"/>
      <c r="G90" s="575"/>
      <c r="H90" s="346"/>
      <c r="Q90" s="2"/>
    </row>
    <row r="91" spans="6:17">
      <c r="F91" s="470"/>
      <c r="G91" s="470"/>
      <c r="H91" s="351"/>
      <c r="Q91" s="2"/>
    </row>
    <row r="92" spans="6:17">
      <c r="F92" s="470"/>
      <c r="G92" s="470"/>
      <c r="H92" s="351"/>
      <c r="Q92" s="2"/>
    </row>
    <row r="93" spans="6:17">
      <c r="F93" s="470"/>
      <c r="G93" s="470"/>
      <c r="H93" s="351"/>
      <c r="Q93" s="2"/>
    </row>
    <row r="94" spans="6:17">
      <c r="F94" s="470"/>
      <c r="G94" s="470"/>
      <c r="H94" s="351"/>
      <c r="Q94" s="2"/>
    </row>
    <row r="95" spans="6:17">
      <c r="F95" s="470"/>
      <c r="G95" s="470"/>
      <c r="H95" s="351"/>
      <c r="Q95" s="2"/>
    </row>
    <row r="96" spans="6:17">
      <c r="F96" s="470"/>
      <c r="G96" s="470"/>
      <c r="H96" s="351"/>
      <c r="Q96" s="2"/>
    </row>
    <row r="97" spans="6:17">
      <c r="F97" s="470"/>
      <c r="G97" s="470"/>
      <c r="H97" s="351"/>
      <c r="Q97" s="2"/>
    </row>
    <row r="98" spans="6:17">
      <c r="F98" s="470"/>
      <c r="G98" s="470"/>
      <c r="H98" s="351"/>
      <c r="Q98" s="2"/>
    </row>
    <row r="99" spans="6:17">
      <c r="F99" s="470"/>
      <c r="G99" s="470"/>
      <c r="H99" s="351"/>
      <c r="Q99" s="2"/>
    </row>
    <row r="100" spans="6:17">
      <c r="F100" s="470"/>
      <c r="G100" s="470"/>
      <c r="H100" s="351"/>
      <c r="Q100" s="2"/>
    </row>
    <row r="101" spans="6:17">
      <c r="F101" s="470"/>
      <c r="G101" s="470"/>
      <c r="H101" s="351"/>
      <c r="Q101" s="2"/>
    </row>
    <row r="102" spans="6:17">
      <c r="F102" s="470"/>
      <c r="G102" s="470"/>
      <c r="H102" s="351"/>
      <c r="Q102" s="2"/>
    </row>
    <row r="103" spans="6:17">
      <c r="F103" s="470"/>
      <c r="G103" s="470"/>
      <c r="H103" s="351"/>
      <c r="Q103" s="2"/>
    </row>
    <row r="104" spans="6:17">
      <c r="F104" s="470"/>
      <c r="G104" s="470"/>
      <c r="H104" s="351"/>
      <c r="Q104" s="2"/>
    </row>
    <row r="105" spans="6:17">
      <c r="F105" s="470"/>
      <c r="G105" s="470"/>
      <c r="H105" s="351"/>
      <c r="Q105" s="2"/>
    </row>
    <row r="106" spans="6:17">
      <c r="F106" s="470"/>
      <c r="G106" s="470"/>
      <c r="H106" s="351"/>
      <c r="Q106" s="2"/>
    </row>
    <row r="107" spans="6:17">
      <c r="F107" s="470"/>
      <c r="G107" s="470"/>
      <c r="H107" s="351"/>
      <c r="Q107" s="2"/>
    </row>
    <row r="108" spans="6:17">
      <c r="F108" s="470"/>
      <c r="G108" s="470"/>
      <c r="H108" s="351"/>
      <c r="Q108" s="2"/>
    </row>
    <row r="109" spans="6:17">
      <c r="F109" s="575"/>
      <c r="G109" s="575"/>
      <c r="H109" s="580"/>
      <c r="Q109" s="2"/>
    </row>
    <row r="110" spans="6:17">
      <c r="F110" s="571"/>
      <c r="G110" s="571"/>
      <c r="H110" s="71"/>
      <c r="Q110" s="2"/>
    </row>
    <row r="111" spans="6:17" ht="16.5">
      <c r="F111" s="572"/>
      <c r="G111" s="572"/>
      <c r="H111" s="273"/>
      <c r="Q111" s="2"/>
    </row>
    <row r="112" spans="6:17" ht="16.5">
      <c r="F112" s="572"/>
      <c r="G112" s="572"/>
      <c r="H112" s="273"/>
      <c r="Q112" s="2"/>
    </row>
    <row r="113" spans="6:17" ht="16.5">
      <c r="F113" s="572"/>
      <c r="G113" s="572"/>
      <c r="H113" s="273"/>
      <c r="Q113" s="2"/>
    </row>
    <row r="114" spans="6:17" ht="16.5">
      <c r="F114" s="273"/>
      <c r="G114" s="273"/>
      <c r="H114" s="273"/>
      <c r="Q114" s="2"/>
    </row>
    <row r="115" spans="6:17" ht="16.5">
      <c r="F115" s="273"/>
      <c r="G115" s="273"/>
      <c r="H115" s="273"/>
      <c r="Q115" s="2"/>
    </row>
    <row r="116" spans="6:17" ht="16.5">
      <c r="F116" s="273"/>
      <c r="G116" s="273"/>
      <c r="H116" s="273"/>
      <c r="Q116" s="2"/>
    </row>
    <row r="117" spans="6:17" ht="16.5">
      <c r="F117" s="273"/>
      <c r="G117" s="273"/>
      <c r="H117" s="273"/>
      <c r="Q117" s="2"/>
    </row>
    <row r="118" spans="6:17" ht="16.5">
      <c r="F118" s="273"/>
      <c r="G118" s="273"/>
      <c r="H118" s="273"/>
      <c r="Q118" s="2"/>
    </row>
    <row r="119" spans="6:17" ht="16.5">
      <c r="F119" s="273"/>
      <c r="G119" s="273"/>
      <c r="H119" s="273"/>
      <c r="Q119" s="2"/>
    </row>
    <row r="120" spans="6:17" ht="16.5">
      <c r="F120" s="572"/>
      <c r="G120" s="572"/>
      <c r="H120" s="273"/>
      <c r="Q120" s="2"/>
    </row>
    <row r="121" spans="6:17" ht="16.5">
      <c r="F121" s="572"/>
      <c r="G121" s="572"/>
      <c r="H121" s="273"/>
      <c r="Q121" s="2"/>
    </row>
    <row r="122" spans="6:17" ht="16.5">
      <c r="F122" s="572"/>
      <c r="G122" s="572"/>
      <c r="H122" s="273"/>
      <c r="Q122" s="2"/>
    </row>
    <row r="123" spans="6:17" ht="16.5">
      <c r="F123" s="572"/>
      <c r="G123" s="572"/>
      <c r="H123" s="273"/>
      <c r="Q123" s="2"/>
    </row>
    <row r="124" spans="6:17" ht="15" customHeight="1">
      <c r="F124" s="572"/>
      <c r="G124" s="572"/>
      <c r="H124" s="273"/>
    </row>
    <row r="125" spans="6:17" ht="15" customHeight="1">
      <c r="F125" s="572"/>
      <c r="G125" s="572"/>
      <c r="H125" s="273"/>
    </row>
    <row r="126" spans="6:17" ht="15" customHeight="1">
      <c r="F126" s="572"/>
      <c r="G126" s="572"/>
      <c r="H126" s="273"/>
    </row>
    <row r="127" spans="6:17" ht="15" customHeight="1">
      <c r="F127" s="572"/>
      <c r="G127" s="572"/>
      <c r="H127" s="273"/>
    </row>
    <row r="128" spans="6:17" ht="15" customHeight="1">
      <c r="F128" s="572"/>
      <c r="G128" s="572"/>
      <c r="H128" s="273"/>
    </row>
    <row r="129" spans="6:8" ht="15" customHeight="1">
      <c r="F129" s="572"/>
      <c r="G129" s="572"/>
      <c r="H129" s="273"/>
    </row>
    <row r="130" spans="6:8" ht="15" customHeight="1">
      <c r="F130" s="572"/>
      <c r="G130" s="572"/>
      <c r="H130" s="273"/>
    </row>
    <row r="131" spans="6:8" ht="15" customHeight="1">
      <c r="F131" s="572"/>
      <c r="G131" s="572"/>
      <c r="H131" s="273"/>
    </row>
    <row r="132" spans="6:8" ht="15" customHeight="1">
      <c r="F132" s="572"/>
      <c r="G132" s="572"/>
      <c r="H132" s="273"/>
    </row>
    <row r="133" spans="6:8" ht="15" customHeight="1">
      <c r="F133" s="572"/>
      <c r="G133" s="572"/>
      <c r="H133" s="273"/>
    </row>
    <row r="134" spans="6:8" ht="15" customHeight="1">
      <c r="F134" s="572"/>
      <c r="G134" s="572"/>
      <c r="H134" s="273"/>
    </row>
    <row r="135" spans="6:8" ht="15" customHeight="1">
      <c r="F135" s="572"/>
      <c r="G135" s="572"/>
      <c r="H135" s="273"/>
    </row>
    <row r="136" spans="6:8" ht="15" customHeight="1">
      <c r="F136" s="572"/>
      <c r="G136" s="572"/>
      <c r="H136" s="273"/>
    </row>
    <row r="137" spans="6:8" ht="15" customHeight="1">
      <c r="F137" s="572"/>
      <c r="G137" s="572"/>
      <c r="H137" s="273"/>
    </row>
    <row r="138" spans="6:8" ht="15" customHeight="1">
      <c r="F138" s="273"/>
      <c r="G138" s="273"/>
      <c r="H138" s="273"/>
    </row>
    <row r="139" spans="6:8" ht="15" customHeight="1">
      <c r="F139" s="273"/>
      <c r="G139" s="273"/>
      <c r="H139" s="273"/>
    </row>
    <row r="140" spans="6:8" ht="15" customHeight="1">
      <c r="F140" s="273"/>
      <c r="G140" s="273"/>
      <c r="H140" s="273"/>
    </row>
    <row r="141" spans="6:8" ht="15" customHeight="1">
      <c r="F141" s="273"/>
      <c r="G141" s="273"/>
      <c r="H141" s="273"/>
    </row>
    <row r="142" spans="6:8" ht="15" customHeight="1">
      <c r="F142" s="273"/>
      <c r="G142" s="273"/>
      <c r="H142" s="273"/>
    </row>
    <row r="143" spans="6:8" ht="15" customHeight="1">
      <c r="F143" s="273"/>
      <c r="G143" s="273"/>
      <c r="H143" s="273"/>
    </row>
    <row r="144" spans="6:8" ht="15" customHeight="1">
      <c r="F144" s="273"/>
      <c r="G144" s="273"/>
      <c r="H144" s="273"/>
    </row>
    <row r="145" spans="6:8" ht="15" customHeight="1">
      <c r="F145" s="273"/>
      <c r="G145" s="273"/>
      <c r="H145" s="273"/>
    </row>
    <row r="146" spans="6:8" ht="15" customHeight="1">
      <c r="F146" s="273"/>
      <c r="G146" s="273"/>
      <c r="H146" s="273"/>
    </row>
    <row r="147" spans="6:8" ht="15" customHeight="1">
      <c r="F147" s="273"/>
      <c r="G147" s="273"/>
      <c r="H147" s="273"/>
    </row>
    <row r="148" spans="6:8" ht="15" customHeight="1">
      <c r="F148" s="273"/>
      <c r="G148" s="273"/>
      <c r="H148" s="273"/>
    </row>
    <row r="149" spans="6:8" ht="15" customHeight="1">
      <c r="F149" s="273"/>
      <c r="G149" s="273"/>
      <c r="H149" s="273"/>
    </row>
    <row r="150" spans="6:8" ht="15" customHeight="1">
      <c r="F150" s="273"/>
      <c r="G150" s="273"/>
      <c r="H150" s="273"/>
    </row>
    <row r="151" spans="6:8" ht="15" customHeight="1">
      <c r="F151" s="273"/>
      <c r="G151" s="273"/>
      <c r="H151" s="273"/>
    </row>
    <row r="152" spans="6:8" ht="15" customHeight="1">
      <c r="F152" s="273"/>
      <c r="G152" s="273"/>
      <c r="H152" s="273"/>
    </row>
    <row r="153" spans="6:8" ht="15" customHeight="1">
      <c r="F153" s="273"/>
      <c r="G153" s="273"/>
      <c r="H153" s="273"/>
    </row>
    <row r="154" spans="6:8" ht="15" customHeight="1">
      <c r="F154" s="273"/>
      <c r="G154" s="273"/>
      <c r="H154" s="273"/>
    </row>
    <row r="155" spans="6:8" ht="15" customHeight="1">
      <c r="F155" s="273"/>
      <c r="G155" s="273"/>
      <c r="H155" s="273"/>
    </row>
    <row r="156" spans="6:8" ht="15" customHeight="1">
      <c r="F156" s="273"/>
      <c r="G156" s="273"/>
      <c r="H156" s="273"/>
    </row>
    <row r="157" spans="6:8" ht="15" customHeight="1">
      <c r="F157" s="273"/>
      <c r="G157" s="273"/>
      <c r="H157" s="273"/>
    </row>
    <row r="158" spans="6:8" ht="15" customHeight="1">
      <c r="F158" s="273"/>
      <c r="G158" s="273"/>
      <c r="H158" s="273"/>
    </row>
    <row r="159" spans="6:8" ht="15" customHeight="1">
      <c r="F159" s="273"/>
      <c r="G159" s="273"/>
      <c r="H159" s="273"/>
    </row>
    <row r="160" spans="6:8" ht="15" customHeight="1">
      <c r="F160" s="273"/>
      <c r="G160" s="273"/>
      <c r="H160" s="273"/>
    </row>
    <row r="161" spans="6:8" ht="15" customHeight="1">
      <c r="F161" s="273"/>
      <c r="G161" s="273"/>
      <c r="H161" s="273"/>
    </row>
    <row r="162" spans="6:8" ht="15" customHeight="1">
      <c r="F162" s="273"/>
      <c r="G162" s="273"/>
      <c r="H162" s="273"/>
    </row>
    <row r="163" spans="6:8" ht="15" customHeight="1">
      <c r="F163" s="273"/>
      <c r="G163" s="273"/>
      <c r="H163" s="273"/>
    </row>
    <row r="164" spans="6:8" ht="15" customHeight="1">
      <c r="F164" s="273"/>
      <c r="G164" s="273"/>
      <c r="H164" s="273"/>
    </row>
    <row r="165" spans="6:8" ht="15" customHeight="1">
      <c r="F165" s="273"/>
      <c r="G165" s="273"/>
      <c r="H165" s="273"/>
    </row>
    <row r="166" spans="6:8" ht="15" customHeight="1">
      <c r="F166" s="273"/>
      <c r="G166" s="273"/>
      <c r="H166" s="273"/>
    </row>
    <row r="167" spans="6:8" ht="15" customHeight="1">
      <c r="F167" s="273"/>
      <c r="G167" s="273"/>
      <c r="H167" s="273"/>
    </row>
    <row r="168" spans="6:8" ht="15" customHeight="1">
      <c r="F168" s="273"/>
      <c r="G168" s="273"/>
      <c r="H168" s="273"/>
    </row>
    <row r="169" spans="6:8" ht="15" customHeight="1">
      <c r="F169" s="273"/>
      <c r="G169" s="273"/>
      <c r="H169" s="273"/>
    </row>
    <row r="170" spans="6:8" ht="15" customHeight="1">
      <c r="F170" s="273"/>
      <c r="G170" s="273"/>
      <c r="H170" s="273"/>
    </row>
    <row r="171" spans="6:8" ht="15" customHeight="1">
      <c r="F171" s="273"/>
      <c r="G171" s="273"/>
      <c r="H171" s="273"/>
    </row>
    <row r="172" spans="6:8" ht="15" customHeight="1">
      <c r="F172" s="273"/>
      <c r="G172" s="273"/>
      <c r="H172" s="273"/>
    </row>
    <row r="173" spans="6:8" ht="15" customHeight="1">
      <c r="F173" s="273"/>
      <c r="G173" s="273"/>
      <c r="H173" s="273"/>
    </row>
    <row r="174" spans="6:8" ht="15" customHeight="1">
      <c r="F174" s="273"/>
      <c r="G174" s="273"/>
      <c r="H174" s="273"/>
    </row>
    <row r="175" spans="6:8" ht="15" customHeight="1">
      <c r="F175" s="273"/>
      <c r="G175" s="273"/>
      <c r="H175" s="273"/>
    </row>
    <row r="176" spans="6:8" ht="15" customHeight="1">
      <c r="F176" s="273"/>
      <c r="G176" s="273"/>
      <c r="H176" s="273"/>
    </row>
    <row r="177" spans="6:8" ht="15" customHeight="1">
      <c r="F177" s="273"/>
      <c r="G177" s="273"/>
      <c r="H177" s="273"/>
    </row>
    <row r="178" spans="6:8" ht="15" customHeight="1">
      <c r="F178" s="273"/>
      <c r="G178" s="273"/>
      <c r="H178" s="273"/>
    </row>
    <row r="179" spans="6:8" ht="15" customHeight="1">
      <c r="F179" s="273"/>
      <c r="G179" s="273"/>
      <c r="H179" s="273"/>
    </row>
    <row r="180" spans="6:8" ht="15" customHeight="1">
      <c r="F180" s="273"/>
      <c r="G180" s="273"/>
      <c r="H180" s="273"/>
    </row>
    <row r="181" spans="6:8" ht="15" customHeight="1">
      <c r="F181" s="273"/>
      <c r="G181" s="273"/>
      <c r="H181" s="273"/>
    </row>
    <row r="182" spans="6:8" ht="15" customHeight="1">
      <c r="F182" s="273"/>
      <c r="G182" s="273"/>
      <c r="H182" s="273"/>
    </row>
    <row r="183" spans="6:8" ht="15" customHeight="1">
      <c r="F183" s="273"/>
      <c r="G183" s="273"/>
      <c r="H183" s="273"/>
    </row>
    <row r="184" spans="6:8" ht="15" customHeight="1">
      <c r="F184" s="273"/>
      <c r="G184" s="273"/>
      <c r="H184" s="273"/>
    </row>
    <row r="185" spans="6:8" ht="15" customHeight="1">
      <c r="F185" s="273"/>
      <c r="G185" s="273"/>
      <c r="H185" s="273"/>
    </row>
    <row r="186" spans="6:8" ht="15" customHeight="1">
      <c r="F186" s="273"/>
      <c r="G186" s="273"/>
      <c r="H186" s="273"/>
    </row>
    <row r="187" spans="6:8" ht="15" customHeight="1">
      <c r="F187" s="273"/>
      <c r="G187" s="273"/>
      <c r="H187" s="273"/>
    </row>
    <row r="188" spans="6:8" ht="15" customHeight="1">
      <c r="F188" s="273"/>
      <c r="G188" s="273"/>
      <c r="H188" s="273"/>
    </row>
    <row r="189" spans="6:8" ht="15" customHeight="1">
      <c r="F189" s="273"/>
      <c r="G189" s="273"/>
      <c r="H189" s="273"/>
    </row>
    <row r="190" spans="6:8" ht="15" customHeight="1">
      <c r="F190" s="273"/>
      <c r="G190" s="273"/>
      <c r="H190" s="273"/>
    </row>
    <row r="191" spans="6:8" ht="15" customHeight="1">
      <c r="F191" s="273"/>
      <c r="G191" s="273"/>
      <c r="H191" s="273"/>
    </row>
    <row r="192" spans="6:8" ht="15" customHeight="1">
      <c r="F192" s="273"/>
      <c r="G192" s="273"/>
      <c r="H192" s="273"/>
    </row>
    <row r="193" spans="6:8" ht="15" customHeight="1">
      <c r="F193" s="273"/>
      <c r="G193" s="273"/>
      <c r="H193" s="273"/>
    </row>
    <row r="194" spans="6:8" ht="15" customHeight="1">
      <c r="F194" s="273"/>
      <c r="G194" s="273"/>
      <c r="H194" s="273"/>
    </row>
    <row r="195" spans="6:8" ht="15" customHeight="1">
      <c r="F195" s="273"/>
      <c r="G195" s="273"/>
      <c r="H195" s="273"/>
    </row>
    <row r="196" spans="6:8" ht="15" customHeight="1">
      <c r="F196" s="273"/>
      <c r="G196" s="273"/>
      <c r="H196" s="273"/>
    </row>
    <row r="197" spans="6:8" ht="15" customHeight="1">
      <c r="F197" s="273"/>
      <c r="G197" s="273"/>
      <c r="H197" s="273"/>
    </row>
    <row r="198" spans="6:8" ht="15" customHeight="1">
      <c r="F198" s="273"/>
      <c r="G198" s="273"/>
      <c r="H198" s="273"/>
    </row>
    <row r="199" spans="6:8" ht="15" customHeight="1">
      <c r="F199" s="273"/>
      <c r="G199" s="273"/>
      <c r="H199" s="273"/>
    </row>
    <row r="200" spans="6:8" ht="15" customHeight="1">
      <c r="F200" s="273"/>
      <c r="G200" s="273"/>
      <c r="H200" s="273"/>
    </row>
    <row r="201" spans="6:8" ht="15" customHeight="1">
      <c r="F201" s="273"/>
      <c r="G201" s="273"/>
      <c r="H201" s="273"/>
    </row>
    <row r="202" spans="6:8" ht="15" customHeight="1">
      <c r="F202" s="273"/>
      <c r="G202" s="273"/>
      <c r="H202" s="273"/>
    </row>
    <row r="203" spans="6:8" ht="15" customHeight="1">
      <c r="F203" s="273"/>
      <c r="G203" s="273"/>
      <c r="H203" s="273"/>
    </row>
    <row r="204" spans="6:8" ht="15" customHeight="1">
      <c r="F204" s="273"/>
      <c r="G204" s="273"/>
      <c r="H204" s="273"/>
    </row>
    <row r="205" spans="6:8" ht="15" customHeight="1">
      <c r="F205" s="273"/>
      <c r="G205" s="273"/>
      <c r="H205" s="273"/>
    </row>
    <row r="206" spans="6:8" ht="15" customHeight="1">
      <c r="F206" s="273"/>
      <c r="G206" s="273"/>
      <c r="H206" s="273"/>
    </row>
    <row r="207" spans="6:8" ht="15" customHeight="1">
      <c r="F207" s="273"/>
      <c r="G207" s="273"/>
      <c r="H207" s="273"/>
    </row>
    <row r="208" spans="6:8" ht="15" customHeight="1">
      <c r="F208" s="273"/>
      <c r="G208" s="273"/>
      <c r="H208" s="273"/>
    </row>
    <row r="209" spans="6:8" ht="15" customHeight="1">
      <c r="F209" s="273"/>
      <c r="G209" s="273"/>
      <c r="H209" s="273"/>
    </row>
    <row r="210" spans="6:8" ht="15" customHeight="1">
      <c r="F210" s="273"/>
      <c r="G210" s="273"/>
      <c r="H210" s="273"/>
    </row>
    <row r="211" spans="6:8" ht="15" customHeight="1">
      <c r="F211" s="273"/>
      <c r="G211" s="273"/>
      <c r="H211" s="273"/>
    </row>
    <row r="212" spans="6:8" ht="15" customHeight="1">
      <c r="F212" s="273"/>
      <c r="G212" s="273"/>
      <c r="H212" s="273"/>
    </row>
    <row r="213" spans="6:8" ht="15" customHeight="1">
      <c r="F213" s="273"/>
      <c r="G213" s="273"/>
      <c r="H213" s="273"/>
    </row>
  </sheetData>
  <autoFilter ref="A2:BB21" xr:uid="{6E147DCE-A6F4-47F7-9F8B-7CFC47C10580}"/>
  <mergeCells count="6">
    <mergeCell ref="A3:A7"/>
    <mergeCell ref="R1:T1"/>
    <mergeCell ref="AP1:AV1"/>
    <mergeCell ref="I2:J2"/>
    <mergeCell ref="AA2:AB2"/>
    <mergeCell ref="AI1:AM1"/>
  </mergeCells>
  <phoneticPr fontId="10"/>
  <dataValidations disablePrompts="1" count="1">
    <dataValidation type="list" allowBlank="1" showInputMessage="1" showErrorMessage="1" sqref="AD8:AD1048576" xr:uid="{7B0F12B8-7D61-4FB0-97A4-1EAC3C55B6EA}">
      <formula1>"YES,NO,-"</formula1>
    </dataValidation>
  </dataValidations>
  <pageMargins left="0.70866141732283472" right="0.70866141732283472" top="0.74803149606299213" bottom="0.74803149606299213" header="0.31496062992125984" footer="0.31496062992125984"/>
  <pageSetup paperSize="8" scale="70" orientation="landscape" r:id="rId1"/>
  <ignoredErrors>
    <ignoredError sqref="AS3:AS7" unlockedFormula="1"/>
  </ignoredErrors>
  <drawing r:id="rId2"/>
  <legacy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767FC-58C0-41B1-8506-67F56F5217C1}">
  <sheetPr codeName="Sheet12">
    <tabColor theme="5" tint="0.79998168889431442"/>
  </sheetPr>
  <dimension ref="A1:G74"/>
  <sheetViews>
    <sheetView zoomScaleNormal="100" workbookViewId="0">
      <pane xSplit="6" ySplit="2" topLeftCell="G8" activePane="bottomRight" state="frozen"/>
      <selection pane="topRight" activeCell="G1" sqref="G1"/>
      <selection pane="bottomLeft" activeCell="A3" sqref="A3"/>
      <selection pane="bottomRight" activeCell="G28" sqref="G28"/>
    </sheetView>
  </sheetViews>
  <sheetFormatPr defaultColWidth="14.25" defaultRowHeight="15"/>
  <cols>
    <col min="1" max="2" width="3.25" style="105" customWidth="1"/>
    <col min="3" max="3" width="35.125" style="268" customWidth="1"/>
    <col min="4" max="5" width="5.875" style="108" customWidth="1"/>
    <col min="6" max="6" width="54.625" style="105" hidden="1" customWidth="1"/>
    <col min="7" max="7" width="110.25" style="105" customWidth="1"/>
    <col min="8" max="57" width="9" style="105" bestFit="1" customWidth="1"/>
    <col min="58" max="16384" width="14.25" style="105"/>
  </cols>
  <sheetData>
    <row r="1" spans="1:7">
      <c r="A1" s="3"/>
      <c r="B1" s="3"/>
      <c r="C1" s="282"/>
      <c r="D1" s="2"/>
      <c r="E1" s="2"/>
      <c r="F1" s="3"/>
      <c r="G1" s="47" t="s">
        <v>1691</v>
      </c>
    </row>
    <row r="2" spans="1:7" s="106" customFormat="1" ht="15.75">
      <c r="A2" s="40"/>
      <c r="B2" s="40"/>
      <c r="C2" s="16" t="s">
        <v>1785</v>
      </c>
      <c r="D2" s="16" t="s">
        <v>1786</v>
      </c>
      <c r="E2" s="16" t="s">
        <v>1787</v>
      </c>
      <c r="F2" s="16" t="s">
        <v>462</v>
      </c>
      <c r="G2" s="22" t="s">
        <v>1738</v>
      </c>
    </row>
    <row r="3" spans="1:7" ht="17.25" customHeight="1">
      <c r="A3" s="3"/>
      <c r="B3" s="3"/>
      <c r="C3" s="335" t="s">
        <v>1868</v>
      </c>
      <c r="D3" s="69"/>
      <c r="E3" s="69"/>
      <c r="F3" s="67" t="s">
        <v>1869</v>
      </c>
      <c r="G3" s="333" t="s">
        <v>1870</v>
      </c>
    </row>
    <row r="4" spans="1:7" ht="17.25" customHeight="1">
      <c r="A4" s="3"/>
      <c r="B4" s="3"/>
      <c r="C4" s="335" t="s">
        <v>1871</v>
      </c>
      <c r="D4" s="69"/>
      <c r="E4" s="69"/>
      <c r="F4" s="67" t="s">
        <v>1872</v>
      </c>
      <c r="G4" s="333" t="s">
        <v>1873</v>
      </c>
    </row>
    <row r="5" spans="1:7" ht="36">
      <c r="A5" s="3"/>
      <c r="B5" s="3"/>
      <c r="C5" s="269" t="s">
        <v>1874</v>
      </c>
      <c r="D5" s="69"/>
      <c r="E5" s="69"/>
      <c r="F5" s="67" t="s">
        <v>1875</v>
      </c>
      <c r="G5" s="334" t="s">
        <v>1876</v>
      </c>
    </row>
    <row r="6" spans="1:7" ht="48">
      <c r="A6" s="3"/>
      <c r="B6" s="3"/>
      <c r="C6" s="269" t="s">
        <v>1877</v>
      </c>
      <c r="D6" s="69"/>
      <c r="E6" s="69"/>
      <c r="F6" s="67" t="s">
        <v>1878</v>
      </c>
      <c r="G6" s="334" t="s">
        <v>1879</v>
      </c>
    </row>
    <row r="7" spans="1:7" ht="17.25" customHeight="1">
      <c r="A7" s="3"/>
      <c r="B7" s="3"/>
      <c r="C7" s="267" t="s">
        <v>1880</v>
      </c>
      <c r="D7" s="69"/>
      <c r="E7" s="69"/>
      <c r="F7" s="67" t="s">
        <v>873</v>
      </c>
      <c r="G7" s="67" t="s">
        <v>1881</v>
      </c>
    </row>
    <row r="8" spans="1:7" ht="17.25" customHeight="1">
      <c r="A8" s="3"/>
      <c r="B8" s="3"/>
      <c r="C8" s="267" t="s">
        <v>603</v>
      </c>
      <c r="D8" s="69"/>
      <c r="E8" s="69"/>
      <c r="F8" s="67"/>
      <c r="G8" s="67" t="s">
        <v>1882</v>
      </c>
    </row>
    <row r="9" spans="1:7" ht="17.25" customHeight="1">
      <c r="A9" s="3"/>
      <c r="B9" s="3"/>
      <c r="C9" s="267" t="s">
        <v>1883</v>
      </c>
      <c r="D9" s="69"/>
      <c r="E9" s="69"/>
      <c r="F9" s="67"/>
      <c r="G9" s="67"/>
    </row>
    <row r="10" spans="1:7" ht="17.25" customHeight="1">
      <c r="A10" s="3"/>
      <c r="B10" s="3"/>
      <c r="C10" s="267" t="s">
        <v>1884</v>
      </c>
      <c r="D10" s="69"/>
      <c r="E10" s="69"/>
      <c r="F10" s="67"/>
      <c r="G10" s="67" t="s">
        <v>1885</v>
      </c>
    </row>
    <row r="11" spans="1:7" ht="17.25" customHeight="1">
      <c r="A11" s="3"/>
      <c r="B11" s="3"/>
      <c r="C11" s="267" t="s">
        <v>1886</v>
      </c>
      <c r="D11" s="69"/>
      <c r="E11" s="69"/>
      <c r="F11" s="67"/>
      <c r="G11" s="67"/>
    </row>
    <row r="12" spans="1:7" ht="17.25" customHeight="1">
      <c r="A12" s="3"/>
      <c r="B12" s="3"/>
      <c r="C12" s="267" t="s">
        <v>1887</v>
      </c>
      <c r="D12" s="69"/>
      <c r="E12" s="69"/>
      <c r="F12" s="67"/>
      <c r="G12" s="67" t="s">
        <v>1888</v>
      </c>
    </row>
    <row r="13" spans="1:7" ht="17.25" customHeight="1">
      <c r="A13" s="3"/>
      <c r="B13" s="3"/>
      <c r="C13" s="267" t="s">
        <v>1889</v>
      </c>
      <c r="D13" s="69"/>
      <c r="E13" s="69"/>
      <c r="F13" s="67"/>
      <c r="G13" s="67" t="s">
        <v>1888</v>
      </c>
    </row>
    <row r="14" spans="1:7" ht="17.25" customHeight="1">
      <c r="A14" s="3"/>
      <c r="B14" s="3"/>
      <c r="C14" s="84" t="s">
        <v>1890</v>
      </c>
      <c r="D14" s="69"/>
      <c r="E14" s="69"/>
      <c r="F14" s="67"/>
      <c r="G14" s="67" t="s">
        <v>1888</v>
      </c>
    </row>
    <row r="15" spans="1:7" ht="17.25" customHeight="1">
      <c r="A15" s="3"/>
      <c r="B15" s="3"/>
      <c r="C15" s="267" t="s">
        <v>789</v>
      </c>
      <c r="D15" s="69"/>
      <c r="E15" s="69"/>
      <c r="F15" s="67"/>
      <c r="G15" s="67"/>
    </row>
    <row r="16" spans="1:7" ht="17.25" customHeight="1">
      <c r="A16" s="3"/>
      <c r="B16" s="3"/>
      <c r="C16" s="84" t="s">
        <v>1891</v>
      </c>
      <c r="D16" s="69"/>
      <c r="E16" s="69"/>
      <c r="F16" s="3"/>
      <c r="G16" s="67"/>
    </row>
    <row r="17" spans="3:7" ht="17.25" customHeight="1">
      <c r="C17" s="267" t="s">
        <v>1892</v>
      </c>
      <c r="D17" s="69"/>
      <c r="E17" s="69"/>
      <c r="F17" s="3"/>
      <c r="G17" s="67"/>
    </row>
    <row r="18" spans="3:7" ht="17.25" customHeight="1">
      <c r="C18" s="267" t="s">
        <v>1893</v>
      </c>
      <c r="D18" s="69"/>
      <c r="E18" s="69"/>
      <c r="F18" s="3"/>
      <c r="G18" s="67"/>
    </row>
    <row r="19" spans="3:7" ht="17.25" customHeight="1">
      <c r="C19" s="267" t="s">
        <v>1894</v>
      </c>
      <c r="D19" s="69"/>
      <c r="E19" s="69"/>
      <c r="F19" s="3"/>
      <c r="G19" s="67" t="s">
        <v>1885</v>
      </c>
    </row>
    <row r="20" spans="3:7" ht="17.25" customHeight="1">
      <c r="C20" s="267" t="s">
        <v>1895</v>
      </c>
      <c r="D20" s="69"/>
      <c r="E20" s="69"/>
      <c r="F20" s="3"/>
      <c r="G20" s="67" t="s">
        <v>1896</v>
      </c>
    </row>
    <row r="21" spans="3:7" ht="17.25" customHeight="1">
      <c r="C21" s="267" t="s">
        <v>1336</v>
      </c>
      <c r="D21" s="69"/>
      <c r="E21" s="69"/>
      <c r="F21" s="3"/>
      <c r="G21" s="67" t="s">
        <v>1897</v>
      </c>
    </row>
    <row r="22" spans="3:7" ht="17.25" customHeight="1">
      <c r="C22" s="267" t="s">
        <v>1898</v>
      </c>
      <c r="D22" s="69"/>
      <c r="E22" s="69"/>
      <c r="F22" s="3"/>
      <c r="G22" s="67" t="s">
        <v>1897</v>
      </c>
    </row>
    <row r="23" spans="3:7" ht="17.25" customHeight="1">
      <c r="C23" s="267" t="s">
        <v>1899</v>
      </c>
      <c r="D23" s="69"/>
      <c r="E23" s="69"/>
      <c r="F23" s="3"/>
      <c r="G23" s="67" t="s">
        <v>1897</v>
      </c>
    </row>
    <row r="24" spans="3:7" ht="17.25" customHeight="1">
      <c r="C24" s="267" t="s">
        <v>1900</v>
      </c>
      <c r="D24" s="69"/>
      <c r="E24" s="69"/>
      <c r="F24" s="3"/>
      <c r="G24" s="67" t="s">
        <v>1897</v>
      </c>
    </row>
    <row r="25" spans="3:7">
      <c r="C25" s="267" t="s">
        <v>1901</v>
      </c>
      <c r="D25" s="2"/>
      <c r="E25" s="2"/>
      <c r="F25" s="3"/>
      <c r="G25" s="67" t="s">
        <v>1897</v>
      </c>
    </row>
    <row r="26" spans="3:7">
      <c r="C26" s="267" t="s">
        <v>1902</v>
      </c>
      <c r="D26" s="2"/>
      <c r="E26" s="2"/>
      <c r="F26" s="3"/>
      <c r="G26" s="67" t="s">
        <v>1897</v>
      </c>
    </row>
    <row r="27" spans="3:7">
      <c r="C27" s="267" t="s">
        <v>1903</v>
      </c>
      <c r="D27" s="2"/>
      <c r="E27" s="2"/>
      <c r="F27" s="3"/>
      <c r="G27" s="67" t="s">
        <v>1897</v>
      </c>
    </row>
    <row r="28" spans="3:7">
      <c r="C28" s="267" t="s">
        <v>1904</v>
      </c>
      <c r="D28" s="2"/>
      <c r="E28" s="2"/>
      <c r="F28" s="3"/>
      <c r="G28" s="67" t="s">
        <v>1897</v>
      </c>
    </row>
    <row r="29" spans="3:7">
      <c r="C29" s="267" t="s">
        <v>1905</v>
      </c>
      <c r="D29" s="2"/>
      <c r="E29" s="2"/>
      <c r="F29" s="3"/>
      <c r="G29" s="67" t="s">
        <v>1897</v>
      </c>
    </row>
    <row r="30" spans="3:7">
      <c r="C30" s="267" t="s">
        <v>1906</v>
      </c>
      <c r="D30" s="2"/>
      <c r="E30" s="2"/>
      <c r="F30" s="3"/>
      <c r="G30" s="67" t="s">
        <v>1897</v>
      </c>
    </row>
    <row r="31" spans="3:7">
      <c r="C31" s="267" t="s">
        <v>1907</v>
      </c>
      <c r="D31" s="2"/>
      <c r="E31" s="2"/>
      <c r="F31" s="3"/>
      <c r="G31" s="67" t="s">
        <v>1897</v>
      </c>
    </row>
    <row r="32" spans="3:7">
      <c r="C32" s="267" t="s">
        <v>1908</v>
      </c>
      <c r="D32" s="2"/>
      <c r="E32" s="2"/>
      <c r="F32" s="3"/>
      <c r="G32" s="67" t="s">
        <v>1897</v>
      </c>
    </row>
    <row r="33" spans="3:7">
      <c r="C33" s="267" t="s">
        <v>1909</v>
      </c>
      <c r="D33" s="2"/>
      <c r="E33" s="2"/>
      <c r="F33" s="3"/>
      <c r="G33" s="67" t="s">
        <v>1897</v>
      </c>
    </row>
    <row r="34" spans="3:7">
      <c r="C34" s="267" t="s">
        <v>977</v>
      </c>
      <c r="D34" s="2"/>
      <c r="E34" s="2"/>
      <c r="F34" s="3"/>
      <c r="G34" s="67" t="s">
        <v>1897</v>
      </c>
    </row>
    <row r="35" spans="3:7">
      <c r="C35" s="267" t="s">
        <v>1910</v>
      </c>
      <c r="D35" s="2"/>
      <c r="E35" s="2"/>
      <c r="F35" s="3"/>
      <c r="G35" s="67" t="s">
        <v>1897</v>
      </c>
    </row>
    <row r="36" spans="3:7">
      <c r="C36" s="267" t="s">
        <v>1911</v>
      </c>
      <c r="D36" s="2"/>
      <c r="E36" s="2"/>
      <c r="F36" s="3"/>
      <c r="G36" s="67" t="s">
        <v>1897</v>
      </c>
    </row>
    <row r="37" spans="3:7">
      <c r="C37" s="267" t="s">
        <v>1912</v>
      </c>
      <c r="D37" s="2"/>
      <c r="E37" s="2"/>
      <c r="F37" s="3"/>
      <c r="G37" s="67" t="s">
        <v>1897</v>
      </c>
    </row>
    <row r="38" spans="3:7">
      <c r="C38" s="267" t="s">
        <v>1913</v>
      </c>
      <c r="D38" s="2"/>
      <c r="E38" s="2"/>
      <c r="F38" s="3"/>
      <c r="G38" s="67" t="s">
        <v>1897</v>
      </c>
    </row>
    <row r="39" spans="3:7">
      <c r="C39" s="267" t="s">
        <v>1914</v>
      </c>
      <c r="D39" s="2"/>
      <c r="E39" s="2"/>
      <c r="F39" s="3"/>
      <c r="G39" s="67" t="s">
        <v>1897</v>
      </c>
    </row>
    <row r="40" spans="3:7">
      <c r="C40" s="267" t="s">
        <v>1915</v>
      </c>
      <c r="D40" s="2"/>
      <c r="E40" s="2"/>
      <c r="F40" s="3"/>
      <c r="G40" s="67" t="s">
        <v>1897</v>
      </c>
    </row>
    <row r="41" spans="3:7">
      <c r="C41" s="267"/>
      <c r="D41" s="2"/>
      <c r="E41" s="2"/>
      <c r="F41" s="3"/>
      <c r="G41" s="67"/>
    </row>
    <row r="42" spans="3:7">
      <c r="C42" s="267"/>
      <c r="D42" s="2"/>
      <c r="E42" s="2"/>
      <c r="F42" s="3"/>
      <c r="G42" s="67"/>
    </row>
    <row r="43" spans="3:7">
      <c r="C43" s="267"/>
      <c r="D43" s="2"/>
      <c r="E43" s="2"/>
      <c r="F43" s="3"/>
      <c r="G43" s="67"/>
    </row>
    <row r="44" spans="3:7">
      <c r="C44" s="267"/>
      <c r="D44" s="2"/>
      <c r="E44" s="2"/>
      <c r="F44" s="3"/>
      <c r="G44" s="67"/>
    </row>
    <row r="45" spans="3:7">
      <c r="C45" s="267"/>
      <c r="D45" s="2"/>
      <c r="E45" s="2"/>
      <c r="F45" s="3"/>
      <c r="G45" s="67"/>
    </row>
    <row r="46" spans="3:7">
      <c r="C46" s="267"/>
      <c r="D46" s="2"/>
      <c r="E46" s="2"/>
      <c r="F46" s="3"/>
      <c r="G46" s="67"/>
    </row>
    <row r="47" spans="3:7">
      <c r="C47" s="267"/>
      <c r="D47" s="2"/>
      <c r="E47" s="2"/>
      <c r="F47" s="3"/>
      <c r="G47" s="67"/>
    </row>
    <row r="48" spans="3:7">
      <c r="C48" s="267"/>
      <c r="D48" s="2"/>
      <c r="E48" s="2"/>
      <c r="F48" s="3"/>
      <c r="G48" s="67"/>
    </row>
    <row r="49" spans="3:7">
      <c r="C49" s="267"/>
      <c r="D49" s="2"/>
      <c r="E49" s="2"/>
      <c r="F49" s="3"/>
      <c r="G49" s="67"/>
    </row>
    <row r="50" spans="3:7">
      <c r="C50" s="267"/>
      <c r="D50" s="2"/>
      <c r="E50" s="2"/>
      <c r="F50" s="3"/>
      <c r="G50" s="67"/>
    </row>
    <row r="51" spans="3:7">
      <c r="C51" s="267"/>
      <c r="D51" s="2"/>
      <c r="E51" s="2"/>
      <c r="F51" s="3"/>
      <c r="G51" s="67"/>
    </row>
    <row r="52" spans="3:7">
      <c r="C52" s="267"/>
      <c r="D52" s="2"/>
      <c r="E52" s="2"/>
      <c r="F52" s="3"/>
      <c r="G52" s="67"/>
    </row>
    <row r="53" spans="3:7">
      <c r="C53" s="267"/>
      <c r="D53" s="2"/>
      <c r="E53" s="2"/>
      <c r="F53" s="3"/>
      <c r="G53" s="67"/>
    </row>
    <row r="54" spans="3:7">
      <c r="C54" s="267"/>
      <c r="D54" s="2"/>
      <c r="E54" s="2"/>
      <c r="F54" s="3"/>
      <c r="G54" s="67"/>
    </row>
    <row r="55" spans="3:7">
      <c r="C55" s="267"/>
      <c r="D55" s="2"/>
      <c r="E55" s="2"/>
      <c r="F55" s="3"/>
      <c r="G55" s="67"/>
    </row>
    <row r="56" spans="3:7">
      <c r="C56" s="267"/>
      <c r="D56" s="2"/>
      <c r="E56" s="2"/>
      <c r="F56" s="3"/>
      <c r="G56" s="3"/>
    </row>
    <row r="57" spans="3:7">
      <c r="C57" s="267"/>
      <c r="D57" s="2"/>
      <c r="E57" s="2"/>
      <c r="F57" s="3"/>
      <c r="G57" s="3"/>
    </row>
    <row r="58" spans="3:7">
      <c r="C58" s="267"/>
      <c r="D58" s="2"/>
      <c r="E58" s="2"/>
      <c r="F58" s="3"/>
      <c r="G58" s="3"/>
    </row>
    <row r="59" spans="3:7">
      <c r="C59" s="267"/>
      <c r="D59" s="2"/>
      <c r="E59" s="2"/>
      <c r="F59" s="3"/>
      <c r="G59" s="3"/>
    </row>
    <row r="60" spans="3:7">
      <c r="C60" s="267"/>
      <c r="D60" s="2"/>
      <c r="E60" s="2"/>
      <c r="F60" s="3"/>
      <c r="G60" s="3"/>
    </row>
    <row r="61" spans="3:7">
      <c r="C61" s="267"/>
      <c r="D61" s="2"/>
      <c r="E61" s="2"/>
      <c r="F61" s="3"/>
      <c r="G61" s="3"/>
    </row>
    <row r="62" spans="3:7">
      <c r="C62" s="267"/>
      <c r="D62" s="2"/>
      <c r="E62" s="2"/>
      <c r="F62" s="3"/>
      <c r="G62" s="3"/>
    </row>
    <row r="63" spans="3:7">
      <c r="C63" s="267"/>
      <c r="D63" s="2"/>
      <c r="E63" s="2"/>
      <c r="F63" s="3"/>
      <c r="G63" s="3"/>
    </row>
    <row r="64" spans="3:7">
      <c r="C64" s="267"/>
      <c r="D64" s="2"/>
      <c r="E64" s="2"/>
      <c r="F64" s="3"/>
      <c r="G64" s="3"/>
    </row>
    <row r="65" spans="3:7">
      <c r="C65" s="267"/>
      <c r="D65" s="2"/>
      <c r="E65" s="2"/>
      <c r="F65" s="3"/>
      <c r="G65" s="3"/>
    </row>
    <row r="66" spans="3:7">
      <c r="C66" s="267"/>
      <c r="D66" s="2"/>
      <c r="E66" s="2"/>
      <c r="F66" s="3"/>
      <c r="G66" s="3"/>
    </row>
    <row r="67" spans="3:7">
      <c r="C67" s="267"/>
      <c r="D67" s="2"/>
      <c r="E67" s="2"/>
      <c r="F67" s="3"/>
      <c r="G67" s="3"/>
    </row>
    <row r="68" spans="3:7">
      <c r="C68" s="267"/>
      <c r="D68" s="2"/>
      <c r="E68" s="2"/>
      <c r="F68" s="3"/>
      <c r="G68" s="3"/>
    </row>
    <row r="69" spans="3:7">
      <c r="C69" s="267"/>
      <c r="D69" s="2"/>
      <c r="E69" s="2"/>
      <c r="F69" s="3"/>
      <c r="G69" s="3"/>
    </row>
    <row r="70" spans="3:7">
      <c r="C70" s="267"/>
      <c r="D70" s="2"/>
      <c r="E70" s="2"/>
      <c r="F70" s="3"/>
      <c r="G70" s="3"/>
    </row>
    <row r="71" spans="3:7">
      <c r="C71" s="267"/>
      <c r="D71" s="2"/>
      <c r="E71" s="2"/>
      <c r="F71" s="3"/>
      <c r="G71" s="3"/>
    </row>
    <row r="72" spans="3:7">
      <c r="C72" s="267"/>
      <c r="D72" s="2"/>
      <c r="E72" s="2"/>
      <c r="F72" s="3"/>
      <c r="G72" s="3"/>
    </row>
    <row r="73" spans="3:7">
      <c r="C73" s="267"/>
      <c r="D73" s="2"/>
      <c r="E73" s="2"/>
      <c r="F73" s="3"/>
      <c r="G73" s="3"/>
    </row>
    <row r="74" spans="3:7">
      <c r="C74" s="267"/>
      <c r="D74" s="2"/>
      <c r="E74" s="2"/>
      <c r="F74" s="3"/>
      <c r="G74" s="3"/>
    </row>
  </sheetData>
  <phoneticPr fontId="19" type="noConversion"/>
  <pageMargins left="0.70866141732283472" right="0.70866141732283472" top="0.74803149606299213" bottom="0.74803149606299213" header="0.31496062992125984" footer="0.31496062992125984"/>
  <pageSetup paperSize="8" scale="7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EECA-0250-42AD-B6F1-34902056A697}">
  <sheetPr codeName="Sheet13"/>
  <dimension ref="A1:U134"/>
  <sheetViews>
    <sheetView showGridLines="0" topLeftCell="E1" zoomScale="115" zoomScaleNormal="115" workbookViewId="0">
      <selection activeCell="M27" sqref="M27"/>
    </sheetView>
  </sheetViews>
  <sheetFormatPr defaultRowHeight="16.5"/>
  <cols>
    <col min="1" max="1" width="4.75" style="305" customWidth="1"/>
    <col min="2" max="2" width="70.875" bestFit="1" customWidth="1"/>
    <col min="3" max="3" width="9" style="305"/>
    <col min="4" max="4" width="11.875" style="305" customWidth="1"/>
    <col min="5" max="5" width="18.5" style="305" customWidth="1"/>
    <col min="6" max="6" width="9.875" customWidth="1"/>
    <col min="7" max="7" width="9.75" customWidth="1"/>
    <col min="9" max="9" width="11.5" style="568" customWidth="1"/>
    <col min="10" max="10" width="4.625" customWidth="1"/>
    <col min="11" max="11" width="4.75" customWidth="1"/>
    <col min="12" max="12" width="23" customWidth="1"/>
    <col min="13" max="13" width="18.125" customWidth="1"/>
    <col min="14" max="14" width="11.125" customWidth="1"/>
    <col min="15" max="15" width="25.25" customWidth="1"/>
    <col min="17" max="17" width="8.75" customWidth="1"/>
    <col min="18" max="18" width="1.125" customWidth="1"/>
  </cols>
  <sheetData>
    <row r="1" spans="1:21">
      <c r="A1" s="553" t="s">
        <v>24</v>
      </c>
      <c r="B1" s="534" t="s">
        <v>1916</v>
      </c>
      <c r="C1" s="544" t="s">
        <v>1917</v>
      </c>
      <c r="D1" s="544" t="s">
        <v>307</v>
      </c>
      <c r="E1" s="544" t="s">
        <v>1918</v>
      </c>
      <c r="F1" s="534" t="s">
        <v>1919</v>
      </c>
      <c r="G1" s="535" t="s">
        <v>1920</v>
      </c>
      <c r="J1" s="1172" t="s">
        <v>1921</v>
      </c>
      <c r="K1" s="1172" t="s">
        <v>1922</v>
      </c>
      <c r="L1" s="1173" t="s">
        <v>1785</v>
      </c>
      <c r="M1" s="1174" t="s">
        <v>1918</v>
      </c>
      <c r="N1" s="1173" t="s">
        <v>1923</v>
      </c>
      <c r="O1" s="1172" t="s">
        <v>1924</v>
      </c>
    </row>
    <row r="2" spans="1:21">
      <c r="A2" s="554">
        <v>1</v>
      </c>
      <c r="B2" s="13" t="s">
        <v>1925</v>
      </c>
      <c r="C2" s="2910">
        <v>1041</v>
      </c>
      <c r="D2" s="545"/>
      <c r="E2" s="545" t="s">
        <v>556</v>
      </c>
      <c r="F2" s="13" t="s">
        <v>1926</v>
      </c>
      <c r="G2" s="536" t="s">
        <v>1927</v>
      </c>
      <c r="J2" s="1185" t="s">
        <v>1928</v>
      </c>
      <c r="K2" s="1186">
        <v>1</v>
      </c>
      <c r="L2" s="1187" t="s">
        <v>1929</v>
      </c>
      <c r="M2" s="1190" t="s">
        <v>1930</v>
      </c>
      <c r="N2" s="1193">
        <v>2743.2</v>
      </c>
      <c r="O2" s="1199" t="s">
        <v>1931</v>
      </c>
    </row>
    <row r="3" spans="1:21">
      <c r="A3" s="554">
        <v>2</v>
      </c>
      <c r="B3" s="13" t="s">
        <v>1932</v>
      </c>
      <c r="C3" s="2910"/>
      <c r="D3" s="545"/>
      <c r="E3" s="545" t="s">
        <v>1933</v>
      </c>
      <c r="F3" s="13" t="s">
        <v>1934</v>
      </c>
      <c r="G3" s="536" t="s">
        <v>1935</v>
      </c>
      <c r="J3" s="1184" t="s">
        <v>1936</v>
      </c>
      <c r="K3" s="1181">
        <v>2</v>
      </c>
      <c r="L3" s="1182" t="s">
        <v>1937</v>
      </c>
      <c r="M3" s="1191" t="s">
        <v>1938</v>
      </c>
      <c r="N3" s="1194">
        <v>210.82</v>
      </c>
      <c r="O3" s="1200" t="s">
        <v>1931</v>
      </c>
    </row>
    <row r="4" spans="1:21">
      <c r="A4" s="554">
        <v>3</v>
      </c>
      <c r="B4" s="13" t="s">
        <v>564</v>
      </c>
      <c r="C4" s="545">
        <v>406</v>
      </c>
      <c r="D4" s="545"/>
      <c r="E4" s="545" t="s">
        <v>1939</v>
      </c>
      <c r="F4" s="13" t="s">
        <v>1934</v>
      </c>
      <c r="G4" s="536" t="s">
        <v>1935</v>
      </c>
      <c r="J4" s="1183" t="s">
        <v>1940</v>
      </c>
      <c r="K4" s="1181">
        <v>3</v>
      </c>
      <c r="L4" s="1182" t="s">
        <v>1941</v>
      </c>
      <c r="M4" s="1191" t="s">
        <v>1942</v>
      </c>
      <c r="N4" s="1194">
        <v>650.24</v>
      </c>
      <c r="O4" s="1200" t="s">
        <v>1943</v>
      </c>
    </row>
    <row r="5" spans="1:21">
      <c r="A5" s="554">
        <v>5</v>
      </c>
      <c r="B5" s="13" t="s">
        <v>1312</v>
      </c>
      <c r="C5" s="545">
        <v>158.75</v>
      </c>
      <c r="D5" s="545"/>
      <c r="E5" s="545" t="s">
        <v>567</v>
      </c>
      <c r="F5" s="13" t="s">
        <v>1934</v>
      </c>
      <c r="G5" s="536" t="s">
        <v>1935</v>
      </c>
      <c r="J5" s="2901" t="s">
        <v>1944</v>
      </c>
      <c r="K5" s="1175">
        <v>4</v>
      </c>
      <c r="L5" s="1176" t="s">
        <v>1945</v>
      </c>
      <c r="M5" s="2905" t="s">
        <v>1946</v>
      </c>
      <c r="N5" s="1195">
        <v>243.84</v>
      </c>
      <c r="O5" s="1201" t="s">
        <v>1947</v>
      </c>
      <c r="Q5" s="1192">
        <v>2743.2</v>
      </c>
      <c r="S5" t="s">
        <v>1929</v>
      </c>
      <c r="U5" t="s">
        <v>1930</v>
      </c>
    </row>
    <row r="6" spans="1:21">
      <c r="A6" s="554">
        <v>7</v>
      </c>
      <c r="B6" s="13" t="s">
        <v>1948</v>
      </c>
      <c r="C6" s="545">
        <v>545.46</v>
      </c>
      <c r="D6" s="545"/>
      <c r="E6" s="545" t="s">
        <v>1938</v>
      </c>
      <c r="F6" s="13" t="s">
        <v>1949</v>
      </c>
      <c r="G6" s="536" t="s">
        <v>1950</v>
      </c>
      <c r="J6" s="2901"/>
      <c r="K6" s="1177">
        <v>5</v>
      </c>
      <c r="L6" s="1178" t="s">
        <v>1951</v>
      </c>
      <c r="M6" s="2906"/>
      <c r="N6" s="1196">
        <v>522.6</v>
      </c>
      <c r="O6" s="1202" t="s">
        <v>1952</v>
      </c>
      <c r="Q6" s="1192">
        <v>210.82</v>
      </c>
      <c r="S6" t="s">
        <v>1937</v>
      </c>
      <c r="U6" t="s">
        <v>541</v>
      </c>
    </row>
    <row r="7" spans="1:21">
      <c r="A7" s="554">
        <v>9</v>
      </c>
      <c r="B7" s="13" t="s">
        <v>1953</v>
      </c>
      <c r="C7" s="545">
        <v>150</v>
      </c>
      <c r="D7" s="545"/>
      <c r="E7" s="545" t="s">
        <v>541</v>
      </c>
      <c r="F7" s="13" t="s">
        <v>1949</v>
      </c>
      <c r="G7" s="536" t="s">
        <v>1950</v>
      </c>
      <c r="J7" s="2901"/>
      <c r="K7" s="1179">
        <v>6</v>
      </c>
      <c r="L7" s="1180" t="s">
        <v>1954</v>
      </c>
      <c r="M7" s="2906"/>
      <c r="N7" s="1197">
        <v>909.32</v>
      </c>
      <c r="O7" s="1203" t="s">
        <v>1955</v>
      </c>
      <c r="Q7" s="1192">
        <v>650.24</v>
      </c>
      <c r="S7" t="s">
        <v>1941</v>
      </c>
      <c r="U7" t="s">
        <v>1942</v>
      </c>
    </row>
    <row r="8" spans="1:21">
      <c r="A8" s="554">
        <v>10</v>
      </c>
      <c r="B8" s="13" t="s">
        <v>1956</v>
      </c>
      <c r="C8" s="545">
        <v>144.15</v>
      </c>
      <c r="D8" s="545"/>
      <c r="E8" s="545" t="s">
        <v>541</v>
      </c>
      <c r="F8" s="13"/>
      <c r="G8" s="536"/>
      <c r="J8" s="2902"/>
      <c r="K8" s="1181">
        <v>7</v>
      </c>
      <c r="L8" s="1182" t="s">
        <v>659</v>
      </c>
      <c r="M8" s="2907"/>
      <c r="N8" s="1194">
        <v>355.6</v>
      </c>
      <c r="O8" s="1200" t="s">
        <v>1957</v>
      </c>
      <c r="Q8" s="1192"/>
    </row>
    <row r="9" spans="1:21">
      <c r="A9" s="554">
        <v>11</v>
      </c>
      <c r="B9" s="13" t="s">
        <v>1958</v>
      </c>
      <c r="C9" s="545">
        <v>138.43</v>
      </c>
      <c r="D9" s="545"/>
      <c r="E9" s="545" t="s">
        <v>541</v>
      </c>
      <c r="F9" s="13"/>
      <c r="G9" s="536"/>
      <c r="J9" s="2903" t="s">
        <v>1959</v>
      </c>
      <c r="K9" s="1175">
        <v>8</v>
      </c>
      <c r="L9" s="1176" t="s">
        <v>1960</v>
      </c>
      <c r="M9" s="2905" t="s">
        <v>1961</v>
      </c>
      <c r="N9" s="1195">
        <v>328.3</v>
      </c>
      <c r="O9" s="1201" t="s">
        <v>1962</v>
      </c>
      <c r="Q9" s="1192">
        <v>243.84</v>
      </c>
      <c r="S9" t="s">
        <v>1945</v>
      </c>
      <c r="U9" t="s">
        <v>503</v>
      </c>
    </row>
    <row r="10" spans="1:21">
      <c r="A10" s="554">
        <v>12</v>
      </c>
      <c r="B10" s="13" t="s">
        <v>1963</v>
      </c>
      <c r="C10" s="545">
        <v>151.13</v>
      </c>
      <c r="D10" s="545"/>
      <c r="E10" s="545" t="s">
        <v>1964</v>
      </c>
      <c r="F10" s="13"/>
      <c r="G10" s="536"/>
      <c r="J10" s="2904"/>
      <c r="K10" s="1188">
        <v>9</v>
      </c>
      <c r="L10" s="1189" t="s">
        <v>1965</v>
      </c>
      <c r="M10" s="2907"/>
      <c r="N10" s="1198">
        <v>509.6</v>
      </c>
      <c r="O10" s="1204" t="s">
        <v>1966</v>
      </c>
      <c r="Q10" s="1192">
        <v>522.60500000000002</v>
      </c>
      <c r="S10" t="s">
        <v>1951</v>
      </c>
      <c r="U10" t="s">
        <v>503</v>
      </c>
    </row>
    <row r="11" spans="1:21">
      <c r="A11" s="554">
        <v>8</v>
      </c>
      <c r="B11" s="13" t="s">
        <v>1967</v>
      </c>
      <c r="C11" s="548">
        <v>3201.02</v>
      </c>
      <c r="D11" s="545"/>
      <c r="E11" s="545" t="s">
        <v>1968</v>
      </c>
      <c r="F11" s="13" t="s">
        <v>1949</v>
      </c>
      <c r="G11" s="536" t="s">
        <v>1950</v>
      </c>
      <c r="J11" s="2908" t="s">
        <v>1969</v>
      </c>
      <c r="K11" s="1175">
        <v>10</v>
      </c>
      <c r="L11" s="1176" t="s">
        <v>1970</v>
      </c>
      <c r="M11" s="2905" t="s">
        <v>1933</v>
      </c>
      <c r="N11" s="1195">
        <v>913.76</v>
      </c>
      <c r="O11" s="1201" t="s">
        <v>1971</v>
      </c>
      <c r="Q11" s="1192">
        <v>909.32</v>
      </c>
      <c r="S11" t="s">
        <v>1972</v>
      </c>
      <c r="U11" t="s">
        <v>503</v>
      </c>
    </row>
    <row r="12" spans="1:21">
      <c r="A12" s="554">
        <v>4</v>
      </c>
      <c r="B12" s="13" t="s">
        <v>1973</v>
      </c>
      <c r="C12" s="545">
        <v>319.2</v>
      </c>
      <c r="D12" s="545"/>
      <c r="E12" s="545" t="s">
        <v>1946</v>
      </c>
      <c r="F12" s="13" t="s">
        <v>1934</v>
      </c>
      <c r="G12" s="536" t="s">
        <v>1935</v>
      </c>
      <c r="J12" s="2909"/>
      <c r="K12" s="1188">
        <v>10</v>
      </c>
      <c r="L12" s="1189" t="s">
        <v>1974</v>
      </c>
      <c r="M12" s="2907"/>
      <c r="N12" s="1198">
        <v>654.04999999999995</v>
      </c>
      <c r="O12" s="1204" t="s">
        <v>1952</v>
      </c>
      <c r="Q12" s="1192">
        <v>355.6</v>
      </c>
      <c r="S12" t="s">
        <v>659</v>
      </c>
      <c r="U12" t="s">
        <v>503</v>
      </c>
    </row>
    <row r="13" spans="1:21">
      <c r="A13" s="554">
        <v>6</v>
      </c>
      <c r="B13" s="13" t="s">
        <v>1975</v>
      </c>
      <c r="C13" s="548">
        <v>110.08</v>
      </c>
      <c r="D13" s="545"/>
      <c r="E13" s="545" t="s">
        <v>1961</v>
      </c>
      <c r="F13" s="13" t="s">
        <v>1934</v>
      </c>
      <c r="G13" s="536" t="s">
        <v>1935</v>
      </c>
      <c r="Q13" s="1192">
        <v>328.3</v>
      </c>
      <c r="S13" t="s">
        <v>1960</v>
      </c>
      <c r="U13" t="s">
        <v>685</v>
      </c>
    </row>
    <row r="14" spans="1:21">
      <c r="A14" s="554">
        <v>13</v>
      </c>
      <c r="B14" s="13" t="s">
        <v>586</v>
      </c>
      <c r="C14" s="545">
        <v>300.08</v>
      </c>
      <c r="D14" s="545"/>
      <c r="E14" s="545" t="s">
        <v>685</v>
      </c>
      <c r="F14" s="13"/>
      <c r="G14" s="536"/>
      <c r="Q14" s="1192">
        <v>509.6</v>
      </c>
      <c r="S14" t="s">
        <v>1965</v>
      </c>
      <c r="U14" t="s">
        <v>1961</v>
      </c>
    </row>
    <row r="15" spans="1:21">
      <c r="A15" s="554">
        <v>14</v>
      </c>
      <c r="B15" s="537" t="s">
        <v>1976</v>
      </c>
      <c r="C15" s="546">
        <v>160</v>
      </c>
      <c r="D15" s="546"/>
      <c r="E15" s="537" t="s">
        <v>685</v>
      </c>
      <c r="F15" s="537"/>
      <c r="G15" s="538"/>
      <c r="Q15" s="1192">
        <v>913.76499999999999</v>
      </c>
      <c r="S15" t="s">
        <v>1970</v>
      </c>
      <c r="U15" t="s">
        <v>556</v>
      </c>
    </row>
    <row r="16" spans="1:21">
      <c r="A16" s="545"/>
      <c r="B16" s="13"/>
      <c r="C16" s="545"/>
      <c r="D16" s="545"/>
      <c r="E16" s="545"/>
      <c r="F16" s="168"/>
      <c r="G16" s="168"/>
      <c r="Q16" s="1192">
        <v>654.04999999999995</v>
      </c>
      <c r="S16" t="s">
        <v>1974</v>
      </c>
      <c r="U16" t="s">
        <v>1933</v>
      </c>
    </row>
    <row r="17" spans="1:17">
      <c r="A17" s="555" t="s">
        <v>24</v>
      </c>
      <c r="B17" s="539" t="s">
        <v>1916</v>
      </c>
      <c r="C17" s="547" t="s">
        <v>1917</v>
      </c>
      <c r="D17" s="547" t="s">
        <v>1977</v>
      </c>
      <c r="E17" s="547" t="s">
        <v>1918</v>
      </c>
      <c r="F17" s="539" t="s">
        <v>1919</v>
      </c>
      <c r="G17" s="540" t="s">
        <v>1920</v>
      </c>
      <c r="Q17" s="1192"/>
    </row>
    <row r="18" spans="1:17">
      <c r="A18" s="554">
        <v>1</v>
      </c>
      <c r="B18" s="13" t="s">
        <v>1891</v>
      </c>
      <c r="C18" s="549">
        <v>3181.5</v>
      </c>
      <c r="D18" s="2910">
        <f>SUM(C18:C32)</f>
        <v>19837.3</v>
      </c>
      <c r="E18" s="545" t="s">
        <v>556</v>
      </c>
      <c r="F18" s="168"/>
      <c r="G18" s="541" t="s">
        <v>307</v>
      </c>
    </row>
    <row r="19" spans="1:17">
      <c r="A19" s="554">
        <v>2</v>
      </c>
      <c r="B19" s="13" t="s">
        <v>1903</v>
      </c>
      <c r="C19" s="545">
        <v>275.88</v>
      </c>
      <c r="D19" s="2911"/>
      <c r="E19" s="545" t="s">
        <v>556</v>
      </c>
      <c r="F19" s="168"/>
      <c r="G19" s="541" t="s">
        <v>307</v>
      </c>
      <c r="L19" t="s">
        <v>1978</v>
      </c>
    </row>
    <row r="20" spans="1:17">
      <c r="A20" s="554">
        <v>3</v>
      </c>
      <c r="B20" s="13" t="s">
        <v>1904</v>
      </c>
      <c r="C20" s="549">
        <v>4535.5200000000004</v>
      </c>
      <c r="D20" s="2911"/>
      <c r="E20" s="545" t="s">
        <v>556</v>
      </c>
      <c r="F20" s="168"/>
      <c r="G20" s="541" t="s">
        <v>307</v>
      </c>
    </row>
    <row r="21" spans="1:17">
      <c r="A21" s="554">
        <v>4</v>
      </c>
      <c r="B21" s="13" t="s">
        <v>1906</v>
      </c>
      <c r="C21" s="545">
        <v>453.42</v>
      </c>
      <c r="D21" s="2911"/>
      <c r="E21" s="545" t="s">
        <v>556</v>
      </c>
      <c r="F21" s="168"/>
      <c r="G21" s="541" t="s">
        <v>307</v>
      </c>
    </row>
    <row r="22" spans="1:17">
      <c r="A22" s="554">
        <v>5</v>
      </c>
      <c r="B22" s="13" t="s">
        <v>1908</v>
      </c>
      <c r="C22" s="545">
        <v>773.5</v>
      </c>
      <c r="D22" s="2911"/>
      <c r="E22" s="545" t="s">
        <v>556</v>
      </c>
      <c r="F22" s="168"/>
      <c r="G22" s="541" t="s">
        <v>307</v>
      </c>
    </row>
    <row r="23" spans="1:17">
      <c r="A23" s="554">
        <v>6</v>
      </c>
      <c r="B23" s="13" t="s">
        <v>1046</v>
      </c>
      <c r="C23" s="548">
        <v>1341.12</v>
      </c>
      <c r="D23" s="2911"/>
      <c r="E23" s="545" t="s">
        <v>556</v>
      </c>
      <c r="F23" s="168"/>
      <c r="G23" s="541" t="s">
        <v>307</v>
      </c>
    </row>
    <row r="24" spans="1:17">
      <c r="A24" s="554">
        <v>7</v>
      </c>
      <c r="B24" s="13" t="s">
        <v>1979</v>
      </c>
      <c r="C24" s="545">
        <v>406.4</v>
      </c>
      <c r="D24" s="2911"/>
      <c r="E24" s="545" t="s">
        <v>556</v>
      </c>
      <c r="F24" s="168"/>
      <c r="G24" s="541" t="s">
        <v>307</v>
      </c>
      <c r="I24" s="568" t="s">
        <v>1980</v>
      </c>
    </row>
    <row r="25" spans="1:17">
      <c r="A25" s="554">
        <v>8</v>
      </c>
      <c r="B25" s="13" t="s">
        <v>1981</v>
      </c>
      <c r="C25" s="548">
        <v>1224.5999999999999</v>
      </c>
      <c r="D25" s="2911"/>
      <c r="E25" s="545" t="s">
        <v>556</v>
      </c>
      <c r="F25" s="168"/>
      <c r="G25" s="541" t="s">
        <v>307</v>
      </c>
      <c r="I25" s="567">
        <f>D18</f>
        <v>19837.3</v>
      </c>
    </row>
    <row r="26" spans="1:17">
      <c r="A26" s="554">
        <v>9</v>
      </c>
      <c r="B26" s="13" t="s">
        <v>1109</v>
      </c>
      <c r="C26" s="545">
        <v>483.7</v>
      </c>
      <c r="D26" s="2911"/>
      <c r="E26" s="545" t="s">
        <v>556</v>
      </c>
      <c r="F26" s="168"/>
      <c r="G26" s="541" t="s">
        <v>307</v>
      </c>
    </row>
    <row r="27" spans="1:17">
      <c r="A27" s="554">
        <v>10</v>
      </c>
      <c r="B27" s="13" t="s">
        <v>1114</v>
      </c>
      <c r="C27" s="549">
        <v>1602.48</v>
      </c>
      <c r="D27" s="2911"/>
      <c r="E27" s="545" t="s">
        <v>556</v>
      </c>
      <c r="F27" s="168"/>
      <c r="G27" s="541" t="s">
        <v>307</v>
      </c>
    </row>
    <row r="28" spans="1:17">
      <c r="A28" s="554">
        <v>11</v>
      </c>
      <c r="B28" s="13" t="s">
        <v>1119</v>
      </c>
      <c r="C28" s="545">
        <v>483.12</v>
      </c>
      <c r="D28" s="2911"/>
      <c r="E28" s="545" t="s">
        <v>556</v>
      </c>
      <c r="F28" s="168"/>
      <c r="G28" s="541" t="s">
        <v>307</v>
      </c>
    </row>
    <row r="29" spans="1:17">
      <c r="A29" s="554">
        <v>12</v>
      </c>
      <c r="B29" s="13" t="s">
        <v>1982</v>
      </c>
      <c r="C29" s="545">
        <v>320.76</v>
      </c>
      <c r="D29" s="2911"/>
      <c r="E29" s="545" t="s">
        <v>556</v>
      </c>
      <c r="F29" s="168"/>
      <c r="G29" s="541" t="s">
        <v>307</v>
      </c>
    </row>
    <row r="30" spans="1:17">
      <c r="A30" s="554">
        <v>13</v>
      </c>
      <c r="B30" s="13" t="s">
        <v>1983</v>
      </c>
      <c r="C30" s="545">
        <v>326.7</v>
      </c>
      <c r="D30" s="2911"/>
      <c r="E30" s="545" t="s">
        <v>556</v>
      </c>
      <c r="F30" s="168"/>
      <c r="G30" s="541" t="s">
        <v>307</v>
      </c>
    </row>
    <row r="31" spans="1:17">
      <c r="A31" s="554">
        <v>14</v>
      </c>
      <c r="B31" s="13" t="s">
        <v>884</v>
      </c>
      <c r="C31" s="548">
        <v>4098</v>
      </c>
      <c r="D31" s="2911"/>
      <c r="E31" s="545" t="s">
        <v>556</v>
      </c>
      <c r="F31" s="168"/>
      <c r="G31" s="541" t="s">
        <v>307</v>
      </c>
    </row>
    <row r="32" spans="1:17">
      <c r="A32" s="557">
        <v>15</v>
      </c>
      <c r="B32" s="537" t="s">
        <v>928</v>
      </c>
      <c r="C32" s="546">
        <v>330.6</v>
      </c>
      <c r="D32" s="2912"/>
      <c r="E32" s="546" t="s">
        <v>556</v>
      </c>
      <c r="F32" s="542" t="s">
        <v>307</v>
      </c>
      <c r="G32" s="543" t="s">
        <v>307</v>
      </c>
    </row>
    <row r="33" spans="1:9">
      <c r="A33" s="545"/>
      <c r="B33" s="13"/>
      <c r="C33" s="545"/>
      <c r="D33" s="545"/>
      <c r="E33" s="545"/>
      <c r="F33" s="168"/>
      <c r="G33" s="168"/>
    </row>
    <row r="34" spans="1:9">
      <c r="A34" s="553" t="s">
        <v>24</v>
      </c>
      <c r="B34" s="534" t="s">
        <v>1916</v>
      </c>
      <c r="C34" s="544" t="s">
        <v>1917</v>
      </c>
      <c r="D34" s="544" t="s">
        <v>1977</v>
      </c>
      <c r="E34" s="544" t="s">
        <v>1918</v>
      </c>
      <c r="F34" s="534" t="s">
        <v>1919</v>
      </c>
      <c r="G34" s="535" t="s">
        <v>1920</v>
      </c>
    </row>
    <row r="35" spans="1:9">
      <c r="A35" s="554">
        <v>1</v>
      </c>
      <c r="B35" s="13" t="s">
        <v>1984</v>
      </c>
      <c r="C35" s="545">
        <v>277.2</v>
      </c>
      <c r="D35" s="2910">
        <f>SUM(C35:C37)</f>
        <v>1427.82</v>
      </c>
      <c r="E35" s="545" t="s">
        <v>567</v>
      </c>
      <c r="F35" s="168"/>
      <c r="G35" s="541" t="s">
        <v>307</v>
      </c>
    </row>
    <row r="36" spans="1:9">
      <c r="A36" s="554">
        <v>2</v>
      </c>
      <c r="B36" s="13" t="s">
        <v>1068</v>
      </c>
      <c r="C36" s="548">
        <v>1036.32</v>
      </c>
      <c r="D36" s="2910"/>
      <c r="E36" s="545" t="s">
        <v>567</v>
      </c>
      <c r="F36" s="168"/>
      <c r="G36" s="541" t="s">
        <v>307</v>
      </c>
      <c r="I36" s="568" t="s">
        <v>1985</v>
      </c>
    </row>
    <row r="37" spans="1:9">
      <c r="A37" s="558">
        <v>3</v>
      </c>
      <c r="B37" s="563" t="s">
        <v>1986</v>
      </c>
      <c r="C37" s="552">
        <v>114.3</v>
      </c>
      <c r="D37" s="2915"/>
      <c r="E37" s="552" t="s">
        <v>567</v>
      </c>
      <c r="F37" s="565"/>
      <c r="G37" s="566" t="s">
        <v>307</v>
      </c>
      <c r="I37" s="567">
        <f>D35</f>
        <v>1427.82</v>
      </c>
    </row>
    <row r="38" spans="1:9">
      <c r="A38" s="554">
        <v>1</v>
      </c>
      <c r="B38" s="13" t="s">
        <v>1915</v>
      </c>
      <c r="C38" s="548">
        <v>1183</v>
      </c>
      <c r="D38" s="2914">
        <f>SUM(C38:C42)</f>
        <v>2713.99</v>
      </c>
      <c r="E38" s="545" t="s">
        <v>750</v>
      </c>
      <c r="F38" s="168"/>
      <c r="G38" s="541" t="s">
        <v>307</v>
      </c>
    </row>
    <row r="39" spans="1:9">
      <c r="A39" s="554">
        <v>2</v>
      </c>
      <c r="B39" s="13" t="s">
        <v>999</v>
      </c>
      <c r="C39" s="545">
        <v>318.14</v>
      </c>
      <c r="D39" s="2910"/>
      <c r="E39" s="545" t="s">
        <v>750</v>
      </c>
      <c r="F39" s="168"/>
      <c r="G39" s="541" t="s">
        <v>307</v>
      </c>
    </row>
    <row r="40" spans="1:9">
      <c r="A40" s="554">
        <v>3</v>
      </c>
      <c r="B40" s="13" t="s">
        <v>889</v>
      </c>
      <c r="C40" s="545">
        <v>195</v>
      </c>
      <c r="D40" s="2910"/>
      <c r="E40" s="545" t="s">
        <v>750</v>
      </c>
      <c r="F40" s="168" t="s">
        <v>307</v>
      </c>
      <c r="G40" s="541" t="s">
        <v>307</v>
      </c>
      <c r="I40" s="568" t="s">
        <v>1987</v>
      </c>
    </row>
    <row r="41" spans="1:9">
      <c r="A41" s="554">
        <v>4</v>
      </c>
      <c r="B41" s="13" t="s">
        <v>1907</v>
      </c>
      <c r="C41" s="545">
        <v>769.56</v>
      </c>
      <c r="D41" s="2910"/>
      <c r="E41" s="545" t="s">
        <v>750</v>
      </c>
      <c r="F41" s="168"/>
      <c r="G41" s="541" t="s">
        <v>307</v>
      </c>
      <c r="I41" s="567">
        <f>D38</f>
        <v>2713.99</v>
      </c>
    </row>
    <row r="42" spans="1:9">
      <c r="A42" s="558">
        <v>5</v>
      </c>
      <c r="B42" s="561" t="s">
        <v>1988</v>
      </c>
      <c r="C42" s="546">
        <v>248.29</v>
      </c>
      <c r="D42" s="2915"/>
      <c r="E42" s="546" t="s">
        <v>750</v>
      </c>
      <c r="F42" s="542"/>
      <c r="G42" s="543"/>
    </row>
    <row r="43" spans="1:9">
      <c r="A43" s="545"/>
      <c r="B43" s="13"/>
      <c r="C43" s="545"/>
      <c r="D43" s="545"/>
      <c r="E43" s="545"/>
      <c r="F43" s="168"/>
      <c r="G43" s="168"/>
    </row>
    <row r="44" spans="1:9">
      <c r="A44" s="553" t="s">
        <v>24</v>
      </c>
      <c r="B44" s="534" t="s">
        <v>1916</v>
      </c>
      <c r="C44" s="544" t="s">
        <v>1917</v>
      </c>
      <c r="D44" s="544" t="s">
        <v>1977</v>
      </c>
      <c r="E44" s="544" t="s">
        <v>1918</v>
      </c>
      <c r="F44" s="534" t="s">
        <v>1919</v>
      </c>
      <c r="G44" s="535" t="s">
        <v>1920</v>
      </c>
      <c r="I44" s="568" t="s">
        <v>1989</v>
      </c>
    </row>
    <row r="45" spans="1:9">
      <c r="A45" s="557">
        <v>1</v>
      </c>
      <c r="B45" s="537" t="s">
        <v>1041</v>
      </c>
      <c r="C45" s="550">
        <v>1363.98</v>
      </c>
      <c r="D45" s="550">
        <v>1363.98</v>
      </c>
      <c r="E45" s="546" t="s">
        <v>524</v>
      </c>
      <c r="F45" s="542" t="s">
        <v>307</v>
      </c>
      <c r="G45" s="543" t="s">
        <v>307</v>
      </c>
      <c r="I45" s="567">
        <f>D45</f>
        <v>1363.98</v>
      </c>
    </row>
    <row r="46" spans="1:9">
      <c r="A46" s="545"/>
      <c r="B46" s="13"/>
      <c r="C46" s="545"/>
      <c r="D46" s="545"/>
      <c r="E46" s="545"/>
      <c r="F46" s="168"/>
      <c r="G46" s="168"/>
    </row>
    <row r="47" spans="1:9">
      <c r="A47" s="553" t="s">
        <v>24</v>
      </c>
      <c r="B47" s="534" t="s">
        <v>1916</v>
      </c>
      <c r="C47" s="544" t="s">
        <v>1917</v>
      </c>
      <c r="D47" s="544" t="s">
        <v>1977</v>
      </c>
      <c r="E47" s="544" t="s">
        <v>1918</v>
      </c>
      <c r="F47" s="534" t="s">
        <v>1919</v>
      </c>
      <c r="G47" s="535" t="s">
        <v>1920</v>
      </c>
      <c r="I47" s="568" t="s">
        <v>1990</v>
      </c>
    </row>
    <row r="48" spans="1:9">
      <c r="A48" s="557">
        <v>1</v>
      </c>
      <c r="B48" s="537" t="s">
        <v>1991</v>
      </c>
      <c r="C48" s="546">
        <v>258.42</v>
      </c>
      <c r="D48" s="546">
        <v>258.42</v>
      </c>
      <c r="E48" s="546" t="s">
        <v>783</v>
      </c>
      <c r="F48" s="542" t="s">
        <v>307</v>
      </c>
      <c r="G48" s="543" t="s">
        <v>307</v>
      </c>
      <c r="I48" s="568">
        <f>D48</f>
        <v>258.42</v>
      </c>
    </row>
    <row r="49" spans="1:9">
      <c r="A49" s="545"/>
      <c r="B49" s="13"/>
      <c r="C49" s="545"/>
      <c r="D49" s="545"/>
      <c r="E49" s="545"/>
      <c r="F49" s="168"/>
      <c r="G49" s="168"/>
    </row>
    <row r="50" spans="1:9">
      <c r="A50" s="553" t="s">
        <v>24</v>
      </c>
      <c r="B50" s="534" t="s">
        <v>1916</v>
      </c>
      <c r="C50" s="544" t="s">
        <v>1917</v>
      </c>
      <c r="D50" s="544" t="s">
        <v>1977</v>
      </c>
      <c r="E50" s="544" t="s">
        <v>1918</v>
      </c>
      <c r="F50" s="534" t="s">
        <v>1919</v>
      </c>
      <c r="G50" s="535" t="s">
        <v>1920</v>
      </c>
    </row>
    <row r="51" spans="1:9">
      <c r="A51" s="554">
        <v>1</v>
      </c>
      <c r="B51" s="13" t="s">
        <v>1880</v>
      </c>
      <c r="C51" s="548">
        <v>1764.67</v>
      </c>
      <c r="D51" s="2913">
        <f>SUM(C51:C87)</f>
        <v>25917.849999999995</v>
      </c>
      <c r="E51" s="545" t="s">
        <v>541</v>
      </c>
      <c r="F51" s="168"/>
      <c r="G51" s="541" t="s">
        <v>307</v>
      </c>
      <c r="I51" s="568" t="s">
        <v>1992</v>
      </c>
    </row>
    <row r="52" spans="1:9">
      <c r="A52" s="554">
        <v>2</v>
      </c>
      <c r="B52" s="13" t="s">
        <v>1993</v>
      </c>
      <c r="C52" s="545">
        <v>335.28</v>
      </c>
      <c r="D52" s="2910"/>
      <c r="E52" s="545" t="s">
        <v>541</v>
      </c>
      <c r="F52" s="168"/>
      <c r="G52" s="541" t="s">
        <v>307</v>
      </c>
      <c r="I52" s="567">
        <f>D51</f>
        <v>25917.849999999995</v>
      </c>
    </row>
    <row r="53" spans="1:9">
      <c r="A53" s="554">
        <v>3</v>
      </c>
      <c r="B53" s="13" t="s">
        <v>1994</v>
      </c>
      <c r="C53" s="545">
        <v>210.82</v>
      </c>
      <c r="D53" s="2910"/>
      <c r="E53" s="545" t="s">
        <v>541</v>
      </c>
      <c r="F53" s="168"/>
      <c r="G53" s="541" t="s">
        <v>307</v>
      </c>
    </row>
    <row r="54" spans="1:9">
      <c r="A54" s="554">
        <v>4</v>
      </c>
      <c r="B54" s="13" t="s">
        <v>1887</v>
      </c>
      <c r="C54" s="548">
        <v>1099.3499999999999</v>
      </c>
      <c r="D54" s="2910"/>
      <c r="E54" s="545" t="s">
        <v>541</v>
      </c>
      <c r="F54" s="168"/>
      <c r="G54" s="541" t="s">
        <v>307</v>
      </c>
    </row>
    <row r="55" spans="1:9">
      <c r="A55" s="554">
        <v>5</v>
      </c>
      <c r="B55" s="13" t="s">
        <v>1889</v>
      </c>
      <c r="C55" s="548">
        <v>1322.37</v>
      </c>
      <c r="D55" s="2910"/>
      <c r="E55" s="545" t="s">
        <v>541</v>
      </c>
      <c r="F55" s="168"/>
      <c r="G55" s="541" t="s">
        <v>307</v>
      </c>
    </row>
    <row r="56" spans="1:9">
      <c r="A56" s="554">
        <v>6</v>
      </c>
      <c r="B56" s="13" t="s">
        <v>1995</v>
      </c>
      <c r="C56" s="551">
        <v>675.64</v>
      </c>
      <c r="D56" s="2910"/>
      <c r="E56" s="545" t="s">
        <v>541</v>
      </c>
      <c r="F56" s="168"/>
      <c r="G56" s="541" t="s">
        <v>307</v>
      </c>
    </row>
    <row r="57" spans="1:9">
      <c r="A57" s="554">
        <v>7</v>
      </c>
      <c r="B57" s="13" t="s">
        <v>1996</v>
      </c>
      <c r="C57" s="549">
        <v>1634.49</v>
      </c>
      <c r="D57" s="2910"/>
      <c r="E57" s="545" t="s">
        <v>541</v>
      </c>
      <c r="F57" s="168"/>
      <c r="G57" s="541" t="s">
        <v>307</v>
      </c>
    </row>
    <row r="58" spans="1:9">
      <c r="A58" s="554">
        <v>8</v>
      </c>
      <c r="B58" s="13" t="s">
        <v>1997</v>
      </c>
      <c r="C58" s="545">
        <v>532</v>
      </c>
      <c r="D58" s="2910"/>
      <c r="E58" s="545" t="s">
        <v>541</v>
      </c>
      <c r="F58" s="168"/>
      <c r="G58" s="541" t="s">
        <v>307</v>
      </c>
    </row>
    <row r="59" spans="1:9">
      <c r="A59" s="554">
        <v>9</v>
      </c>
      <c r="B59" s="13" t="s">
        <v>1998</v>
      </c>
      <c r="C59" s="545">
        <v>198.12</v>
      </c>
      <c r="D59" s="2910"/>
      <c r="E59" s="545" t="s">
        <v>541</v>
      </c>
      <c r="F59" s="168"/>
      <c r="G59" s="541" t="s">
        <v>307</v>
      </c>
    </row>
    <row r="60" spans="1:9">
      <c r="A60" s="554">
        <v>10</v>
      </c>
      <c r="B60" s="13" t="s">
        <v>1999</v>
      </c>
      <c r="C60" s="545">
        <v>145.41</v>
      </c>
      <c r="D60" s="2910"/>
      <c r="E60" s="545" t="s">
        <v>541</v>
      </c>
      <c r="F60" s="168"/>
      <c r="G60" s="541" t="s">
        <v>307</v>
      </c>
    </row>
    <row r="61" spans="1:9">
      <c r="A61" s="554">
        <v>11</v>
      </c>
      <c r="B61" s="13" t="s">
        <v>2000</v>
      </c>
      <c r="C61" s="545">
        <v>233.68</v>
      </c>
      <c r="D61" s="2910"/>
      <c r="E61" s="545" t="s">
        <v>541</v>
      </c>
      <c r="F61" s="168"/>
      <c r="G61" s="541" t="s">
        <v>307</v>
      </c>
    </row>
    <row r="62" spans="1:9">
      <c r="A62" s="554">
        <v>12</v>
      </c>
      <c r="B62" s="13" t="s">
        <v>2001</v>
      </c>
      <c r="C62" s="545">
        <v>105.41</v>
      </c>
      <c r="D62" s="2910"/>
      <c r="E62" s="545" t="s">
        <v>541</v>
      </c>
      <c r="F62" s="168"/>
      <c r="G62" s="541" t="s">
        <v>307</v>
      </c>
    </row>
    <row r="63" spans="1:9">
      <c r="A63" s="554">
        <v>13</v>
      </c>
      <c r="B63" s="13" t="s">
        <v>2002</v>
      </c>
      <c r="C63" s="545">
        <v>396.2</v>
      </c>
      <c r="D63" s="2910"/>
      <c r="E63" s="545" t="s">
        <v>541</v>
      </c>
      <c r="F63" s="168"/>
      <c r="G63" s="541" t="s">
        <v>307</v>
      </c>
    </row>
    <row r="64" spans="1:9">
      <c r="A64" s="554">
        <v>14</v>
      </c>
      <c r="B64" s="13" t="s">
        <v>2003</v>
      </c>
      <c r="C64" s="545">
        <v>142.88</v>
      </c>
      <c r="D64" s="2910"/>
      <c r="E64" s="545" t="s">
        <v>541</v>
      </c>
      <c r="F64" s="168"/>
      <c r="G64" s="541" t="s">
        <v>307</v>
      </c>
    </row>
    <row r="65" spans="1:7">
      <c r="A65" s="554">
        <v>15</v>
      </c>
      <c r="B65" s="13" t="s">
        <v>1005</v>
      </c>
      <c r="C65" s="545">
        <v>841.38</v>
      </c>
      <c r="D65" s="2910"/>
      <c r="E65" s="545" t="s">
        <v>541</v>
      </c>
      <c r="F65" s="168"/>
      <c r="G65" s="541" t="s">
        <v>307</v>
      </c>
    </row>
    <row r="66" spans="1:7">
      <c r="A66" s="554">
        <v>16</v>
      </c>
      <c r="B66" s="13" t="s">
        <v>2004</v>
      </c>
      <c r="C66" s="545">
        <v>417.19</v>
      </c>
      <c r="D66" s="2910"/>
      <c r="E66" s="545" t="s">
        <v>541</v>
      </c>
      <c r="F66" s="168"/>
      <c r="G66" s="541" t="s">
        <v>307</v>
      </c>
    </row>
    <row r="67" spans="1:7">
      <c r="A67" s="554">
        <v>17</v>
      </c>
      <c r="B67" s="13" t="s">
        <v>1015</v>
      </c>
      <c r="C67" s="545">
        <v>417.19</v>
      </c>
      <c r="D67" s="2910"/>
      <c r="E67" s="545" t="s">
        <v>541</v>
      </c>
      <c r="F67" s="168"/>
      <c r="G67" s="541" t="s">
        <v>307</v>
      </c>
    </row>
    <row r="68" spans="1:7">
      <c r="A68" s="554">
        <v>18</v>
      </c>
      <c r="B68" s="13" t="s">
        <v>1020</v>
      </c>
      <c r="C68" s="545">
        <v>536.58000000000004</v>
      </c>
      <c r="D68" s="2910"/>
      <c r="E68" s="545" t="s">
        <v>541</v>
      </c>
      <c r="F68" s="168"/>
      <c r="G68" s="541" t="s">
        <v>307</v>
      </c>
    </row>
    <row r="69" spans="1:7">
      <c r="A69" s="554">
        <v>19</v>
      </c>
      <c r="B69" s="13" t="s">
        <v>1025</v>
      </c>
      <c r="C69" s="548">
        <v>1083.31</v>
      </c>
      <c r="D69" s="2910"/>
      <c r="E69" s="545" t="s">
        <v>541</v>
      </c>
      <c r="F69" s="168"/>
      <c r="G69" s="541" t="s">
        <v>307</v>
      </c>
    </row>
    <row r="70" spans="1:7">
      <c r="A70" s="554">
        <v>20</v>
      </c>
      <c r="B70" s="13" t="s">
        <v>1031</v>
      </c>
      <c r="C70" s="549">
        <v>3835.4</v>
      </c>
      <c r="D70" s="2910"/>
      <c r="E70" s="545" t="s">
        <v>541</v>
      </c>
      <c r="F70" s="168"/>
      <c r="G70" s="541" t="s">
        <v>307</v>
      </c>
    </row>
    <row r="71" spans="1:7">
      <c r="A71" s="554">
        <v>21</v>
      </c>
      <c r="B71" s="13" t="s">
        <v>1036</v>
      </c>
      <c r="C71" s="548">
        <v>1800.23</v>
      </c>
      <c r="D71" s="2910"/>
      <c r="E71" s="545" t="s">
        <v>541</v>
      </c>
      <c r="F71" s="168"/>
      <c r="G71" s="541" t="s">
        <v>307</v>
      </c>
    </row>
    <row r="72" spans="1:7">
      <c r="A72" s="554">
        <v>22</v>
      </c>
      <c r="B72" s="13" t="s">
        <v>2005</v>
      </c>
      <c r="C72" s="545">
        <v>121.92</v>
      </c>
      <c r="D72" s="2910"/>
      <c r="E72" s="545" t="s">
        <v>541</v>
      </c>
      <c r="F72" s="168"/>
      <c r="G72" s="541" t="s">
        <v>307</v>
      </c>
    </row>
    <row r="73" spans="1:7">
      <c r="A73" s="554">
        <v>23</v>
      </c>
      <c r="B73" s="13" t="s">
        <v>2006</v>
      </c>
      <c r="C73" s="545">
        <v>102.87</v>
      </c>
      <c r="D73" s="2910"/>
      <c r="E73" s="545" t="s">
        <v>541</v>
      </c>
      <c r="F73" s="168"/>
      <c r="G73" s="541" t="s">
        <v>307</v>
      </c>
    </row>
    <row r="74" spans="1:7">
      <c r="A74" s="554">
        <v>24</v>
      </c>
      <c r="B74" s="13" t="s">
        <v>2007</v>
      </c>
      <c r="C74" s="545">
        <v>217.81</v>
      </c>
      <c r="D74" s="2910"/>
      <c r="E74" s="545" t="s">
        <v>541</v>
      </c>
      <c r="F74" s="168"/>
      <c r="G74" s="541" t="s">
        <v>307</v>
      </c>
    </row>
    <row r="75" spans="1:7">
      <c r="A75" s="554">
        <v>25</v>
      </c>
      <c r="B75" s="13" t="s">
        <v>2008</v>
      </c>
      <c r="C75" s="545">
        <v>265.43</v>
      </c>
      <c r="D75" s="2910"/>
      <c r="E75" s="545" t="s">
        <v>541</v>
      </c>
      <c r="F75" s="168"/>
      <c r="G75" s="541" t="s">
        <v>307</v>
      </c>
    </row>
    <row r="76" spans="1:7">
      <c r="A76" s="554">
        <v>26</v>
      </c>
      <c r="B76" s="13" t="s">
        <v>2009</v>
      </c>
      <c r="C76" s="545">
        <v>118.75</v>
      </c>
      <c r="D76" s="2910"/>
      <c r="E76" s="545" t="s">
        <v>541</v>
      </c>
      <c r="F76" s="168"/>
      <c r="G76" s="541" t="s">
        <v>307</v>
      </c>
    </row>
    <row r="77" spans="1:7">
      <c r="A77" s="554">
        <v>27</v>
      </c>
      <c r="B77" s="13" t="s">
        <v>2010</v>
      </c>
      <c r="C77" s="545">
        <v>405.13</v>
      </c>
      <c r="D77" s="2910"/>
      <c r="E77" s="545" t="s">
        <v>541</v>
      </c>
      <c r="F77" s="168"/>
      <c r="G77" s="541" t="s">
        <v>307</v>
      </c>
    </row>
    <row r="78" spans="1:7">
      <c r="A78" s="554">
        <v>28</v>
      </c>
      <c r="B78" s="13" t="s">
        <v>1097</v>
      </c>
      <c r="C78" s="549">
        <v>4029.71</v>
      </c>
      <c r="D78" s="2910"/>
      <c r="E78" s="545" t="s">
        <v>541</v>
      </c>
      <c r="F78" s="168"/>
      <c r="G78" s="541" t="s">
        <v>307</v>
      </c>
    </row>
    <row r="79" spans="1:7">
      <c r="A79" s="554">
        <v>29</v>
      </c>
      <c r="B79" s="13" t="s">
        <v>2011</v>
      </c>
      <c r="C79" s="545">
        <v>177.17</v>
      </c>
      <c r="D79" s="2910"/>
      <c r="E79" s="545" t="s">
        <v>541</v>
      </c>
      <c r="F79" s="168"/>
      <c r="G79" s="541" t="s">
        <v>307</v>
      </c>
    </row>
    <row r="80" spans="1:7">
      <c r="A80" s="554">
        <v>30</v>
      </c>
      <c r="B80" s="13" t="s">
        <v>1149</v>
      </c>
      <c r="C80" s="545">
        <v>218.44</v>
      </c>
      <c r="D80" s="2910"/>
      <c r="E80" s="545" t="s">
        <v>541</v>
      </c>
      <c r="F80" s="168"/>
      <c r="G80" s="541" t="s">
        <v>307</v>
      </c>
    </row>
    <row r="81" spans="1:9">
      <c r="A81" s="554">
        <v>31</v>
      </c>
      <c r="B81" s="13" t="s">
        <v>1154</v>
      </c>
      <c r="C81" s="545">
        <v>286.39</v>
      </c>
      <c r="D81" s="2910"/>
      <c r="E81" s="545" t="s">
        <v>541</v>
      </c>
      <c r="F81" s="168"/>
      <c r="G81" s="541" t="s">
        <v>307</v>
      </c>
    </row>
    <row r="82" spans="1:9">
      <c r="A82" s="554">
        <v>32</v>
      </c>
      <c r="B82" s="13" t="s">
        <v>2012</v>
      </c>
      <c r="C82" s="545">
        <v>299.72000000000003</v>
      </c>
      <c r="D82" s="2910"/>
      <c r="E82" s="545" t="s">
        <v>541</v>
      </c>
      <c r="F82" s="168"/>
      <c r="G82" s="541" t="s">
        <v>307</v>
      </c>
    </row>
    <row r="83" spans="1:9">
      <c r="A83" s="554">
        <v>33</v>
      </c>
      <c r="B83" s="13" t="s">
        <v>2013</v>
      </c>
      <c r="C83" s="545">
        <v>688.34</v>
      </c>
      <c r="D83" s="2910"/>
      <c r="E83" s="545" t="s">
        <v>541</v>
      </c>
      <c r="F83" s="168"/>
      <c r="G83" s="541" t="s">
        <v>307</v>
      </c>
    </row>
    <row r="84" spans="1:9">
      <c r="A84" s="554">
        <v>34</v>
      </c>
      <c r="B84" s="13" t="s">
        <v>2014</v>
      </c>
      <c r="C84" s="545">
        <v>316.23</v>
      </c>
      <c r="D84" s="2910"/>
      <c r="E84" s="545" t="s">
        <v>541</v>
      </c>
      <c r="F84" s="168"/>
      <c r="G84" s="541" t="s">
        <v>307</v>
      </c>
    </row>
    <row r="85" spans="1:9">
      <c r="A85" s="554">
        <v>35</v>
      </c>
      <c r="B85" s="13" t="s">
        <v>2015</v>
      </c>
      <c r="C85" s="545">
        <v>142.24</v>
      </c>
      <c r="D85" s="2910"/>
      <c r="E85" s="545" t="s">
        <v>541</v>
      </c>
      <c r="F85" s="168" t="s">
        <v>307</v>
      </c>
      <c r="G85" s="541" t="s">
        <v>307</v>
      </c>
    </row>
    <row r="86" spans="1:9">
      <c r="A86" s="554">
        <v>36</v>
      </c>
      <c r="B86" s="3" t="s">
        <v>2016</v>
      </c>
      <c r="C86" s="545">
        <v>582.92999999999995</v>
      </c>
      <c r="D86" s="2910"/>
      <c r="E86" s="545" t="s">
        <v>541</v>
      </c>
      <c r="F86" s="168"/>
      <c r="G86" s="541"/>
    </row>
    <row r="87" spans="1:9">
      <c r="A87" s="559">
        <v>37</v>
      </c>
      <c r="B87" s="496" t="s">
        <v>2017</v>
      </c>
      <c r="C87" s="546">
        <v>217.17</v>
      </c>
      <c r="D87" s="2915"/>
      <c r="E87" s="546" t="s">
        <v>541</v>
      </c>
      <c r="F87" s="542"/>
      <c r="G87" s="543"/>
    </row>
    <row r="88" spans="1:9">
      <c r="A88" s="545"/>
      <c r="B88" s="13"/>
      <c r="C88" s="545"/>
      <c r="D88" s="545"/>
      <c r="E88" s="545"/>
      <c r="F88" s="168"/>
      <c r="G88" s="168"/>
    </row>
    <row r="89" spans="1:9">
      <c r="A89" s="553" t="s">
        <v>24</v>
      </c>
      <c r="B89" s="534" t="s">
        <v>1916</v>
      </c>
      <c r="C89" s="544" t="s">
        <v>1917</v>
      </c>
      <c r="D89" s="544" t="s">
        <v>1977</v>
      </c>
      <c r="E89" s="544" t="s">
        <v>1918</v>
      </c>
      <c r="F89" s="534" t="s">
        <v>1919</v>
      </c>
      <c r="G89" s="535" t="s">
        <v>1920</v>
      </c>
    </row>
    <row r="90" spans="1:9">
      <c r="A90" s="554">
        <v>1</v>
      </c>
      <c r="B90" s="13" t="s">
        <v>1168</v>
      </c>
      <c r="C90" s="548">
        <v>894.08</v>
      </c>
      <c r="D90" s="2910">
        <f>SUM(C90:C97)</f>
        <v>16999.23</v>
      </c>
      <c r="E90" s="545" t="s">
        <v>685</v>
      </c>
      <c r="F90" s="168"/>
      <c r="G90" s="541" t="s">
        <v>307</v>
      </c>
    </row>
    <row r="91" spans="1:9">
      <c r="A91" s="554">
        <v>2</v>
      </c>
      <c r="B91" s="13" t="s">
        <v>1892</v>
      </c>
      <c r="C91" s="545">
        <v>328.3</v>
      </c>
      <c r="D91" s="2910"/>
      <c r="E91" s="545" t="s">
        <v>685</v>
      </c>
      <c r="F91" s="168"/>
      <c r="G91" s="541" t="s">
        <v>307</v>
      </c>
    </row>
    <row r="92" spans="1:9">
      <c r="A92" s="554">
        <v>3</v>
      </c>
      <c r="B92" s="13" t="s">
        <v>1893</v>
      </c>
      <c r="C92" s="545">
        <v>509.6</v>
      </c>
      <c r="D92" s="2910"/>
      <c r="E92" s="545" t="s">
        <v>685</v>
      </c>
      <c r="F92" s="168"/>
      <c r="G92" s="541" t="s">
        <v>307</v>
      </c>
    </row>
    <row r="93" spans="1:9">
      <c r="A93" s="554">
        <v>4</v>
      </c>
      <c r="B93" s="13" t="s">
        <v>1894</v>
      </c>
      <c r="C93" s="545">
        <v>438.87</v>
      </c>
      <c r="D93" s="2910"/>
      <c r="E93" s="545" t="s">
        <v>685</v>
      </c>
      <c r="F93" s="168"/>
      <c r="G93" s="541" t="s">
        <v>307</v>
      </c>
      <c r="I93" s="568" t="s">
        <v>2018</v>
      </c>
    </row>
    <row r="94" spans="1:9">
      <c r="A94" s="554">
        <v>5</v>
      </c>
      <c r="B94" s="13" t="s">
        <v>1895</v>
      </c>
      <c r="C94" s="548">
        <v>1304.93</v>
      </c>
      <c r="D94" s="2910"/>
      <c r="E94" s="545" t="s">
        <v>685</v>
      </c>
      <c r="F94" s="168"/>
      <c r="G94" s="541" t="s">
        <v>307</v>
      </c>
      <c r="I94" s="567">
        <f>D90</f>
        <v>16999.23</v>
      </c>
    </row>
    <row r="95" spans="1:9">
      <c r="A95" s="554">
        <v>6</v>
      </c>
      <c r="B95" s="13" t="s">
        <v>2019</v>
      </c>
      <c r="C95" s="548">
        <v>1111.32</v>
      </c>
      <c r="D95" s="2910"/>
      <c r="E95" s="545" t="s">
        <v>685</v>
      </c>
      <c r="F95" s="168"/>
      <c r="G95" s="541" t="s">
        <v>307</v>
      </c>
    </row>
    <row r="96" spans="1:9">
      <c r="A96" s="554">
        <v>7</v>
      </c>
      <c r="B96" s="13" t="s">
        <v>1914</v>
      </c>
      <c r="C96" s="548">
        <v>1040.1300000000001</v>
      </c>
      <c r="D96" s="2910"/>
      <c r="E96" s="545" t="s">
        <v>685</v>
      </c>
      <c r="F96" s="168"/>
      <c r="G96" s="541" t="s">
        <v>307</v>
      </c>
    </row>
    <row r="97" spans="1:9">
      <c r="A97" s="559">
        <v>8</v>
      </c>
      <c r="B97" s="563" t="s">
        <v>1073</v>
      </c>
      <c r="C97" s="552">
        <v>11372</v>
      </c>
      <c r="D97" s="2915"/>
      <c r="E97" s="552" t="s">
        <v>685</v>
      </c>
      <c r="F97" s="565"/>
      <c r="G97" s="566" t="s">
        <v>307</v>
      </c>
    </row>
    <row r="98" spans="1:9">
      <c r="A98" s="554">
        <v>1</v>
      </c>
      <c r="B98" s="13" t="s">
        <v>2020</v>
      </c>
      <c r="C98" s="545">
        <v>342.9</v>
      </c>
      <c r="D98" s="2914">
        <f>SUM(C98:C113)</f>
        <v>13654.88</v>
      </c>
      <c r="E98" s="545" t="s">
        <v>503</v>
      </c>
      <c r="F98" s="168"/>
      <c r="G98" s="541" t="s">
        <v>307</v>
      </c>
    </row>
    <row r="99" spans="1:9">
      <c r="A99" s="554">
        <v>2</v>
      </c>
      <c r="B99" s="13" t="s">
        <v>2021</v>
      </c>
      <c r="C99" s="545">
        <v>499.75</v>
      </c>
      <c r="D99" s="2910"/>
      <c r="E99" s="545" t="s">
        <v>503</v>
      </c>
      <c r="F99" s="168"/>
      <c r="G99" s="541" t="s">
        <v>307</v>
      </c>
    </row>
    <row r="100" spans="1:9">
      <c r="A100" s="554">
        <v>3</v>
      </c>
      <c r="B100" s="13" t="s">
        <v>1905</v>
      </c>
      <c r="C100" s="549">
        <v>3818.5</v>
      </c>
      <c r="D100" s="2910"/>
      <c r="E100" s="545" t="s">
        <v>503</v>
      </c>
      <c r="F100" s="168"/>
      <c r="G100" s="541" t="s">
        <v>307</v>
      </c>
      <c r="I100" s="568" t="s">
        <v>2022</v>
      </c>
    </row>
    <row r="101" spans="1:9">
      <c r="A101" s="554">
        <v>4</v>
      </c>
      <c r="B101" s="13" t="s">
        <v>2023</v>
      </c>
      <c r="C101" s="545">
        <v>359.41</v>
      </c>
      <c r="D101" s="2910"/>
      <c r="E101" s="545" t="s">
        <v>503</v>
      </c>
      <c r="F101" s="168"/>
      <c r="G101" s="541" t="s">
        <v>307</v>
      </c>
      <c r="I101" s="567">
        <f>D98</f>
        <v>13654.88</v>
      </c>
    </row>
    <row r="102" spans="1:9">
      <c r="A102" s="554">
        <v>5</v>
      </c>
      <c r="B102" s="13" t="s">
        <v>2024</v>
      </c>
      <c r="C102" s="549">
        <v>1315.72</v>
      </c>
      <c r="D102" s="2910"/>
      <c r="E102" s="545" t="s">
        <v>503</v>
      </c>
      <c r="F102" s="168"/>
      <c r="G102" s="541" t="s">
        <v>307</v>
      </c>
    </row>
    <row r="103" spans="1:9">
      <c r="A103" s="554">
        <v>6</v>
      </c>
      <c r="B103" s="13" t="s">
        <v>2025</v>
      </c>
      <c r="C103" s="545">
        <v>219.08</v>
      </c>
      <c r="D103" s="2910"/>
      <c r="E103" s="545" t="s">
        <v>503</v>
      </c>
      <c r="F103" s="168"/>
      <c r="G103" s="541" t="s">
        <v>307</v>
      </c>
    </row>
    <row r="104" spans="1:9">
      <c r="A104" s="554">
        <v>7</v>
      </c>
      <c r="B104" s="13" t="s">
        <v>894</v>
      </c>
      <c r="C104" s="548">
        <v>1285.2</v>
      </c>
      <c r="D104" s="2910"/>
      <c r="E104" s="545" t="s">
        <v>503</v>
      </c>
      <c r="F104" s="168"/>
      <c r="G104" s="541" t="s">
        <v>307</v>
      </c>
    </row>
    <row r="105" spans="1:9">
      <c r="A105" s="554">
        <v>8</v>
      </c>
      <c r="B105" s="13" t="s">
        <v>933</v>
      </c>
      <c r="C105" s="545">
        <v>618.6</v>
      </c>
      <c r="D105" s="2910"/>
      <c r="E105" s="545" t="s">
        <v>503</v>
      </c>
      <c r="F105" s="168"/>
      <c r="G105" s="541" t="s">
        <v>307</v>
      </c>
    </row>
    <row r="106" spans="1:9">
      <c r="A106" s="554">
        <v>9</v>
      </c>
      <c r="B106" s="13" t="s">
        <v>938</v>
      </c>
      <c r="C106" s="545">
        <v>393.6</v>
      </c>
      <c r="D106" s="2910"/>
      <c r="E106" s="545" t="s">
        <v>503</v>
      </c>
      <c r="F106" s="168"/>
      <c r="G106" s="541" t="s">
        <v>307</v>
      </c>
    </row>
    <row r="107" spans="1:9">
      <c r="A107" s="554">
        <v>10</v>
      </c>
      <c r="B107" s="13" t="s">
        <v>942</v>
      </c>
      <c r="C107" s="548">
        <v>1473.6</v>
      </c>
      <c r="D107" s="2910"/>
      <c r="E107" s="545" t="s">
        <v>503</v>
      </c>
      <c r="F107" s="168"/>
      <c r="G107" s="541" t="s">
        <v>307</v>
      </c>
    </row>
    <row r="108" spans="1:9">
      <c r="A108" s="554">
        <v>11</v>
      </c>
      <c r="B108" s="13" t="s">
        <v>2026</v>
      </c>
      <c r="C108" s="545">
        <v>967.2</v>
      </c>
      <c r="D108" s="2910"/>
      <c r="E108" s="545" t="s">
        <v>503</v>
      </c>
      <c r="F108" s="168"/>
      <c r="G108" s="541" t="s">
        <v>307</v>
      </c>
    </row>
    <row r="109" spans="1:9">
      <c r="A109" s="554">
        <v>12</v>
      </c>
      <c r="B109" s="13" t="s">
        <v>2027</v>
      </c>
      <c r="C109" s="545">
        <v>130.16999999999999</v>
      </c>
      <c r="D109" s="2910"/>
      <c r="E109" s="545" t="s">
        <v>503</v>
      </c>
      <c r="F109" s="168"/>
      <c r="G109" s="541" t="s">
        <v>307</v>
      </c>
    </row>
    <row r="110" spans="1:9">
      <c r="A110" s="554">
        <v>13</v>
      </c>
      <c r="B110" s="13" t="s">
        <v>2028</v>
      </c>
      <c r="C110" s="545">
        <v>182.88</v>
      </c>
      <c r="D110" s="2910"/>
      <c r="E110" s="545" t="s">
        <v>503</v>
      </c>
      <c r="F110" s="168"/>
      <c r="G110" s="541" t="s">
        <v>307</v>
      </c>
    </row>
    <row r="111" spans="1:9">
      <c r="A111" s="554">
        <v>14</v>
      </c>
      <c r="B111" s="13" t="s">
        <v>2029</v>
      </c>
      <c r="C111" s="545">
        <v>214.63</v>
      </c>
      <c r="D111" s="2910"/>
      <c r="E111" s="545" t="s">
        <v>503</v>
      </c>
      <c r="F111" s="168"/>
      <c r="G111" s="541" t="s">
        <v>307</v>
      </c>
    </row>
    <row r="112" spans="1:9">
      <c r="A112" s="554">
        <v>15</v>
      </c>
      <c r="B112" s="13" t="s">
        <v>2030</v>
      </c>
      <c r="C112" s="545">
        <v>167.64</v>
      </c>
      <c r="D112" s="2910"/>
      <c r="E112" s="545" t="s">
        <v>503</v>
      </c>
      <c r="F112" s="168" t="s">
        <v>307</v>
      </c>
      <c r="G112" s="541" t="s">
        <v>307</v>
      </c>
    </row>
    <row r="113" spans="1:10">
      <c r="A113" s="559">
        <v>16</v>
      </c>
      <c r="B113" s="496" t="s">
        <v>2031</v>
      </c>
      <c r="C113" s="560">
        <v>1666</v>
      </c>
      <c r="D113" s="2915"/>
      <c r="E113" s="546" t="s">
        <v>503</v>
      </c>
      <c r="F113" s="542"/>
      <c r="G113" s="543"/>
    </row>
    <row r="114" spans="1:10">
      <c r="A114" s="545"/>
      <c r="B114" s="13"/>
      <c r="C114" s="545"/>
      <c r="D114" s="545"/>
      <c r="E114" s="545"/>
      <c r="F114" s="168"/>
      <c r="G114" s="168"/>
    </row>
    <row r="115" spans="1:10">
      <c r="A115" s="553" t="s">
        <v>24</v>
      </c>
      <c r="B115" s="534" t="s">
        <v>1916</v>
      </c>
      <c r="C115" s="544" t="s">
        <v>1917</v>
      </c>
      <c r="D115" s="544" t="s">
        <v>1977</v>
      </c>
      <c r="E115" s="544" t="s">
        <v>1918</v>
      </c>
      <c r="F115" s="534" t="s">
        <v>1919</v>
      </c>
      <c r="G115" s="535" t="s">
        <v>1920</v>
      </c>
      <c r="I115" s="568" t="s">
        <v>2032</v>
      </c>
    </row>
    <row r="116" spans="1:10">
      <c r="A116" s="557">
        <v>1</v>
      </c>
      <c r="B116" s="537" t="s">
        <v>1056</v>
      </c>
      <c r="C116" s="550">
        <v>1036.32</v>
      </c>
      <c r="D116" s="550">
        <f>C116</f>
        <v>1036.32</v>
      </c>
      <c r="E116" s="546" t="s">
        <v>1060</v>
      </c>
      <c r="F116" s="542" t="s">
        <v>307</v>
      </c>
      <c r="G116" s="543" t="s">
        <v>307</v>
      </c>
      <c r="I116" s="567">
        <f>D116</f>
        <v>1036.32</v>
      </c>
    </row>
    <row r="117" spans="1:10">
      <c r="A117" s="545"/>
      <c r="B117" s="13"/>
      <c r="C117" s="545"/>
      <c r="D117" s="545"/>
      <c r="E117" s="545"/>
      <c r="F117" s="168"/>
      <c r="G117" s="168"/>
    </row>
    <row r="118" spans="1:10">
      <c r="A118" s="553" t="s">
        <v>24</v>
      </c>
      <c r="B118" s="534" t="s">
        <v>1916</v>
      </c>
      <c r="C118" s="544" t="s">
        <v>1917</v>
      </c>
      <c r="D118" s="544" t="s">
        <v>1977</v>
      </c>
      <c r="E118" s="544" t="s">
        <v>1918</v>
      </c>
      <c r="F118" s="534" t="s">
        <v>1919</v>
      </c>
      <c r="G118" s="535" t="s">
        <v>1920</v>
      </c>
    </row>
    <row r="119" spans="1:10">
      <c r="A119" s="558">
        <v>1</v>
      </c>
      <c r="B119" s="563" t="s">
        <v>1062</v>
      </c>
      <c r="C119" s="552">
        <v>529.59</v>
      </c>
      <c r="D119" s="564">
        <f>C119</f>
        <v>529.59</v>
      </c>
      <c r="E119" s="552" t="s">
        <v>1066</v>
      </c>
      <c r="F119" s="565"/>
      <c r="G119" s="566" t="s">
        <v>307</v>
      </c>
      <c r="I119" s="568" t="s">
        <v>2033</v>
      </c>
      <c r="J119" s="567">
        <f>D119</f>
        <v>529.59</v>
      </c>
    </row>
    <row r="120" spans="1:10">
      <c r="A120" s="557">
        <v>1</v>
      </c>
      <c r="B120" s="537" t="s">
        <v>2034</v>
      </c>
      <c r="C120" s="550">
        <v>1102.3599999999999</v>
      </c>
      <c r="D120" s="562">
        <f>C120</f>
        <v>1102.3599999999999</v>
      </c>
      <c r="E120" s="546" t="s">
        <v>1443</v>
      </c>
      <c r="F120" s="542" t="s">
        <v>307</v>
      </c>
      <c r="G120" s="543" t="s">
        <v>307</v>
      </c>
      <c r="I120" s="568" t="s">
        <v>2035</v>
      </c>
      <c r="J120" s="567">
        <f>D120</f>
        <v>1102.3599999999999</v>
      </c>
    </row>
    <row r="121" spans="1:10">
      <c r="A121" s="545"/>
      <c r="B121" s="13"/>
      <c r="C121" s="545"/>
      <c r="D121" s="545"/>
      <c r="E121" s="545"/>
      <c r="F121" s="168"/>
      <c r="G121" s="168"/>
    </row>
    <row r="122" spans="1:10">
      <c r="A122" s="553" t="s">
        <v>24</v>
      </c>
      <c r="B122" s="534" t="s">
        <v>1916</v>
      </c>
      <c r="C122" s="544" t="s">
        <v>1917</v>
      </c>
      <c r="D122" s="544" t="s">
        <v>1977</v>
      </c>
      <c r="E122" s="544" t="s">
        <v>1918</v>
      </c>
      <c r="F122" s="534" t="s">
        <v>1919</v>
      </c>
      <c r="G122" s="535" t="s">
        <v>1920</v>
      </c>
      <c r="I122" s="568" t="s">
        <v>2036</v>
      </c>
    </row>
    <row r="123" spans="1:10">
      <c r="A123" s="554">
        <v>1</v>
      </c>
      <c r="B123" s="13" t="s">
        <v>789</v>
      </c>
      <c r="C123" s="548">
        <v>1078</v>
      </c>
      <c r="D123" s="2913">
        <f>SUM(C123:C124)</f>
        <v>1492.12</v>
      </c>
      <c r="E123" s="545" t="s">
        <v>584</v>
      </c>
      <c r="F123" s="168"/>
      <c r="G123" s="541" t="s">
        <v>307</v>
      </c>
      <c r="I123" s="567">
        <f>D123</f>
        <v>1492.12</v>
      </c>
    </row>
    <row r="124" spans="1:10">
      <c r="A124" s="557">
        <v>2</v>
      </c>
      <c r="B124" s="537" t="s">
        <v>1909</v>
      </c>
      <c r="C124" s="546">
        <v>414.12</v>
      </c>
      <c r="D124" s="2912"/>
      <c r="E124" s="546" t="s">
        <v>584</v>
      </c>
      <c r="F124" s="542" t="s">
        <v>307</v>
      </c>
      <c r="G124" s="543" t="s">
        <v>307</v>
      </c>
    </row>
    <row r="125" spans="1:10">
      <c r="A125" s="556"/>
      <c r="B125" s="13"/>
      <c r="C125" s="545"/>
      <c r="D125" s="545"/>
      <c r="E125" s="545"/>
      <c r="F125" s="168"/>
      <c r="G125" s="168"/>
    </row>
    <row r="126" spans="1:10">
      <c r="A126" s="553" t="s">
        <v>24</v>
      </c>
      <c r="B126" s="534" t="s">
        <v>1916</v>
      </c>
      <c r="C126" s="544" t="s">
        <v>1917</v>
      </c>
      <c r="D126" s="544" t="s">
        <v>1977</v>
      </c>
      <c r="E126" s="544" t="s">
        <v>1918</v>
      </c>
      <c r="F126" s="534" t="s">
        <v>1919</v>
      </c>
      <c r="G126" s="535" t="s">
        <v>1920</v>
      </c>
      <c r="I126" s="568" t="s">
        <v>2037</v>
      </c>
    </row>
    <row r="127" spans="1:10">
      <c r="A127" s="557">
        <v>1</v>
      </c>
      <c r="B127" s="496" t="s">
        <v>2038</v>
      </c>
      <c r="C127" s="550">
        <v>650.24</v>
      </c>
      <c r="D127" s="550">
        <f>C127</f>
        <v>650.24</v>
      </c>
      <c r="E127" s="546" t="s">
        <v>625</v>
      </c>
      <c r="F127" s="542" t="s">
        <v>307</v>
      </c>
      <c r="G127" s="543" t="s">
        <v>307</v>
      </c>
      <c r="I127" s="567">
        <f>D127</f>
        <v>650.24</v>
      </c>
    </row>
    <row r="128" spans="1:10">
      <c r="A128" s="556"/>
      <c r="B128" s="13"/>
      <c r="C128" s="545"/>
      <c r="D128" s="545"/>
      <c r="E128" s="545"/>
      <c r="F128" s="168"/>
      <c r="G128" s="168"/>
    </row>
    <row r="129" spans="1:7">
      <c r="A129" s="556"/>
      <c r="B129" s="13"/>
      <c r="C129" s="545"/>
      <c r="D129" s="545"/>
      <c r="E129" s="545"/>
      <c r="F129" s="168"/>
      <c r="G129" s="168"/>
    </row>
    <row r="130" spans="1:7">
      <c r="A130" s="556"/>
      <c r="B130" s="13"/>
      <c r="C130" s="545"/>
      <c r="D130" s="545"/>
      <c r="E130" s="545"/>
      <c r="F130" s="168"/>
      <c r="G130" s="168"/>
    </row>
    <row r="131" spans="1:7">
      <c r="A131" s="556"/>
      <c r="B131" s="13"/>
      <c r="C131" s="545"/>
      <c r="D131" s="545"/>
      <c r="E131" s="545"/>
      <c r="F131" s="168"/>
      <c r="G131" s="168"/>
    </row>
    <row r="132" spans="1:7">
      <c r="A132" s="556"/>
      <c r="B132" s="13"/>
      <c r="C132" s="545"/>
      <c r="D132" s="545"/>
      <c r="E132" s="545"/>
      <c r="F132" s="168"/>
      <c r="G132" s="168"/>
    </row>
    <row r="133" spans="1:7">
      <c r="A133" s="556"/>
      <c r="B133" s="13"/>
      <c r="C133" s="545"/>
      <c r="D133" s="545"/>
      <c r="E133" s="545"/>
      <c r="F133" s="168"/>
      <c r="G133" s="168"/>
    </row>
    <row r="134" spans="1:7">
      <c r="A134" s="556"/>
      <c r="B134" s="13"/>
      <c r="C134" s="545"/>
      <c r="D134" s="545"/>
      <c r="E134" s="545"/>
      <c r="F134" s="168"/>
      <c r="G134" s="168"/>
    </row>
  </sheetData>
  <mergeCells count="14">
    <mergeCell ref="C2:C3"/>
    <mergeCell ref="D18:D32"/>
    <mergeCell ref="D123:D124"/>
    <mergeCell ref="D38:D42"/>
    <mergeCell ref="D35:D37"/>
    <mergeCell ref="D51:D87"/>
    <mergeCell ref="D90:D97"/>
    <mergeCell ref="D98:D113"/>
    <mergeCell ref="J5:J8"/>
    <mergeCell ref="J9:J10"/>
    <mergeCell ref="M5:M8"/>
    <mergeCell ref="M9:M10"/>
    <mergeCell ref="M11:M12"/>
    <mergeCell ref="J11:J12"/>
  </mergeCells>
  <phoneticPr fontId="19" type="noConversion"/>
  <pageMargins left="0.7" right="0.7" top="0.75" bottom="0.75" header="0.3" footer="0.3"/>
  <colBreaks count="1" manualBreakCount="1">
    <brk id="9" max="126" man="1"/>
  </colBreak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C0F5-2FE2-4F4B-A443-70ABD2C5F926}">
  <sheetPr codeName="Sheet14">
    <tabColor rgb="FFFFC000"/>
    <pageSetUpPr fitToPage="1"/>
  </sheetPr>
  <dimension ref="A1:AJ232"/>
  <sheetViews>
    <sheetView showGridLines="0" zoomScaleNormal="100" zoomScaleSheetLayoutView="100" workbookViewId="0">
      <pane xSplit="10" ySplit="4" topLeftCell="K10" activePane="bottomRight" state="frozen"/>
      <selection pane="topRight" activeCell="S63" sqref="S63"/>
      <selection pane="bottomLeft" activeCell="S63" sqref="S63"/>
      <selection pane="bottomRight" activeCell="S63" sqref="S63"/>
    </sheetView>
  </sheetViews>
  <sheetFormatPr defaultColWidth="14.25" defaultRowHeight="16.5" outlineLevelRow="2" outlineLevelCol="1"/>
  <cols>
    <col min="1" max="1" width="4.75" style="338" customWidth="1"/>
    <col min="2" max="2" width="14.375" style="338" bestFit="1" customWidth="1"/>
    <col min="3" max="3" width="4.125" style="337" customWidth="1"/>
    <col min="4" max="4" width="31.375" style="336" customWidth="1"/>
    <col min="5" max="5" width="31.75" style="338" hidden="1" customWidth="1" outlineLevel="1"/>
    <col min="6" max="6" width="42.25" style="339" hidden="1" customWidth="1" outlineLevel="1"/>
    <col min="7" max="7" width="18.625" style="339" hidden="1" customWidth="1" outlineLevel="1"/>
    <col min="8" max="8" width="11.25" style="339" hidden="1" customWidth="1" outlineLevel="1"/>
    <col min="9" max="9" width="16" style="339" hidden="1" customWidth="1" outlineLevel="1"/>
    <col min="10" max="10" width="17.875" style="338" hidden="1" customWidth="1" outlineLevel="1"/>
    <col min="11" max="11" width="16.375" style="579" customWidth="1" collapsed="1"/>
    <col min="12" max="12" width="12" style="583" customWidth="1" outlineLevel="1"/>
    <col min="13" max="13" width="11.5" style="337" customWidth="1"/>
    <col min="14" max="14" width="10.25" style="337" customWidth="1"/>
    <col min="15" max="15" width="9.625" style="583" customWidth="1"/>
    <col min="16" max="16" width="9.625" style="36" customWidth="1"/>
    <col min="17" max="17" width="5.125" style="32" customWidth="1"/>
    <col min="18" max="18" width="9.625" style="337" customWidth="1"/>
    <col min="19" max="20" width="9.625" style="340" customWidth="1"/>
    <col min="21" max="22" width="14.125" style="342" customWidth="1" outlineLevel="1"/>
    <col min="23" max="23" width="13.875" style="342" customWidth="1"/>
    <col min="24" max="24" width="11.125" style="342" bestFit="1" customWidth="1"/>
    <col min="25" max="25" width="10.25" style="1081" customWidth="1"/>
    <col min="26" max="26" width="10.625" style="342" customWidth="1"/>
    <col min="27" max="27" width="18.875" style="337" customWidth="1" outlineLevel="1"/>
    <col min="28" max="28" width="14.375" style="338" customWidth="1"/>
    <col min="29" max="29" width="11.875" style="338" customWidth="1"/>
    <col min="30" max="30" width="14.25" style="338"/>
    <col min="31" max="31" width="3.75" style="338" customWidth="1"/>
    <col min="32" max="33" width="14.375" style="338" bestFit="1" customWidth="1"/>
    <col min="34" max="34" width="15.25" style="338" bestFit="1" customWidth="1"/>
    <col min="35" max="35" width="24.25" style="338" customWidth="1"/>
    <col min="36" max="36" width="17.375" style="338" bestFit="1" customWidth="1"/>
    <col min="37" max="16384" width="14.25" style="338"/>
  </cols>
  <sheetData>
    <row r="1" spans="1:33" ht="41.25" customHeight="1">
      <c r="A1" s="2937" t="s">
        <v>2039</v>
      </c>
      <c r="B1" s="2937"/>
      <c r="C1" s="2937"/>
      <c r="D1" s="2937"/>
      <c r="E1" s="2937"/>
      <c r="F1" s="2937"/>
      <c r="G1" s="2937"/>
      <c r="H1" s="2937"/>
      <c r="I1" s="2937"/>
      <c r="J1" s="2937"/>
      <c r="K1" s="2937"/>
      <c r="L1" s="2937"/>
      <c r="M1" s="756"/>
      <c r="N1" s="756"/>
      <c r="O1" s="1161"/>
      <c r="P1" s="755"/>
      <c r="Q1" s="644"/>
      <c r="R1" s="644"/>
      <c r="S1" s="363"/>
      <c r="T1" s="644"/>
      <c r="U1" s="644"/>
      <c r="V1" s="644"/>
      <c r="W1" s="644"/>
      <c r="X1" s="644"/>
      <c r="Y1" s="1075"/>
      <c r="Z1" s="644"/>
      <c r="AA1" s="527"/>
      <c r="AB1" s="272"/>
      <c r="AC1" s="272"/>
      <c r="AD1" s="272"/>
      <c r="AE1" s="272"/>
      <c r="AF1" s="272"/>
      <c r="AG1" s="272"/>
    </row>
    <row r="2" spans="1:33" ht="18.75" customHeight="1">
      <c r="A2" s="644"/>
      <c r="B2" s="644"/>
      <c r="C2" s="644"/>
      <c r="D2" s="644"/>
      <c r="E2" s="644"/>
      <c r="F2" s="644"/>
      <c r="G2" s="644"/>
      <c r="H2" s="644"/>
      <c r="I2" s="644"/>
      <c r="J2" s="644"/>
      <c r="K2" s="1025"/>
      <c r="L2" s="768"/>
      <c r="M2" s="644"/>
      <c r="N2" s="644"/>
      <c r="O2" s="768"/>
      <c r="P2" s="644"/>
      <c r="Q2" s="644"/>
      <c r="R2" s="644"/>
      <c r="S2" s="644"/>
      <c r="T2" s="644"/>
      <c r="U2" s="1311"/>
      <c r="V2" s="2920" t="s">
        <v>2040</v>
      </c>
      <c r="W2" s="2920"/>
      <c r="X2" s="2920"/>
      <c r="Y2" s="2920"/>
      <c r="Z2" s="982"/>
      <c r="AA2" s="527"/>
      <c r="AB2" s="272"/>
      <c r="AC2" s="272"/>
      <c r="AD2" s="272"/>
      <c r="AE2" s="272"/>
      <c r="AF2" s="272"/>
      <c r="AG2" s="272"/>
    </row>
    <row r="3" spans="1:33" ht="21.75" customHeight="1" thickBot="1">
      <c r="A3" s="779"/>
      <c r="B3" s="779"/>
      <c r="C3" s="779"/>
      <c r="D3" s="779"/>
      <c r="E3" s="779"/>
      <c r="F3" s="779"/>
      <c r="G3" s="779"/>
      <c r="H3" s="779"/>
      <c r="I3" s="779"/>
      <c r="J3" s="779"/>
      <c r="K3" s="1025"/>
      <c r="L3" s="768"/>
      <c r="M3" s="644"/>
      <c r="N3" s="644"/>
      <c r="O3" s="768"/>
      <c r="P3" s="644"/>
      <c r="Q3" s="644"/>
      <c r="R3" s="644"/>
      <c r="S3" s="644"/>
      <c r="T3" s="644"/>
      <c r="U3" s="2951" t="s">
        <v>2041</v>
      </c>
      <c r="V3" s="2951"/>
      <c r="W3" s="2951"/>
      <c r="X3" s="2951"/>
      <c r="Y3" s="2951"/>
      <c r="Z3" s="1074"/>
      <c r="AA3" s="645"/>
      <c r="AB3" s="769"/>
      <c r="AC3" s="272"/>
      <c r="AD3" s="272"/>
      <c r="AE3" s="272"/>
      <c r="AF3" s="272"/>
      <c r="AG3" s="272"/>
    </row>
    <row r="4" spans="1:33" s="527" customFormat="1" ht="35.25" customHeight="1" thickTop="1" thickBot="1">
      <c r="A4" s="2943" t="s">
        <v>2042</v>
      </c>
      <c r="B4" s="2944"/>
      <c r="C4" s="826" t="s">
        <v>2043</v>
      </c>
      <c r="D4" s="826" t="s">
        <v>2044</v>
      </c>
      <c r="E4" s="827" t="s">
        <v>462</v>
      </c>
      <c r="F4" s="827" t="s">
        <v>463</v>
      </c>
      <c r="G4" s="827" t="s">
        <v>465</v>
      </c>
      <c r="H4" s="827" t="s">
        <v>2045</v>
      </c>
      <c r="I4" s="827" t="s">
        <v>2046</v>
      </c>
      <c r="J4" s="827" t="s">
        <v>2047</v>
      </c>
      <c r="K4" s="826" t="s">
        <v>2048</v>
      </c>
      <c r="L4" s="828" t="s">
        <v>2049</v>
      </c>
      <c r="M4" s="826" t="str">
        <f>'DG-PV Organic'!G2</f>
        <v>Credit Worthiness</v>
      </c>
      <c r="N4" s="826" t="s">
        <v>2050</v>
      </c>
      <c r="O4" s="828" t="s">
        <v>2051</v>
      </c>
      <c r="P4" s="829" t="s">
        <v>2052</v>
      </c>
      <c r="Q4" s="826"/>
      <c r="R4" s="826" t="s">
        <v>2053</v>
      </c>
      <c r="S4" s="826" t="s">
        <v>2054</v>
      </c>
      <c r="T4" s="826" t="s">
        <v>2055</v>
      </c>
      <c r="U4" s="829" t="s">
        <v>2056</v>
      </c>
      <c r="V4" s="829" t="s">
        <v>2057</v>
      </c>
      <c r="W4" s="829" t="s">
        <v>2058</v>
      </c>
      <c r="X4" s="829" t="s">
        <v>2059</v>
      </c>
      <c r="Y4" s="830" t="s">
        <v>2060</v>
      </c>
      <c r="Z4" s="830" t="s">
        <v>2061</v>
      </c>
      <c r="AA4" s="581" t="s">
        <v>129</v>
      </c>
      <c r="AC4" s="272"/>
      <c r="AD4" s="272"/>
    </row>
    <row r="5" spans="1:33" ht="16.5" customHeight="1" outlineLevel="2" thickTop="1" thickBot="1">
      <c r="A5" s="784"/>
      <c r="B5" s="787"/>
      <c r="C5" s="793">
        <f>SUBTOTAL(103,$D$5:D5)</f>
        <v>1</v>
      </c>
      <c r="D5" s="796" t="s">
        <v>2062</v>
      </c>
      <c r="E5" s="780" t="s">
        <v>498</v>
      </c>
      <c r="F5" s="781" t="s">
        <v>499</v>
      </c>
      <c r="G5" s="781" t="s">
        <v>512</v>
      </c>
      <c r="H5" s="781" t="s">
        <v>2063</v>
      </c>
      <c r="I5" s="781" t="str">
        <f>+[8]국문법인현황!$I$15</f>
        <v>096301-04-103343</v>
      </c>
      <c r="J5" s="782" t="s">
        <v>500</v>
      </c>
      <c r="K5" s="1026" t="s">
        <v>503</v>
      </c>
      <c r="L5" s="790">
        <f>'DG-PV Organic'!K3</f>
        <v>425.22</v>
      </c>
      <c r="M5" s="799" t="str">
        <f>'DG-PV Organic'!G3</f>
        <v>BB0</v>
      </c>
      <c r="N5" s="799" t="s">
        <v>515</v>
      </c>
      <c r="O5" s="1127">
        <f>'DG-PV Organic'!O3</f>
        <v>319.2</v>
      </c>
      <c r="P5" s="793">
        <f>'DG-PV Organic'!L3</f>
        <v>1405</v>
      </c>
      <c r="Q5" s="783">
        <f t="shared" ref="Q5" si="0">P5/365</f>
        <v>3.8493150684931505</v>
      </c>
      <c r="R5" s="803">
        <f>'DG-PV Organic'!H3</f>
        <v>8.9700000000000002E-2</v>
      </c>
      <c r="S5" s="806">
        <f>'DG-PV Organic'!Q3</f>
        <v>45816</v>
      </c>
      <c r="T5" s="806">
        <f t="shared" ref="T5:T18" si="1">+EDATE(S5,6)</f>
        <v>45999</v>
      </c>
      <c r="U5" s="1118">
        <f>'DG-PV Organic'!AJ3/1000*1.1</f>
        <v>70224</v>
      </c>
      <c r="V5" s="1076">
        <f>'DG-PV Organic'!AK3/1000*1.1</f>
        <v>105336.00000000001</v>
      </c>
      <c r="W5" s="1076">
        <f>SUM(U5:V5)</f>
        <v>175560</v>
      </c>
      <c r="X5" s="1076">
        <f>W5/O5*1000</f>
        <v>550000</v>
      </c>
      <c r="Y5" s="1076">
        <f>'DG-PV Organic'!AL3/1000*1.1</f>
        <v>368676.00000000006</v>
      </c>
      <c r="Z5" s="1124">
        <f>65000</f>
        <v>65000</v>
      </c>
      <c r="AA5" s="492">
        <f>'DG-PV Organic'!AI3</f>
        <v>89376000</v>
      </c>
      <c r="AB5" s="272"/>
      <c r="AC5" s="272"/>
      <c r="AD5" s="716" t="b">
        <f t="shared" ref="AD5:AD19" si="2">+$AD$22*O5/1000=Y5</f>
        <v>0</v>
      </c>
      <c r="AE5" s="272" t="b">
        <f t="shared" ref="AE5:AE10" si="3">+$AE$22*O5=W5</f>
        <v>0</v>
      </c>
      <c r="AF5" s="272"/>
      <c r="AG5" s="272">
        <v>1.1000000000000001</v>
      </c>
    </row>
    <row r="6" spans="1:33" ht="17.25" outlineLevel="2" thickTop="1">
      <c r="A6" s="785"/>
      <c r="B6" s="787"/>
      <c r="C6" s="794">
        <f>SUBTOTAL(103,$D$5:D6)</f>
        <v>2</v>
      </c>
      <c r="D6" s="797" t="s">
        <v>2064</v>
      </c>
      <c r="E6" s="770" t="s">
        <v>509</v>
      </c>
      <c r="F6" s="771" t="s">
        <v>510</v>
      </c>
      <c r="G6" s="781" t="s">
        <v>512</v>
      </c>
      <c r="H6" s="781" t="s">
        <v>2063</v>
      </c>
      <c r="I6" s="781" t="str">
        <f>+[8]국문법인현황!$I$15</f>
        <v>096301-04-103343</v>
      </c>
      <c r="J6" s="772" t="s">
        <v>511</v>
      </c>
      <c r="K6" s="1027" t="s">
        <v>541</v>
      </c>
      <c r="L6" s="791">
        <f>'DG-PV Organic'!K4</f>
        <v>768.88</v>
      </c>
      <c r="M6" s="800" t="str">
        <f>'DG-PV Organic'!G4</f>
        <v>CCC0</v>
      </c>
      <c r="N6" s="800" t="s">
        <v>515</v>
      </c>
      <c r="O6" s="1128">
        <f>'DG-PV Organic'!O4</f>
        <v>515.62</v>
      </c>
      <c r="P6" s="794">
        <f>'DG-PV Organic'!L4</f>
        <v>1408</v>
      </c>
      <c r="Q6" s="773">
        <f t="shared" ref="Q6:Q12" si="4">P6/365</f>
        <v>3.8575342465753426</v>
      </c>
      <c r="R6" s="804">
        <f>'DG-PV Organic'!H4</f>
        <v>8.9099999999999999E-2</v>
      </c>
      <c r="S6" s="807">
        <f>'DG-PV Organic'!Q4</f>
        <v>45816</v>
      </c>
      <c r="T6" s="807">
        <f t="shared" ref="T6:T15" si="5">+EDATE(S6,6)</f>
        <v>45999</v>
      </c>
      <c r="U6" s="1118">
        <f>'DG-PV Organic'!AJ4/1000*1.1</f>
        <v>113436.40000000001</v>
      </c>
      <c r="V6" s="1076">
        <f>'DG-PV Organic'!AK4/1000*1.1</f>
        <v>170154.6</v>
      </c>
      <c r="W6" s="1076">
        <f t="shared" ref="W6:W9" si="6">SUM(U6:V6)</f>
        <v>283591</v>
      </c>
      <c r="X6" s="1076">
        <f t="shared" ref="X6:X19" si="7">W6/O6*1000</f>
        <v>550000</v>
      </c>
      <c r="Y6" s="1076">
        <f>'DG-PV Organic'!AL4/1000*1.1</f>
        <v>595541.10000000009</v>
      </c>
      <c r="Z6" s="1124">
        <f>65000</f>
        <v>65000</v>
      </c>
      <c r="AA6" s="492">
        <f>'DG-PV Organic'!AI4</f>
        <v>103124000</v>
      </c>
      <c r="AB6" s="272"/>
      <c r="AC6" s="1076">
        <v>175560</v>
      </c>
      <c r="AD6" s="716" t="b">
        <f t="shared" si="2"/>
        <v>0</v>
      </c>
      <c r="AE6" t="b">
        <f t="shared" si="3"/>
        <v>0</v>
      </c>
      <c r="AF6" s="1083">
        <v>319.2</v>
      </c>
      <c r="AG6" s="272"/>
    </row>
    <row r="7" spans="1:33" outlineLevel="2">
      <c r="A7" s="785"/>
      <c r="B7" s="788"/>
      <c r="C7" s="794">
        <f>SUBTOTAL(103,$D$5:D7)</f>
        <v>3</v>
      </c>
      <c r="D7" s="797" t="s">
        <v>2065</v>
      </c>
      <c r="E7" s="770" t="s">
        <v>2066</v>
      </c>
      <c r="F7" s="771" t="s">
        <v>2067</v>
      </c>
      <c r="G7" s="781" t="s">
        <v>512</v>
      </c>
      <c r="H7" s="781" t="s">
        <v>2063</v>
      </c>
      <c r="I7" s="781" t="str">
        <f>+[8]국문법인현황!$I$15</f>
        <v>096301-04-103343</v>
      </c>
      <c r="J7" s="772" t="s">
        <v>522</v>
      </c>
      <c r="K7" s="1027" t="s">
        <v>524</v>
      </c>
      <c r="L7" s="791">
        <f>'DG-PV Organic'!K5</f>
        <v>220.62</v>
      </c>
      <c r="M7" s="800" t="str">
        <f>'DG-PV Organic'!G5</f>
        <v>B+</v>
      </c>
      <c r="N7" s="800" t="s">
        <v>515</v>
      </c>
      <c r="O7" s="1128">
        <f>'DG-PV Organic'!O5</f>
        <v>148.59</v>
      </c>
      <c r="P7" s="794">
        <f>'DG-PV Organic'!L5</f>
        <v>1448</v>
      </c>
      <c r="Q7" s="773">
        <f t="shared" si="4"/>
        <v>3.967123287671233</v>
      </c>
      <c r="R7" s="804">
        <f>'DG-PV Organic'!H5</f>
        <v>9.6299999999999997E-2</v>
      </c>
      <c r="S7" s="807">
        <f>'DG-PV Organic'!Q5</f>
        <v>45816</v>
      </c>
      <c r="T7" s="807">
        <f t="shared" si="5"/>
        <v>45999</v>
      </c>
      <c r="U7" s="1118">
        <f>'DG-PV Organic'!AJ5/1000*1.1</f>
        <v>32689.800000000003</v>
      </c>
      <c r="V7" s="1076">
        <f>'DG-PV Organic'!AK5/1000*1.1</f>
        <v>49034.700000000004</v>
      </c>
      <c r="W7" s="1076">
        <f t="shared" si="6"/>
        <v>81724.5</v>
      </c>
      <c r="X7" s="1076">
        <f t="shared" si="7"/>
        <v>550000</v>
      </c>
      <c r="Y7" s="1076">
        <f>'DG-PV Organic'!AL5/1000*1.1</f>
        <v>171621.45</v>
      </c>
      <c r="Z7" s="1124">
        <f>65000</f>
        <v>65000</v>
      </c>
      <c r="AA7" s="492">
        <f>'DG-PV Organic'!AI5</f>
        <v>29718000</v>
      </c>
      <c r="AB7" s="272"/>
      <c r="AC7" s="1076">
        <v>300003</v>
      </c>
      <c r="AD7" s="716" t="b">
        <f t="shared" si="2"/>
        <v>0</v>
      </c>
      <c r="AE7" t="b">
        <f t="shared" si="3"/>
        <v>0</v>
      </c>
      <c r="AF7" s="1084">
        <v>545.46</v>
      </c>
      <c r="AG7" s="272"/>
    </row>
    <row r="8" spans="1:33" outlineLevel="2">
      <c r="A8" s="785"/>
      <c r="B8" s="2932" t="str">
        <f>"DG Batch 1 
- 14PJTs"</f>
        <v>DG Batch 1 
- 14PJTs</v>
      </c>
      <c r="C8" s="793">
        <f>SUBTOTAL(103,$D$5:D8)</f>
        <v>4</v>
      </c>
      <c r="D8" s="797" t="s">
        <v>2068</v>
      </c>
      <c r="E8" s="770" t="s">
        <v>536</v>
      </c>
      <c r="F8" s="771" t="s">
        <v>537</v>
      </c>
      <c r="G8" s="781" t="s">
        <v>512</v>
      </c>
      <c r="H8" s="781" t="s">
        <v>2063</v>
      </c>
      <c r="I8" s="781" t="str">
        <f>+[8]국문법인현황!$I$15</f>
        <v>096301-04-103343</v>
      </c>
      <c r="J8" s="772" t="s">
        <v>538</v>
      </c>
      <c r="K8" s="1027" t="s">
        <v>541</v>
      </c>
      <c r="L8" s="791">
        <f>'DG-PV Organic'!K7</f>
        <v>200.25200000000001</v>
      </c>
      <c r="M8" s="800" t="str">
        <f>'DG-PV Organic'!G7</f>
        <v>CCC-</v>
      </c>
      <c r="N8" s="800" t="s">
        <v>515</v>
      </c>
      <c r="O8" s="1128">
        <f>'DG-PV Organic'!O7</f>
        <v>144.15</v>
      </c>
      <c r="P8" s="794">
        <f>'DG-PV Organic'!L7</f>
        <v>1394</v>
      </c>
      <c r="Q8" s="773">
        <f t="shared" si="4"/>
        <v>3.8191780821917809</v>
      </c>
      <c r="R8" s="804">
        <f>'DG-PV Organic'!H7</f>
        <v>9.1399999999999995E-2</v>
      </c>
      <c r="S8" s="807">
        <f>'DG-PV Organic'!Q7</f>
        <v>45848</v>
      </c>
      <c r="T8" s="807">
        <f t="shared" si="5"/>
        <v>46032</v>
      </c>
      <c r="U8" s="1118">
        <f>'DG-PV Organic'!AJ7/1000*1.1</f>
        <v>31713.000000000004</v>
      </c>
      <c r="V8" s="1076">
        <f>'DG-PV Organic'!AK7/1000*1.1</f>
        <v>47569.500000000007</v>
      </c>
      <c r="W8" s="1076">
        <f t="shared" si="6"/>
        <v>79282.500000000015</v>
      </c>
      <c r="X8" s="1076">
        <f t="shared" si="7"/>
        <v>550000.00000000012</v>
      </c>
      <c r="Y8" s="1076">
        <f>'DG-PV Organic'!AL7/1000*1.1</f>
        <v>166493.25</v>
      </c>
      <c r="Z8" s="1124">
        <f>65000</f>
        <v>65000</v>
      </c>
      <c r="AA8" s="492">
        <f>'DG-PV Organic'!AI7</f>
        <v>28830000</v>
      </c>
      <c r="AB8" s="272"/>
      <c r="AC8" s="1076">
        <v>83121.5</v>
      </c>
      <c r="AD8" s="716" t="b">
        <f t="shared" si="2"/>
        <v>0</v>
      </c>
      <c r="AE8" t="b">
        <f t="shared" si="3"/>
        <v>0</v>
      </c>
      <c r="AF8" s="1084">
        <v>151.13</v>
      </c>
      <c r="AG8" s="272"/>
    </row>
    <row r="9" spans="1:33" outlineLevel="2">
      <c r="A9" s="786" t="s">
        <v>2069</v>
      </c>
      <c r="B9" s="2932"/>
      <c r="C9" s="794">
        <f>SUBTOTAL(103,$D$5:D9)</f>
        <v>5</v>
      </c>
      <c r="D9" s="797" t="s">
        <v>2070</v>
      </c>
      <c r="E9" s="770" t="s">
        <v>545</v>
      </c>
      <c r="F9" s="771" t="s">
        <v>546</v>
      </c>
      <c r="G9" s="781" t="s">
        <v>512</v>
      </c>
      <c r="H9" s="781" t="s">
        <v>2063</v>
      </c>
      <c r="I9" s="781" t="str">
        <f>+[8]국문법인현황!$I$15</f>
        <v>096301-04-103343</v>
      </c>
      <c r="J9" s="772" t="s">
        <v>547</v>
      </c>
      <c r="K9" s="1027" t="s">
        <v>541</v>
      </c>
      <c r="L9" s="791">
        <f>'DG-PV Organic'!K8</f>
        <v>154.46</v>
      </c>
      <c r="M9" s="800" t="str">
        <f>'DG-PV Organic'!G8</f>
        <v>CC+</v>
      </c>
      <c r="N9" s="800" t="s">
        <v>515</v>
      </c>
      <c r="O9" s="1128">
        <f>'DG-PV Organic'!O8</f>
        <v>138.43</v>
      </c>
      <c r="P9" s="794">
        <f>'DG-PV Organic'!L8</f>
        <v>1434</v>
      </c>
      <c r="Q9" s="773">
        <f t="shared" si="4"/>
        <v>3.9287671232876713</v>
      </c>
      <c r="R9" s="804">
        <f>'DG-PV Organic'!H8</f>
        <v>9.1700000000000004E-2</v>
      </c>
      <c r="S9" s="807">
        <f>'DG-PV Organic'!Q8</f>
        <v>45848</v>
      </c>
      <c r="T9" s="807">
        <f t="shared" si="5"/>
        <v>46032</v>
      </c>
      <c r="U9" s="1118">
        <f>'DG-PV Organic'!AJ8/1000*1.1</f>
        <v>30454.600000000002</v>
      </c>
      <c r="V9" s="1076">
        <f>'DG-PV Organic'!AK8/1000*1.1</f>
        <v>45681.9</v>
      </c>
      <c r="W9" s="1076">
        <f t="shared" si="6"/>
        <v>76136.5</v>
      </c>
      <c r="X9" s="1076">
        <f t="shared" si="7"/>
        <v>550000</v>
      </c>
      <c r="Y9" s="1076">
        <f>'DG-PV Organic'!AL8/1000*1.1</f>
        <v>159886.65000000002</v>
      </c>
      <c r="Z9" s="1124">
        <f>65000</f>
        <v>65000</v>
      </c>
      <c r="AA9" s="492">
        <f>'DG-PV Organic'!AI8</f>
        <v>27686000</v>
      </c>
      <c r="AB9" s="846">
        <f>478571818*1.1</f>
        <v>526428999.80000007</v>
      </c>
      <c r="AC9" s="1076">
        <v>79282.500000000015</v>
      </c>
      <c r="AD9" s="716" t="b">
        <f t="shared" si="2"/>
        <v>0</v>
      </c>
      <c r="AE9" t="b">
        <f t="shared" si="3"/>
        <v>0</v>
      </c>
      <c r="AF9" s="1084">
        <v>144.15</v>
      </c>
      <c r="AG9" s="272"/>
    </row>
    <row r="10" spans="1:33" outlineLevel="2">
      <c r="A10" s="785"/>
      <c r="B10" s="787"/>
      <c r="C10" s="794">
        <v>6</v>
      </c>
      <c r="D10" s="797" t="s">
        <v>2071</v>
      </c>
      <c r="E10" s="770" t="s">
        <v>528</v>
      </c>
      <c r="F10" s="771" t="s">
        <v>529</v>
      </c>
      <c r="G10" s="781" t="s">
        <v>512</v>
      </c>
      <c r="H10" s="781" t="s">
        <v>2063</v>
      </c>
      <c r="I10" s="781" t="str">
        <f>+[8]국문법인현황!$I$15</f>
        <v>096301-04-103343</v>
      </c>
      <c r="J10" s="772" t="s">
        <v>530</v>
      </c>
      <c r="K10" s="1027" t="s">
        <v>531</v>
      </c>
      <c r="L10" s="791">
        <f>'DG-PV Organic'!K6</f>
        <v>156.56</v>
      </c>
      <c r="M10" s="800" t="str">
        <f>'DG-PV Organic'!G6</f>
        <v>B+</v>
      </c>
      <c r="N10" s="800" t="s">
        <v>515</v>
      </c>
      <c r="O10" s="1128">
        <f>'DG-PV Organic'!O6</f>
        <v>110.08</v>
      </c>
      <c r="P10" s="794">
        <f>'DG-PV Organic'!L6</f>
        <v>1431</v>
      </c>
      <c r="Q10" s="773">
        <f>P10/365</f>
        <v>3.9205479452054797</v>
      </c>
      <c r="R10" s="804">
        <f>'DG-PV Organic'!H6</f>
        <v>8.6499999999999994E-2</v>
      </c>
      <c r="S10" s="807">
        <f>'DG-PV Organic'!Q6</f>
        <v>45848</v>
      </c>
      <c r="T10" s="807">
        <f>+EDATE(S10,6)</f>
        <v>46032</v>
      </c>
      <c r="U10" s="1118">
        <f>'DG-PV Organic'!AJ6/1000*1.1</f>
        <v>24217.600000000002</v>
      </c>
      <c r="V10" s="1076">
        <f>'DG-PV Organic'!AK6/1000*1.1</f>
        <v>36326.400000000001</v>
      </c>
      <c r="W10" s="1076">
        <f>SUM(U10:V10)</f>
        <v>60544</v>
      </c>
      <c r="X10" s="1076">
        <f t="shared" si="7"/>
        <v>550000</v>
      </c>
      <c r="Y10" s="1076">
        <f>'DG-PV Organic'!AL6/1000*1.1</f>
        <v>127142.40000000001</v>
      </c>
      <c r="Z10" s="1124">
        <f>65000</f>
        <v>65000</v>
      </c>
      <c r="AA10" s="492">
        <f>'DG-PV Organic'!AI6</f>
        <v>22016000</v>
      </c>
      <c r="AB10" s="272"/>
      <c r="AC10" s="1076">
        <v>76136.5</v>
      </c>
      <c r="AD10" s="716" t="b">
        <f t="shared" si="2"/>
        <v>0</v>
      </c>
      <c r="AE10" t="b">
        <f t="shared" si="3"/>
        <v>0</v>
      </c>
      <c r="AF10" s="1084">
        <v>138.43</v>
      </c>
      <c r="AG10" s="272"/>
    </row>
    <row r="11" spans="1:33" outlineLevel="2">
      <c r="A11" s="786">
        <v>2025</v>
      </c>
      <c r="B11" s="789">
        <f>SUM(O5:O15,O19)</f>
        <v>6197.12</v>
      </c>
      <c r="C11" s="2946">
        <v>7</v>
      </c>
      <c r="D11" s="2949" t="s">
        <v>2072</v>
      </c>
      <c r="E11" s="770" t="s">
        <v>551</v>
      </c>
      <c r="F11" s="771" t="s">
        <v>2073</v>
      </c>
      <c r="G11" s="781" t="s">
        <v>512</v>
      </c>
      <c r="H11" s="781" t="s">
        <v>2063</v>
      </c>
      <c r="I11" s="781" t="str">
        <f>+[8]국문법인현황!$I$15</f>
        <v>096301-04-103343</v>
      </c>
      <c r="J11" s="772" t="s">
        <v>2074</v>
      </c>
      <c r="K11" s="2947" t="s">
        <v>556</v>
      </c>
      <c r="L11" s="791">
        <f>'DG-PV Organic'!K9</f>
        <v>1083.386</v>
      </c>
      <c r="M11" s="2948" t="s">
        <v>555</v>
      </c>
      <c r="N11" s="2938" t="s">
        <v>575</v>
      </c>
      <c r="O11" s="2942">
        <f>'DG-PV Organic'!O9</f>
        <v>1041</v>
      </c>
      <c r="P11" s="794">
        <f>'DG-PV Organic'!L9</f>
        <v>1427</v>
      </c>
      <c r="Q11" s="773">
        <f t="shared" si="4"/>
        <v>3.9095890410958902</v>
      </c>
      <c r="R11" s="804">
        <f>'DG-PV Organic'!H9</f>
        <v>0.1033</v>
      </c>
      <c r="S11" s="807">
        <f>'DG-PV Organic'!Q9</f>
        <v>45848</v>
      </c>
      <c r="T11" s="807">
        <f t="shared" si="5"/>
        <v>46032</v>
      </c>
      <c r="U11" s="2945">
        <f>'DG-PV Organic'!AJ9/1000*1.1</f>
        <v>57255.000000000007</v>
      </c>
      <c r="V11" s="2945">
        <f>'DG-PV Organic'!AK9/1000*1.1</f>
        <v>343530</v>
      </c>
      <c r="W11" s="2921">
        <f>SUM(U11:V12)</f>
        <v>400785</v>
      </c>
      <c r="X11" s="2921">
        <f t="shared" si="7"/>
        <v>385000</v>
      </c>
      <c r="Y11" s="2921">
        <f>'DG-PV Organic'!AL9/1000*1.1</f>
        <v>1202355</v>
      </c>
      <c r="Z11" s="2958">
        <f>65000</f>
        <v>65000</v>
      </c>
      <c r="AA11" s="2940">
        <f>'DG-PV Organic'!AI9</f>
        <v>182175000</v>
      </c>
      <c r="AB11" s="272"/>
      <c r="AC11" s="1076">
        <v>60544</v>
      </c>
      <c r="AD11" s="716" t="b">
        <f t="shared" si="2"/>
        <v>0</v>
      </c>
      <c r="AE11" t="b">
        <f>+$AE$21*O11=W11</f>
        <v>0</v>
      </c>
      <c r="AF11" s="1084">
        <v>110.08</v>
      </c>
      <c r="AG11" s="272"/>
    </row>
    <row r="12" spans="1:33" outlineLevel="2">
      <c r="A12" s="785"/>
      <c r="B12" s="754"/>
      <c r="C12" s="2946"/>
      <c r="D12" s="2950"/>
      <c r="E12" s="770" t="s">
        <v>560</v>
      </c>
      <c r="F12" s="771" t="s">
        <v>2075</v>
      </c>
      <c r="G12" s="771" t="str">
        <f>+'DG-PV Organic'!F10</f>
        <v>Bolt Taeyanggwang 2HO</v>
      </c>
      <c r="H12" s="771" t="s">
        <v>2076</v>
      </c>
      <c r="I12" s="771" t="str">
        <f>+[8]국문법인현황!$D$15</f>
        <v>096301-04-103327</v>
      </c>
      <c r="J12" s="772" t="s">
        <v>2077</v>
      </c>
      <c r="K12" s="2947"/>
      <c r="L12" s="791">
        <f>'DG-PV Organic'!K10</f>
        <v>366.69600000000003</v>
      </c>
      <c r="M12" s="2948"/>
      <c r="N12" s="2939"/>
      <c r="O12" s="2942"/>
      <c r="P12" s="794">
        <f>'DG-PV Organic'!L10</f>
        <v>1403</v>
      </c>
      <c r="Q12" s="773">
        <f t="shared" si="4"/>
        <v>3.8438356164383563</v>
      </c>
      <c r="R12" s="804">
        <f>'DG-PV Organic'!H10</f>
        <v>9.7799999999999998E-2</v>
      </c>
      <c r="S12" s="807">
        <f>'DG-PV Organic'!Q10</f>
        <v>45848</v>
      </c>
      <c r="T12" s="807">
        <f t="shared" si="5"/>
        <v>46032</v>
      </c>
      <c r="U12" s="2945">
        <f>'DG-PV Organic'!AJ10/1000</f>
        <v>0</v>
      </c>
      <c r="V12" s="2945">
        <f>'DG-PV Organic'!AK10/1000</f>
        <v>0</v>
      </c>
      <c r="W12" s="2922"/>
      <c r="X12" s="2922"/>
      <c r="Y12" s="2922"/>
      <c r="Z12" s="2958">
        <f>65000</f>
        <v>65000</v>
      </c>
      <c r="AA12" s="2941"/>
      <c r="AB12" s="753"/>
      <c r="AC12" s="2921">
        <v>400785</v>
      </c>
      <c r="AD12" s="716" t="b">
        <f t="shared" si="2"/>
        <v>1</v>
      </c>
      <c r="AE12" t="b">
        <f>+$AE$22*O12=W12</f>
        <v>1</v>
      </c>
      <c r="AF12" s="2952">
        <v>1041</v>
      </c>
      <c r="AG12" s="272"/>
    </row>
    <row r="13" spans="1:33" outlineLevel="2">
      <c r="A13" s="785"/>
      <c r="B13" s="754"/>
      <c r="C13" s="794">
        <f>SUBTOTAL(103,$D$5:D13)</f>
        <v>8</v>
      </c>
      <c r="D13" s="797" t="str">
        <f>'DG-PV Organic'!B11</f>
        <v>Kairos</v>
      </c>
      <c r="E13" s="770" t="s">
        <v>2078</v>
      </c>
      <c r="F13" s="771" t="s">
        <v>2079</v>
      </c>
      <c r="G13" s="771" t="str">
        <f>+'DG-PV Organic'!F11</f>
        <v>Bolt Taeyanggwang 2HO</v>
      </c>
      <c r="H13" s="771" t="s">
        <v>2076</v>
      </c>
      <c r="I13" s="771" t="str">
        <f>+[8]국문법인현황!$D$15</f>
        <v>096301-04-103327</v>
      </c>
      <c r="J13" s="772" t="s">
        <v>2080</v>
      </c>
      <c r="K13" s="1027" t="s">
        <v>567</v>
      </c>
      <c r="L13" s="791">
        <f>'DG-PV Organic'!K11</f>
        <v>538.06500000000005</v>
      </c>
      <c r="M13" s="800" t="str">
        <f>'DG-PV Organic'!G11</f>
        <v>B+</v>
      </c>
      <c r="N13" s="800" t="s">
        <v>515</v>
      </c>
      <c r="O13" s="1128">
        <f>'DG-PV Organic'!O11</f>
        <v>406</v>
      </c>
      <c r="P13" s="794">
        <f>'DG-PV Organic'!L11</f>
        <v>1350.5</v>
      </c>
      <c r="Q13" s="774" t="s">
        <v>742</v>
      </c>
      <c r="R13" s="804">
        <f>'DG-PV Organic'!H11</f>
        <v>9.2499999999999999E-2</v>
      </c>
      <c r="S13" s="807">
        <f>'DG-PV Organic'!Q11</f>
        <v>45848</v>
      </c>
      <c r="T13" s="807">
        <f t="shared" si="5"/>
        <v>46032</v>
      </c>
      <c r="U13" s="1125">
        <f>'DG-PV Organic'!AJ11/1000*1.1</f>
        <v>22330</v>
      </c>
      <c r="V13" s="1082">
        <f>'DG-PV Organic'!AK11/1000*1.1</f>
        <v>133980</v>
      </c>
      <c r="W13" s="1082">
        <f t="shared" ref="W13:W44" si="8">SUM(U13:V13)</f>
        <v>156310</v>
      </c>
      <c r="X13" s="1076">
        <f t="shared" si="7"/>
        <v>385000</v>
      </c>
      <c r="Y13" s="1076">
        <f>'DG-PV Organic'!AL11/1000*1.1</f>
        <v>468930.00000000006</v>
      </c>
      <c r="Z13" s="1126">
        <f>65000</f>
        <v>65000</v>
      </c>
      <c r="AA13" s="492">
        <f>'DG-PV Organic'!AI11</f>
        <v>71050000</v>
      </c>
      <c r="AB13" s="753"/>
      <c r="AC13" s="2922"/>
      <c r="AD13" s="716" t="b">
        <f t="shared" si="2"/>
        <v>0</v>
      </c>
      <c r="AE13" t="b">
        <f>+$AE$21*O13=W13</f>
        <v>0</v>
      </c>
      <c r="AF13" s="2953"/>
      <c r="AG13" s="272"/>
    </row>
    <row r="14" spans="1:33" outlineLevel="2">
      <c r="A14" s="785"/>
      <c r="B14" s="754"/>
      <c r="C14" s="794">
        <f>SUBTOTAL(103,$D$5:D14)</f>
        <v>9</v>
      </c>
      <c r="D14" s="797" t="s">
        <v>2081</v>
      </c>
      <c r="E14" s="770" t="s">
        <v>570</v>
      </c>
      <c r="F14" s="771" t="s">
        <v>571</v>
      </c>
      <c r="G14" s="771" t="str">
        <f>+'DG-PV Organic'!F12</f>
        <v>Bolt Taeyanggwang 7HO</v>
      </c>
      <c r="H14" s="771" t="s">
        <v>2076</v>
      </c>
      <c r="I14" s="781" t="str">
        <f>+[8]국문법인현황!$I$15</f>
        <v>096301-04-103343</v>
      </c>
      <c r="J14" s="772" t="s">
        <v>572</v>
      </c>
      <c r="K14" s="1027" t="s">
        <v>567</v>
      </c>
      <c r="L14" s="791">
        <f>'DG-PV Organic'!K12</f>
        <v>227.2</v>
      </c>
      <c r="M14" s="800" t="str">
        <f>'DG-PV Organic'!G12</f>
        <v>B-</v>
      </c>
      <c r="N14" s="800" t="s">
        <v>515</v>
      </c>
      <c r="O14" s="1128">
        <f>'DG-PV Organic'!O12</f>
        <v>158.75</v>
      </c>
      <c r="P14" s="794">
        <f>'DG-PV Organic'!L12</f>
        <v>1449</v>
      </c>
      <c r="Q14" s="773">
        <f>P14/365</f>
        <v>3.9698630136986299</v>
      </c>
      <c r="R14" s="804">
        <f>'DG-PV Organic'!H12</f>
        <v>9.9900000000000003E-2</v>
      </c>
      <c r="S14" s="807">
        <f>'DG-PV Organic'!Q12</f>
        <v>45877</v>
      </c>
      <c r="T14" s="807">
        <f t="shared" si="5"/>
        <v>46061</v>
      </c>
      <c r="U14" s="1134">
        <f>'DG-PV Organic'!AJ12/1000*1.1</f>
        <v>34925</v>
      </c>
      <c r="V14" s="1135">
        <f>'DG-PV Organic'!AK12/1000*1.1</f>
        <v>52387.500000000007</v>
      </c>
      <c r="W14" s="1135">
        <f t="shared" si="8"/>
        <v>87312.5</v>
      </c>
      <c r="X14" s="1136">
        <f t="shared" si="7"/>
        <v>550000</v>
      </c>
      <c r="Y14" s="1136">
        <f>'DG-PV Organic'!AL12/1000*1.1</f>
        <v>183356.25000000003</v>
      </c>
      <c r="Z14" s="1079">
        <f>65000</f>
        <v>65000</v>
      </c>
      <c r="AA14" s="492">
        <f>'DG-PV Organic'!AI12</f>
        <v>31750000</v>
      </c>
      <c r="AB14" s="753"/>
      <c r="AC14" s="1082">
        <v>156310</v>
      </c>
      <c r="AD14" s="716" t="b">
        <f t="shared" si="2"/>
        <v>0</v>
      </c>
      <c r="AE14" t="b">
        <f t="shared" ref="AE14:AE19" si="9">+$AE$22*O14=W14</f>
        <v>0</v>
      </c>
      <c r="AF14" s="1084">
        <v>406</v>
      </c>
      <c r="AG14" s="272"/>
    </row>
    <row r="15" spans="1:33" s="341" customFormat="1" outlineLevel="2">
      <c r="A15" s="785"/>
      <c r="B15" s="754"/>
      <c r="C15" s="794">
        <f>SUBTOTAL(103,$D$5:D15)</f>
        <v>10</v>
      </c>
      <c r="D15" s="797" t="s">
        <v>2082</v>
      </c>
      <c r="E15" s="770" t="s">
        <v>579</v>
      </c>
      <c r="F15" s="771" t="s">
        <v>580</v>
      </c>
      <c r="G15" s="771" t="str">
        <f>+'DG-PV Organic'!F13</f>
        <v>Bolt Taeyanggwang 3HO</v>
      </c>
      <c r="H15" s="771" t="s">
        <v>2076</v>
      </c>
      <c r="I15" s="771" t="str">
        <f>+[8]국문법인현황!$E$15</f>
        <v>096301-04-103330</v>
      </c>
      <c r="J15" s="772" t="s">
        <v>581</v>
      </c>
      <c r="K15" s="1027" t="s">
        <v>584</v>
      </c>
      <c r="L15" s="791">
        <f>'DG-PV Organic'!K13</f>
        <v>4637</v>
      </c>
      <c r="M15" s="800" t="str">
        <f>'DG-PV Organic'!G13</f>
        <v>BB+</v>
      </c>
      <c r="N15" s="800" t="s">
        <v>1821</v>
      </c>
      <c r="O15" s="1128">
        <f>'DG-PV Organic'!O13</f>
        <v>3065.3</v>
      </c>
      <c r="P15" s="794">
        <f>'DG-PV Organic'!L13</f>
        <v>1442</v>
      </c>
      <c r="Q15" s="773">
        <f>P15/365</f>
        <v>3.9506849315068493</v>
      </c>
      <c r="R15" s="804">
        <f>'DG-PV Organic'!H13</f>
        <v>9.0700000000000003E-2</v>
      </c>
      <c r="S15" s="807">
        <f>'DG-PV Organic'!Q13</f>
        <v>45938</v>
      </c>
      <c r="T15" s="807">
        <f t="shared" si="5"/>
        <v>46120</v>
      </c>
      <c r="U15" s="1134">
        <f>'DG-PV Organic'!AJ13/1000*1.1</f>
        <v>674366</v>
      </c>
      <c r="V15" s="1135">
        <f>'DG-PV Organic'!AK13/1000*1.1</f>
        <v>1011549.0000000001</v>
      </c>
      <c r="W15" s="1135">
        <f t="shared" si="8"/>
        <v>1685915</v>
      </c>
      <c r="X15" s="1136">
        <f t="shared" si="7"/>
        <v>550000</v>
      </c>
      <c r="Y15" s="1136">
        <f>'DG-PV Organic'!AL13/1000*1.1</f>
        <v>3540421.5000000005</v>
      </c>
      <c r="Z15" s="1079">
        <f>65000</f>
        <v>65000</v>
      </c>
      <c r="AA15" s="492">
        <f>'DG-PV Organic'!AI13</f>
        <v>613060000</v>
      </c>
      <c r="AB15" s="846"/>
      <c r="AC15" s="1082">
        <v>87312.5</v>
      </c>
      <c r="AD15" s="716" t="b">
        <f t="shared" si="2"/>
        <v>0</v>
      </c>
      <c r="AE15" t="b">
        <f t="shared" si="9"/>
        <v>0</v>
      </c>
      <c r="AF15" s="1084">
        <v>158.75</v>
      </c>
      <c r="AG15" s="272"/>
    </row>
    <row r="16" spans="1:33" s="1331" customFormat="1" outlineLevel="2">
      <c r="A16" s="1334"/>
      <c r="B16" s="1335"/>
      <c r="C16" s="1336">
        <f>SUBTOTAL(103,$D$5:D16)</f>
        <v>11</v>
      </c>
      <c r="D16" s="1459" t="str">
        <f>'DG-PV Organic'!B14</f>
        <v>Daeheung Industry</v>
      </c>
      <c r="E16" s="1337" t="s">
        <v>587</v>
      </c>
      <c r="F16" s="1338" t="s">
        <v>588</v>
      </c>
      <c r="G16" s="1338" t="str">
        <f>+'DG-PV Organic'!F14</f>
        <v>Bolt Taeyanggwang 7HO</v>
      </c>
      <c r="H16" s="1338" t="s">
        <v>2076</v>
      </c>
      <c r="I16" s="1338" t="s">
        <v>2083</v>
      </c>
      <c r="J16" s="1338" t="s">
        <v>589</v>
      </c>
      <c r="K16" s="1339" t="s">
        <v>531</v>
      </c>
      <c r="L16" s="1340">
        <f>'DG-PV Organic'!K14</f>
        <v>430.54</v>
      </c>
      <c r="M16" s="1341" t="str">
        <f>'DG-PV Organic'!G14</f>
        <v>BB-</v>
      </c>
      <c r="N16" s="1341" t="s">
        <v>515</v>
      </c>
      <c r="O16" s="1342">
        <f>'DG-PV Organic'!O14</f>
        <v>300.8</v>
      </c>
      <c r="P16" s="1336">
        <f>'DG-PV Organic'!L14</f>
        <v>1437</v>
      </c>
      <c r="Q16" s="1343">
        <f t="shared" ref="Q16:Q18" si="10">P16/365</f>
        <v>3.9369863013698629</v>
      </c>
      <c r="R16" s="1344">
        <f>'DG-PV Organic'!H14</f>
        <v>9.1399999999999995E-2</v>
      </c>
      <c r="S16" s="1345">
        <f>'DG-PV Organic'!Q14</f>
        <v>45910</v>
      </c>
      <c r="T16" s="1345">
        <f t="shared" si="1"/>
        <v>46091</v>
      </c>
      <c r="U16" s="1346">
        <f>'DG-PV Organic'!AJ14/1000*1.1</f>
        <v>66176</v>
      </c>
      <c r="V16" s="1346">
        <f>'DG-PV Organic'!AK14/1000*1.1</f>
        <v>99264.000000000015</v>
      </c>
      <c r="W16" s="1346">
        <f t="shared" si="8"/>
        <v>165440</v>
      </c>
      <c r="X16" s="1347">
        <f t="shared" si="7"/>
        <v>550000</v>
      </c>
      <c r="Y16" s="1347">
        <f>'DG-PV Organic'!AL14/1000*1.1</f>
        <v>347424</v>
      </c>
      <c r="Z16" s="1348">
        <f>65000</f>
        <v>65000</v>
      </c>
      <c r="AA16" s="1349">
        <f>'DG-PV Organic'!AI14</f>
        <v>60160000</v>
      </c>
      <c r="AC16" s="1350">
        <v>1685915</v>
      </c>
      <c r="AD16" s="1351" t="b">
        <f t="shared" si="2"/>
        <v>0</v>
      </c>
      <c r="AE16" s="1352" t="b">
        <f t="shared" si="9"/>
        <v>0</v>
      </c>
      <c r="AF16" s="1353">
        <v>3065.3</v>
      </c>
    </row>
    <row r="17" spans="1:36" s="1331" customFormat="1" outlineLevel="2">
      <c r="A17" s="1334"/>
      <c r="B17" s="1335"/>
      <c r="C17" s="1336">
        <f>SUBTOTAL(103,$D$5:D17)</f>
        <v>12</v>
      </c>
      <c r="D17" s="1459" t="str">
        <f>'DG-PV Organic'!B15</f>
        <v>Jeonjin Tech</v>
      </c>
      <c r="E17" s="1337" t="s">
        <v>593</v>
      </c>
      <c r="F17" s="1338" t="s">
        <v>594</v>
      </c>
      <c r="G17" s="1338" t="str">
        <f>+'DG-PV Organic'!F15</f>
        <v>Bolt Taeyanggwang 7HO</v>
      </c>
      <c r="H17" s="1338" t="s">
        <v>2076</v>
      </c>
      <c r="I17" s="1338" t="s">
        <v>2083</v>
      </c>
      <c r="J17" s="1338" t="s">
        <v>595</v>
      </c>
      <c r="K17" s="1339" t="s">
        <v>531</v>
      </c>
      <c r="L17" s="1340">
        <f>'DG-PV Organic'!K15</f>
        <v>229.36</v>
      </c>
      <c r="M17" s="1341" t="str">
        <f>'DG-PV Organic'!G15</f>
        <v>B-</v>
      </c>
      <c r="N17" s="1341" t="s">
        <v>515</v>
      </c>
      <c r="O17" s="1342">
        <f>'DG-PV Organic'!O15</f>
        <v>160</v>
      </c>
      <c r="P17" s="1336">
        <f>'DG-PV Organic'!L15</f>
        <v>1422</v>
      </c>
      <c r="Q17" s="1343">
        <f t="shared" si="10"/>
        <v>3.8958904109589043</v>
      </c>
      <c r="R17" s="1344">
        <f>'DG-PV Organic'!H15</f>
        <v>9.0700000000000003E-2</v>
      </c>
      <c r="S17" s="1345">
        <f>'DG-PV Organic'!Q15</f>
        <v>45910</v>
      </c>
      <c r="T17" s="1345">
        <f t="shared" si="1"/>
        <v>46091</v>
      </c>
      <c r="U17" s="1346">
        <f>'DG-PV Organic'!AJ15/1000*1.1</f>
        <v>35200</v>
      </c>
      <c r="V17" s="1346">
        <f>'DG-PV Organic'!AK15/1000*1.1</f>
        <v>52800.000000000007</v>
      </c>
      <c r="W17" s="1346">
        <f t="shared" si="8"/>
        <v>88000</v>
      </c>
      <c r="X17" s="1347">
        <f t="shared" si="7"/>
        <v>550000</v>
      </c>
      <c r="Y17" s="1347">
        <f>'DG-PV Organic'!AL15/1000*1.1</f>
        <v>184800.00000000003</v>
      </c>
      <c r="Z17" s="1348">
        <f>65000</f>
        <v>65000</v>
      </c>
      <c r="AA17" s="1349">
        <f>'DG-PV Organic'!AI15</f>
        <v>32000000</v>
      </c>
      <c r="AB17" s="1354"/>
      <c r="AC17" s="1355">
        <v>165440</v>
      </c>
      <c r="AD17" s="1351" t="b">
        <f t="shared" si="2"/>
        <v>0</v>
      </c>
      <c r="AE17" s="1352" t="b">
        <f t="shared" si="9"/>
        <v>0</v>
      </c>
      <c r="AF17" s="1356">
        <v>300.08</v>
      </c>
    </row>
    <row r="18" spans="1:36" s="1331" customFormat="1" outlineLevel="2">
      <c r="A18" s="1334"/>
      <c r="B18" s="1335"/>
      <c r="C18" s="1336">
        <f>SUBTOTAL(103,$D$5:D18)</f>
        <v>13</v>
      </c>
      <c r="D18" s="1459" t="str">
        <f>'DG-PV Organic'!B16</f>
        <v>Fine Precision Industrial</v>
      </c>
      <c r="E18" s="1337" t="s">
        <v>2084</v>
      </c>
      <c r="F18" s="1338" t="s">
        <v>2085</v>
      </c>
      <c r="G18" s="1338" t="str">
        <f>+'DG-PV Organic'!F16</f>
        <v>Bolt Taeyanggwang 7HO</v>
      </c>
      <c r="H18" s="1338" t="s">
        <v>2076</v>
      </c>
      <c r="I18" s="1338" t="s">
        <v>2083</v>
      </c>
      <c r="J18" s="1338" t="s">
        <v>601</v>
      </c>
      <c r="K18" s="1339" t="s">
        <v>514</v>
      </c>
      <c r="L18" s="1340">
        <f>'DG-PV Organic'!K16</f>
        <v>358.32</v>
      </c>
      <c r="M18" s="1341" t="str">
        <f>'DG-PV Organic'!G16</f>
        <v>B+</v>
      </c>
      <c r="N18" s="1341" t="s">
        <v>515</v>
      </c>
      <c r="O18" s="1342">
        <f>'DG-PV Organic'!O16</f>
        <v>247.04</v>
      </c>
      <c r="P18" s="1336">
        <f>'DG-PV Organic'!L16</f>
        <v>1458</v>
      </c>
      <c r="Q18" s="1343">
        <f t="shared" si="10"/>
        <v>3.9945205479452053</v>
      </c>
      <c r="R18" s="1344">
        <f>'DG-PV Organic'!H16</f>
        <v>9.4299999999999995E-2</v>
      </c>
      <c r="S18" s="1345">
        <f>'DG-PV Organic'!Q16</f>
        <v>45910</v>
      </c>
      <c r="T18" s="1345">
        <f t="shared" si="1"/>
        <v>46091</v>
      </c>
      <c r="U18" s="1355">
        <f>'DG-PV Organic'!AJ16/1000*1.1</f>
        <v>54348.800000000003</v>
      </c>
      <c r="V18" s="1355">
        <f>'DG-PV Organic'!AK16/1000*1.1</f>
        <v>81523.200000000012</v>
      </c>
      <c r="W18" s="1355">
        <f t="shared" si="8"/>
        <v>135872</v>
      </c>
      <c r="X18" s="1357">
        <f t="shared" si="7"/>
        <v>550000</v>
      </c>
      <c r="Y18" s="1357">
        <f>'DG-PV Organic'!AL16/1000*1.1</f>
        <v>285331.20000000001</v>
      </c>
      <c r="Z18" s="1348">
        <f>65000</f>
        <v>65000</v>
      </c>
      <c r="AA18" s="1349">
        <f>'DG-PV Organic'!AI16</f>
        <v>49408000</v>
      </c>
      <c r="AC18" s="1355">
        <v>88000</v>
      </c>
      <c r="AD18" s="1351" t="b">
        <f t="shared" si="2"/>
        <v>0</v>
      </c>
      <c r="AE18" s="1352" t="b">
        <f t="shared" si="9"/>
        <v>0</v>
      </c>
      <c r="AF18" s="1356">
        <v>160</v>
      </c>
    </row>
    <row r="19" spans="1:36" ht="17.25" outlineLevel="2" thickBot="1">
      <c r="A19" s="1138"/>
      <c r="B19" s="1139"/>
      <c r="C19" s="1140">
        <f>SUBTOTAL(103,$D$5:D19)</f>
        <v>14</v>
      </c>
      <c r="D19" s="1141" t="s">
        <v>2086</v>
      </c>
      <c r="E19" s="1142" t="s">
        <v>2087</v>
      </c>
      <c r="F19" s="1143" t="s">
        <v>2088</v>
      </c>
      <c r="G19" s="1143" t="str">
        <f>+'DG-PV Organic'!F17</f>
        <v>Bolt Taeyanggwang 6HO</v>
      </c>
      <c r="H19" s="1143" t="s">
        <v>2076</v>
      </c>
      <c r="I19" s="1143" t="str">
        <f>+[8]국문법인현황!$H$15</f>
        <v>096337-04-011223</v>
      </c>
      <c r="J19" s="1144" t="s">
        <v>2089</v>
      </c>
      <c r="K19" s="1145" t="s">
        <v>541</v>
      </c>
      <c r="L19" s="1146">
        <f>'DG-PV Organic'!K17</f>
        <v>300.48599999999999</v>
      </c>
      <c r="M19" s="1147" t="str">
        <f>'DG-PV Organic'!G17</f>
        <v>B+</v>
      </c>
      <c r="N19" s="1147" t="s">
        <v>515</v>
      </c>
      <c r="O19" s="1148">
        <f>'DG-PV Organic'!O17</f>
        <v>150</v>
      </c>
      <c r="P19" s="1140">
        <f>'DG-PV Organic'!L17</f>
        <v>1420</v>
      </c>
      <c r="Q19" s="1149">
        <f>P19/365</f>
        <v>3.8904109589041096</v>
      </c>
      <c r="R19" s="1150">
        <f>'DG-PV Organic'!H17</f>
        <v>8.9200000000000002E-2</v>
      </c>
      <c r="S19" s="1151">
        <f>'DG-PV Organic'!Q17</f>
        <v>45999</v>
      </c>
      <c r="T19" s="1151">
        <f>+EDATE(S19,6)</f>
        <v>46181</v>
      </c>
      <c r="U19" s="1152">
        <f>'DG-PV Organic'!AJ17/1000*1.1</f>
        <v>33000</v>
      </c>
      <c r="V19" s="1153">
        <f>'DG-PV Organic'!AK17/1000*1.1</f>
        <v>49500.000000000007</v>
      </c>
      <c r="W19" s="1153">
        <f t="shared" si="8"/>
        <v>82500</v>
      </c>
      <c r="X19" s="1153">
        <f t="shared" si="7"/>
        <v>550000</v>
      </c>
      <c r="Y19" s="1153">
        <f>'DG-PV Organic'!AL17/1000*1.1</f>
        <v>173250</v>
      </c>
      <c r="Z19" s="1154">
        <f>65000</f>
        <v>65000</v>
      </c>
      <c r="AA19" s="573">
        <f>'DG-PV Organic'!AI17</f>
        <v>30000000</v>
      </c>
      <c r="AB19" s="846"/>
      <c r="AC19" s="1082">
        <v>135872</v>
      </c>
      <c r="AD19" s="716" t="b">
        <f t="shared" si="2"/>
        <v>0</v>
      </c>
      <c r="AE19" t="b">
        <f t="shared" si="9"/>
        <v>0</v>
      </c>
      <c r="AF19" s="1084">
        <v>247.04</v>
      </c>
      <c r="AG19" s="272"/>
      <c r="AH19" s="272"/>
      <c r="AI19" s="272"/>
      <c r="AJ19" s="272"/>
    </row>
    <row r="20" spans="1:36" ht="16.5" customHeight="1" outlineLevel="1" thickTop="1">
      <c r="A20" s="2923" t="s">
        <v>2090</v>
      </c>
      <c r="B20" s="2924"/>
      <c r="C20" s="793"/>
      <c r="D20" s="796"/>
      <c r="E20" s="780"/>
      <c r="F20" s="781"/>
      <c r="G20" s="781"/>
      <c r="H20" s="781"/>
      <c r="I20" s="781"/>
      <c r="J20" s="782"/>
      <c r="K20" s="1026"/>
      <c r="L20" s="790"/>
      <c r="M20" s="799"/>
      <c r="N20" s="799"/>
      <c r="O20" s="1448">
        <f>SUM(O23:O30,O32:O40)</f>
        <v>9994.1149999999998</v>
      </c>
      <c r="P20" s="793"/>
      <c r="Q20" s="783"/>
      <c r="R20" s="803"/>
      <c r="S20" s="806"/>
      <c r="T20" s="806"/>
      <c r="U20" s="1118"/>
      <c r="V20" s="1076"/>
      <c r="W20" s="1242"/>
      <c r="X20" s="1242"/>
      <c r="Y20" s="1243"/>
      <c r="Z20" s="1124"/>
      <c r="AA20" s="492"/>
      <c r="AB20" s="272"/>
      <c r="AC20" s="272"/>
      <c r="AD20" s="272"/>
      <c r="AE20" s="272"/>
      <c r="AF20" s="272"/>
      <c r="AG20" s="272"/>
      <c r="AH20" s="272"/>
      <c r="AI20" s="272"/>
      <c r="AJ20" s="272"/>
    </row>
    <row r="21" spans="1:36" ht="16.5" customHeight="1" outlineLevel="1">
      <c r="A21" s="2925" t="s">
        <v>2091</v>
      </c>
      <c r="B21" s="2926"/>
      <c r="C21" s="793"/>
      <c r="D21" s="796"/>
      <c r="E21" s="780"/>
      <c r="F21" s="781"/>
      <c r="G21" s="781"/>
      <c r="H21" s="781"/>
      <c r="I21" s="781"/>
      <c r="J21" s="782"/>
      <c r="K21" s="1026"/>
      <c r="L21" s="790"/>
      <c r="M21" s="799"/>
      <c r="N21" s="799"/>
      <c r="O21" s="1127"/>
      <c r="P21" s="793"/>
      <c r="Q21" s="783"/>
      <c r="R21" s="1206">
        <f>AVERAGE(R23:R40)</f>
        <v>8.9494444444444446E-2</v>
      </c>
      <c r="S21" s="806"/>
      <c r="T21" s="806"/>
      <c r="U21" s="1118"/>
      <c r="V21" s="1076"/>
      <c r="W21" s="1076"/>
      <c r="X21" s="1076"/>
      <c r="Y21" s="1244"/>
      <c r="Z21" s="1124"/>
      <c r="AA21" s="492"/>
      <c r="AB21" s="272"/>
      <c r="AC21" s="272"/>
      <c r="AD21" s="272"/>
      <c r="AE21" s="272"/>
      <c r="AF21" s="272"/>
      <c r="AG21" s="272"/>
      <c r="AH21" s="272"/>
      <c r="AI21" s="272"/>
      <c r="AJ21" s="272"/>
    </row>
    <row r="22" spans="1:36" ht="16.5" customHeight="1" outlineLevel="1">
      <c r="A22" s="2927" t="s">
        <v>2092</v>
      </c>
      <c r="B22" s="2928"/>
      <c r="C22" s="1245"/>
      <c r="D22" s="1246"/>
      <c r="E22" s="591"/>
      <c r="F22" s="987"/>
      <c r="G22" s="987"/>
      <c r="H22" s="987"/>
      <c r="I22" s="987"/>
      <c r="J22" s="988"/>
      <c r="K22" s="1247"/>
      <c r="L22" s="1248"/>
      <c r="M22" s="1249"/>
      <c r="N22" s="1249"/>
      <c r="O22" s="1250"/>
      <c r="P22" s="1245"/>
      <c r="Q22" s="1251"/>
      <c r="R22" s="1252"/>
      <c r="S22" s="1253"/>
      <c r="T22" s="1253"/>
      <c r="U22" s="1254"/>
      <c r="V22" s="1255"/>
      <c r="W22" s="2929" t="s">
        <v>2093</v>
      </c>
      <c r="X22" s="2930"/>
      <c r="Y22" s="2960"/>
      <c r="Z22" s="1256"/>
      <c r="AA22" s="492"/>
      <c r="AB22" s="1171">
        <v>1470</v>
      </c>
      <c r="AC22" s="272"/>
      <c r="AD22" s="272"/>
      <c r="AE22" s="272"/>
      <c r="AF22" s="272"/>
      <c r="AG22" s="272"/>
      <c r="AH22" s="272"/>
      <c r="AI22" s="272"/>
      <c r="AJ22" s="272"/>
    </row>
    <row r="23" spans="1:36" ht="16.5" customHeight="1" outlineLevel="1">
      <c r="A23" s="1162"/>
      <c r="B23" s="1257"/>
      <c r="C23" s="840">
        <f>SUBTOTAL(103,$D$23:J23)</f>
        <v>4</v>
      </c>
      <c r="D23" s="833" t="s">
        <v>1892</v>
      </c>
      <c r="E23" s="834"/>
      <c r="F23" s="835"/>
      <c r="G23" s="1454" t="s">
        <v>582</v>
      </c>
      <c r="H23" s="835" t="s">
        <v>2063</v>
      </c>
      <c r="I23" s="1454" t="s">
        <v>2094</v>
      </c>
      <c r="J23" s="836"/>
      <c r="K23" s="1026" t="str">
        <f>'DG-PV Organic'!X18</f>
        <v>Gyeongsangbuk-do</v>
      </c>
      <c r="L23" s="837"/>
      <c r="M23" s="838" t="s">
        <v>523</v>
      </c>
      <c r="N23" s="838" t="s">
        <v>515</v>
      </c>
      <c r="O23" s="1258">
        <f>'DG-PV Organic'!O18</f>
        <v>351.15499999999997</v>
      </c>
      <c r="P23" s="840">
        <v>1399</v>
      </c>
      <c r="Q23" s="841">
        <v>3.8328767123287673</v>
      </c>
      <c r="R23" s="842">
        <v>8.7900000000000006E-2</v>
      </c>
      <c r="S23" s="1259">
        <f>'DG-PV Organic'!Q18</f>
        <v>45962</v>
      </c>
      <c r="T23" s="1260">
        <f t="shared" ref="T23:T40" si="11">+EDATE(S23,6)</f>
        <v>46143</v>
      </c>
      <c r="U23" s="1261">
        <f>'DG-PV Organic'!AJ18*1.1/1000</f>
        <v>77254.100000000006</v>
      </c>
      <c r="V23" s="1261">
        <f>'DG-PV Organic'!AK18*1.1/1000</f>
        <v>115881.15</v>
      </c>
      <c r="W23" s="1262">
        <f t="shared" ref="W23:W32" si="12">SUM(U23:V23)</f>
        <v>193135.25</v>
      </c>
      <c r="X23" s="1262">
        <f>W23/O23*1000/1.1</f>
        <v>499999.99999999994</v>
      </c>
      <c r="Y23" s="1263">
        <f>'DG-PV Organic'!AL18/1000*1.1</f>
        <v>405584.02500000002</v>
      </c>
      <c r="Z23" s="1263">
        <v>65000</v>
      </c>
      <c r="AA23" s="492"/>
      <c r="AB23" s="1219">
        <f>SUM(W23:W40)*1000</f>
        <v>5559846050.000001</v>
      </c>
      <c r="AC23" s="1220" t="s">
        <v>2095</v>
      </c>
      <c r="AD23" s="753">
        <f>+P23*O23</f>
        <v>491265.84499999997</v>
      </c>
      <c r="AE23" s="272"/>
      <c r="AF23" s="1283">
        <f>+SUM(O23:O33)</f>
        <v>7940.6750000000002</v>
      </c>
      <c r="AG23" s="1283"/>
      <c r="AH23" s="1283">
        <v>500000000</v>
      </c>
      <c r="AI23" s="1283">
        <f>+AF23*AH23</f>
        <v>3970337500000</v>
      </c>
      <c r="AJ23" s="1282"/>
    </row>
    <row r="24" spans="1:36" ht="16.5" customHeight="1" outlineLevel="1">
      <c r="A24" s="785"/>
      <c r="B24" s="787"/>
      <c r="C24" s="793">
        <f>SUBTOTAL(103,$D$23:J24)</f>
        <v>8</v>
      </c>
      <c r="D24" s="797" t="str">
        <f>'DG-PV Organic'!B19</f>
        <v>Seun Steel Gyeongju</v>
      </c>
      <c r="E24" s="770"/>
      <c r="F24" s="771"/>
      <c r="G24" s="1455" t="s">
        <v>582</v>
      </c>
      <c r="H24" s="771" t="s">
        <v>2076</v>
      </c>
      <c r="I24" s="1455" t="s">
        <v>2096</v>
      </c>
      <c r="J24" s="772"/>
      <c r="K24" s="1026" t="str">
        <f>'DG-PV Organic'!X19</f>
        <v>Gyeongsangbuk-do</v>
      </c>
      <c r="L24" s="791"/>
      <c r="M24" s="800" t="str">
        <f>'DG-PV Organic'!G19</f>
        <v>BB-</v>
      </c>
      <c r="N24" s="800" t="s">
        <v>515</v>
      </c>
      <c r="O24" s="1224">
        <f>'DG-PV Organic'!O19</f>
        <v>709.29499999999996</v>
      </c>
      <c r="P24" s="794">
        <f>'DG-PV Organic'!L19</f>
        <v>1389</v>
      </c>
      <c r="Q24" s="773">
        <f t="shared" ref="Q24:Q34" si="13">P24/365</f>
        <v>3.8054794520547945</v>
      </c>
      <c r="R24" s="804">
        <f>'DG-PV Organic'!H19</f>
        <v>8.6999999999999994E-2</v>
      </c>
      <c r="S24" s="1207">
        <f>'DG-PV Organic'!Q19</f>
        <v>45962</v>
      </c>
      <c r="T24" s="1239">
        <f t="shared" si="11"/>
        <v>46143</v>
      </c>
      <c r="U24" s="1166">
        <f>'DG-PV Organic'!AJ19*1.1/1000</f>
        <v>156044.9</v>
      </c>
      <c r="V24" s="1166">
        <f>'DG-PV Organic'!AK19*1.1/1000</f>
        <v>234067.35000000003</v>
      </c>
      <c r="W24" s="1167">
        <f t="shared" si="12"/>
        <v>390112.25</v>
      </c>
      <c r="X24" s="1167">
        <f t="shared" ref="X24:X40" si="14">W24/O24*1000/1.1</f>
        <v>499999.99999999994</v>
      </c>
      <c r="Y24" s="1168">
        <f>'DG-PV Organic'!AL19/1000*1.1</f>
        <v>819235.72500000009</v>
      </c>
      <c r="Z24" s="1168">
        <f>65000</f>
        <v>65000</v>
      </c>
      <c r="AA24" s="492"/>
      <c r="AB24" s="1221">
        <f>AB23/AB22</f>
        <v>3782208.1972789122</v>
      </c>
      <c r="AC24" s="1222" t="s">
        <v>2097</v>
      </c>
      <c r="AD24" s="753">
        <f t="shared" ref="AD24:AD40" si="15">+P24*O24</f>
        <v>985210.75499999989</v>
      </c>
      <c r="AE24" s="272"/>
      <c r="AF24" s="1283">
        <f>+SUM(O34:O40)</f>
        <v>2409.04</v>
      </c>
      <c r="AG24" s="1283">
        <f>+AF24+AF23</f>
        <v>10349.715</v>
      </c>
      <c r="AH24" s="1283">
        <v>450000000</v>
      </c>
      <c r="AI24" s="1283">
        <f>+AF24*AH24</f>
        <v>1084068000000</v>
      </c>
      <c r="AJ24" s="1282"/>
    </row>
    <row r="25" spans="1:36" ht="16.5" customHeight="1" outlineLevel="1">
      <c r="A25" s="785"/>
      <c r="B25" s="787"/>
      <c r="C25" s="793">
        <f>SUBTOTAL(103,$D$23:J25)</f>
        <v>12</v>
      </c>
      <c r="D25" s="797" t="str">
        <f>'DG-PV Organic'!B20</f>
        <v xml:space="preserve">Tyson Foods Korea </v>
      </c>
      <c r="E25" s="770"/>
      <c r="F25" s="771"/>
      <c r="G25" s="1455" t="s">
        <v>582</v>
      </c>
      <c r="H25" s="771" t="s">
        <v>2076</v>
      </c>
      <c r="I25" s="1455" t="s">
        <v>2096</v>
      </c>
      <c r="J25" s="772"/>
      <c r="K25" s="1026" t="str">
        <f>'DG-PV Organic'!X20</f>
        <v>Sejong</v>
      </c>
      <c r="L25" s="791"/>
      <c r="M25" s="800" t="str">
        <f>'DG-PV Organic'!G20</f>
        <v>BBB0</v>
      </c>
      <c r="N25" s="800" t="s">
        <v>515</v>
      </c>
      <c r="O25" s="1224">
        <f>'DG-PV Organic'!O20</f>
        <v>650.24</v>
      </c>
      <c r="P25" s="794">
        <f>'DG-PV Organic'!L20</f>
        <v>1434</v>
      </c>
      <c r="Q25" s="773">
        <f t="shared" ref="Q25:Q30" si="16">P25/365</f>
        <v>3.9287671232876713</v>
      </c>
      <c r="R25" s="804">
        <f>'DG-PV Organic'!H20</f>
        <v>9.1600000000000001E-2</v>
      </c>
      <c r="S25" s="1207">
        <f>'DG-PV Organic'!Q20</f>
        <v>45962</v>
      </c>
      <c r="T25" s="1239">
        <f t="shared" ref="T25:T30" si="17">+EDATE(S25,6)</f>
        <v>46143</v>
      </c>
      <c r="U25" s="1166">
        <f>'DG-PV Organic'!AJ20*1.1/1000</f>
        <v>143052.79999999999</v>
      </c>
      <c r="V25" s="1166">
        <f>'DG-PV Organic'!AK20*1.1/1000</f>
        <v>214579.20000000004</v>
      </c>
      <c r="W25" s="1167">
        <f t="shared" ref="W25:W30" si="18">SUM(U25:V25)</f>
        <v>357632</v>
      </c>
      <c r="X25" s="1167">
        <f t="shared" si="14"/>
        <v>499999.99999999994</v>
      </c>
      <c r="Y25" s="1168">
        <f>'DG-PV Organic'!AL20/1000*1.1</f>
        <v>751027.20000000007</v>
      </c>
      <c r="Z25" s="1168">
        <f>65000</f>
        <v>65000</v>
      </c>
      <c r="AA25" s="492"/>
      <c r="AB25" s="272"/>
      <c r="AC25" s="75"/>
      <c r="AD25" s="753">
        <f t="shared" si="15"/>
        <v>932444.16000000003</v>
      </c>
      <c r="AE25" s="272"/>
      <c r="AF25" s="1283">
        <f>+AF23+AF24</f>
        <v>10349.715</v>
      </c>
      <c r="AG25" s="1283"/>
      <c r="AH25" s="1283"/>
      <c r="AI25" s="1283">
        <f>+AI23+AI24</f>
        <v>5054405500000</v>
      </c>
      <c r="AJ25" s="1281">
        <f>+AI25/AF25</f>
        <v>488361805.13183212</v>
      </c>
    </row>
    <row r="26" spans="1:36" ht="16.5" customHeight="1" outlineLevel="1">
      <c r="A26" s="785"/>
      <c r="B26" s="787"/>
      <c r="C26" s="793">
        <f>SUBTOTAL(103,$D$23:J26)</f>
        <v>16</v>
      </c>
      <c r="D26" s="797" t="str">
        <f>'DG-PV Organic'!B21</f>
        <v>MPM Trade</v>
      </c>
      <c r="E26" s="770"/>
      <c r="F26" s="771"/>
      <c r="G26" s="1455" t="s">
        <v>512</v>
      </c>
      <c r="H26" s="771" t="s">
        <v>2076</v>
      </c>
      <c r="I26" s="1455" t="str">
        <f>+[8]국문법인현황!$I$15</f>
        <v>096301-04-103343</v>
      </c>
      <c r="J26" s="772"/>
      <c r="K26" s="1026" t="str">
        <f>'DG-PV Organic'!X21</f>
        <v>Gyeonggi-do</v>
      </c>
      <c r="L26" s="791"/>
      <c r="M26" s="800" t="str">
        <f>'DG-PV Organic'!G21</f>
        <v>B+</v>
      </c>
      <c r="N26" s="800" t="s">
        <v>515</v>
      </c>
      <c r="O26" s="1224">
        <f>'DG-PV Organic'!O21</f>
        <v>210.82</v>
      </c>
      <c r="P26" s="794">
        <f>'DG-PV Organic'!L21</f>
        <v>1453</v>
      </c>
      <c r="Q26" s="773">
        <f t="shared" si="16"/>
        <v>3.9808219178082194</v>
      </c>
      <c r="R26" s="804">
        <f>'DG-PV Organic'!H21</f>
        <v>9.3399999999999997E-2</v>
      </c>
      <c r="S26" s="1207">
        <f>'DG-PV Organic'!Q21</f>
        <v>45962</v>
      </c>
      <c r="T26" s="1239">
        <f t="shared" si="17"/>
        <v>46143</v>
      </c>
      <c r="U26" s="1166">
        <f>'DG-PV Organic'!AJ21*1.1/1000</f>
        <v>46380.400000000009</v>
      </c>
      <c r="V26" s="1166">
        <f>'DG-PV Organic'!AK21*1.1/1000</f>
        <v>69570.600000000006</v>
      </c>
      <c r="W26" s="1167">
        <f t="shared" si="18"/>
        <v>115951.00000000001</v>
      </c>
      <c r="X26" s="1167">
        <f t="shared" si="14"/>
        <v>500000.00000000006</v>
      </c>
      <c r="Y26" s="1168">
        <f>'DG-PV Organic'!AL21/1000*1.1</f>
        <v>243497.1</v>
      </c>
      <c r="Z26" s="1168">
        <f>65000</f>
        <v>65000</v>
      </c>
      <c r="AA26" s="492"/>
      <c r="AB26" s="1219">
        <f>SUM(Y23:Y40)*1000</f>
        <v>11953920825.000004</v>
      </c>
      <c r="AC26" s="1220" t="s">
        <v>2098</v>
      </c>
      <c r="AD26" s="753">
        <f t="shared" si="15"/>
        <v>306321.45999999996</v>
      </c>
      <c r="AE26" s="272"/>
      <c r="AF26" s="272"/>
      <c r="AG26" s="272"/>
      <c r="AH26" s="272"/>
      <c r="AI26" s="272"/>
      <c r="AJ26" s="272"/>
    </row>
    <row r="27" spans="1:36" ht="16.5" customHeight="1" outlineLevel="1">
      <c r="A27" s="785"/>
      <c r="B27" s="272"/>
      <c r="C27" s="793">
        <f>SUBTOTAL(103,$D$23:J27)</f>
        <v>20</v>
      </c>
      <c r="D27" s="797" t="str">
        <f>'DG-PV Organic'!B22</f>
        <v xml:space="preserve">Oneel </v>
      </c>
      <c r="E27" s="770"/>
      <c r="F27" s="771"/>
      <c r="G27" s="1455" t="s">
        <v>582</v>
      </c>
      <c r="H27" s="771" t="s">
        <v>2076</v>
      </c>
      <c r="I27" s="1455" t="s">
        <v>2096</v>
      </c>
      <c r="J27" s="772"/>
      <c r="K27" s="1026" t="str">
        <f>'DG-PV Organic'!X22</f>
        <v>Gyeongsangnam-do</v>
      </c>
      <c r="L27" s="791"/>
      <c r="M27" s="800" t="str">
        <f>'DG-PV Organic'!G22</f>
        <v>BBB</v>
      </c>
      <c r="N27" s="800" t="s">
        <v>515</v>
      </c>
      <c r="O27" s="1224">
        <f>'DG-PV Organic'!O22</f>
        <v>522.60500000000002</v>
      </c>
      <c r="P27" s="794">
        <f>'DG-PV Organic'!L22</f>
        <v>1373</v>
      </c>
      <c r="Q27" s="773">
        <f t="shared" si="16"/>
        <v>3.7616438356164386</v>
      </c>
      <c r="R27" s="804">
        <f>'DG-PV Organic'!H22</f>
        <v>8.5500000000000007E-2</v>
      </c>
      <c r="S27" s="1207">
        <f>'DG-PV Organic'!Q22</f>
        <v>45962</v>
      </c>
      <c r="T27" s="1239">
        <f t="shared" si="17"/>
        <v>46143</v>
      </c>
      <c r="U27" s="1166">
        <f>'DG-PV Organic'!AJ22*1.1/1000</f>
        <v>114973.10000000002</v>
      </c>
      <c r="V27" s="1166">
        <f>'DG-PV Organic'!AK22*1.1/1000</f>
        <v>172459.65</v>
      </c>
      <c r="W27" s="1167">
        <f t="shared" si="18"/>
        <v>287432.75</v>
      </c>
      <c r="X27" s="1167">
        <f t="shared" si="14"/>
        <v>499999.99999999994</v>
      </c>
      <c r="Y27" s="1168">
        <f>'DG-PV Organic'!AL22/1000*1.1</f>
        <v>603608.77500000002</v>
      </c>
      <c r="Z27" s="1168">
        <f>65000</f>
        <v>65000</v>
      </c>
      <c r="AA27" s="492"/>
      <c r="AB27" s="1221">
        <f>AB26/AB22</f>
        <v>8131918.928571431</v>
      </c>
      <c r="AC27" s="1222" t="s">
        <v>2099</v>
      </c>
      <c r="AD27" s="753">
        <f t="shared" si="15"/>
        <v>717536.66500000004</v>
      </c>
      <c r="AE27" s="272"/>
      <c r="AF27" s="272"/>
      <c r="AG27" s="272"/>
      <c r="AH27" s="272"/>
      <c r="AI27" s="272"/>
      <c r="AJ27" s="272"/>
    </row>
    <row r="28" spans="1:36" ht="16.5" customHeight="1" outlineLevel="1">
      <c r="A28" s="785"/>
      <c r="B28" s="272"/>
      <c r="C28" s="793">
        <f>SUBTOTAL(103,$D$23:J28)</f>
        <v>24</v>
      </c>
      <c r="D28" s="797" t="str">
        <f>'DG-PV Organic'!B23</f>
        <v>BNB Composite</v>
      </c>
      <c r="E28" s="770"/>
      <c r="F28" s="771"/>
      <c r="G28" s="1455" t="s">
        <v>582</v>
      </c>
      <c r="H28" s="771" t="s">
        <v>2076</v>
      </c>
      <c r="I28" s="1455" t="s">
        <v>2096</v>
      </c>
      <c r="J28" s="772"/>
      <c r="K28" s="1026" t="str">
        <f>'DG-PV Organic'!X23</f>
        <v>Gyeongsangnam-do</v>
      </c>
      <c r="L28" s="791"/>
      <c r="M28" s="800" t="str">
        <f>'DG-PV Organic'!G23</f>
        <v>BB-</v>
      </c>
      <c r="N28" s="800" t="s">
        <v>515</v>
      </c>
      <c r="O28" s="1224">
        <f>'DG-PV Organic'!O23</f>
        <v>243.84</v>
      </c>
      <c r="P28" s="794">
        <f>'DG-PV Organic'!L23</f>
        <v>1388</v>
      </c>
      <c r="Q28" s="773">
        <f t="shared" si="16"/>
        <v>3.8027397260273972</v>
      </c>
      <c r="R28" s="804">
        <f>'DG-PV Organic'!H23</f>
        <v>8.72E-2</v>
      </c>
      <c r="S28" s="1207">
        <f>'DG-PV Organic'!Q23</f>
        <v>45992</v>
      </c>
      <c r="T28" s="1239">
        <f t="shared" si="17"/>
        <v>46174</v>
      </c>
      <c r="U28" s="1166">
        <f>'DG-PV Organic'!AJ23*1.1/1000</f>
        <v>53644.80000000001</v>
      </c>
      <c r="V28" s="1166">
        <f>'DG-PV Organic'!AK23*1.1/1000</f>
        <v>80467.199999999997</v>
      </c>
      <c r="W28" s="1167">
        <f t="shared" si="18"/>
        <v>134112</v>
      </c>
      <c r="X28" s="1167">
        <f t="shared" si="14"/>
        <v>499999.99999999994</v>
      </c>
      <c r="Y28" s="1168">
        <f>'DG-PV Organic'!AL23/1000*1.1</f>
        <v>281635.20000000001</v>
      </c>
      <c r="Z28" s="1168">
        <f>65000</f>
        <v>65000</v>
      </c>
      <c r="AA28" s="492"/>
      <c r="AB28" s="1219">
        <f>AI25</f>
        <v>5054405500000</v>
      </c>
      <c r="AC28" s="1220" t="s">
        <v>2100</v>
      </c>
      <c r="AD28" s="753">
        <f t="shared" si="15"/>
        <v>338449.91999999998</v>
      </c>
      <c r="AE28" s="272"/>
      <c r="AF28" s="272"/>
      <c r="AG28" s="272"/>
      <c r="AH28" s="272"/>
      <c r="AI28" s="272"/>
      <c r="AJ28" s="272"/>
    </row>
    <row r="29" spans="1:36" ht="16.5" customHeight="1" outlineLevel="1">
      <c r="A29" s="1461"/>
      <c r="B29" s="2959" t="str">
        <f>"DG Batch 2
18 PJTs"</f>
        <v>DG Batch 2
18 PJTs</v>
      </c>
      <c r="C29" s="793">
        <f>SUBTOTAL(103,$D$23:J29)</f>
        <v>28</v>
      </c>
      <c r="D29" s="797" t="str">
        <f>'DG-PV Organic'!B24</f>
        <v xml:space="preserve">Sammi </v>
      </c>
      <c r="E29" s="770"/>
      <c r="F29" s="771"/>
      <c r="G29" s="1455" t="s">
        <v>582</v>
      </c>
      <c r="H29" s="771" t="s">
        <v>2076</v>
      </c>
      <c r="I29" s="1455" t="s">
        <v>2096</v>
      </c>
      <c r="J29" s="772"/>
      <c r="K29" s="1026" t="str">
        <f>'DG-PV Organic'!X24</f>
        <v>Incheon</v>
      </c>
      <c r="L29" s="791"/>
      <c r="M29" s="800" t="str">
        <f>'DG-PV Organic'!G24</f>
        <v>BBB-</v>
      </c>
      <c r="N29" s="800" t="s">
        <v>515</v>
      </c>
      <c r="O29" s="1224">
        <f>'DG-PV Organic'!O24</f>
        <v>2743.2</v>
      </c>
      <c r="P29" s="794">
        <f>'DG-PV Organic'!L24</f>
        <v>1415</v>
      </c>
      <c r="Q29" s="773">
        <f t="shared" si="16"/>
        <v>3.8767123287671232</v>
      </c>
      <c r="R29" s="804">
        <f>'DG-PV Organic'!H24</f>
        <v>8.8599999999999998E-2</v>
      </c>
      <c r="S29" s="1207">
        <f>'DG-PV Organic'!Q24</f>
        <v>45992</v>
      </c>
      <c r="T29" s="1239">
        <f t="shared" si="17"/>
        <v>46174</v>
      </c>
      <c r="U29" s="1166">
        <f>'DG-PV Organic'!AJ24*1.1/1000</f>
        <v>603503.99999999988</v>
      </c>
      <c r="V29" s="1166">
        <f>'DG-PV Organic'!AK24*1.1/1000</f>
        <v>905256.00000000012</v>
      </c>
      <c r="W29" s="1167">
        <f t="shared" si="18"/>
        <v>1508760</v>
      </c>
      <c r="X29" s="1167">
        <f t="shared" si="14"/>
        <v>499999.99999999994</v>
      </c>
      <c r="Y29" s="1168">
        <f>'DG-PV Organic'!AL24/1000*1.1</f>
        <v>3168396.0000000005</v>
      </c>
      <c r="Z29" s="1168">
        <f>65000</f>
        <v>65000</v>
      </c>
      <c r="AA29" s="492"/>
      <c r="AB29" s="1221">
        <f>AB28/AB22</f>
        <v>3438371088.4353743</v>
      </c>
      <c r="AC29" s="1222" t="s">
        <v>2101</v>
      </c>
      <c r="AD29" s="753">
        <f t="shared" si="15"/>
        <v>3881627.9999999995</v>
      </c>
      <c r="AE29" s="272"/>
      <c r="AF29" s="272"/>
      <c r="AG29" s="272"/>
      <c r="AH29" s="272"/>
      <c r="AI29" s="272"/>
      <c r="AJ29" s="272"/>
    </row>
    <row r="30" spans="1:36" ht="16.5" customHeight="1" outlineLevel="1">
      <c r="A30" s="786" t="s">
        <v>2102</v>
      </c>
      <c r="B30" s="2959"/>
      <c r="C30" s="793">
        <f>SUBTOTAL(103,$D$23:J30)</f>
        <v>32</v>
      </c>
      <c r="D30" s="797" t="str">
        <f>'DG-PV Organic'!B25</f>
        <v>Kyunghan Korea 1</v>
      </c>
      <c r="E30" s="770"/>
      <c r="F30" s="771"/>
      <c r="G30" s="1455" t="s">
        <v>582</v>
      </c>
      <c r="H30" s="771" t="s">
        <v>2076</v>
      </c>
      <c r="I30" s="1455" t="s">
        <v>2096</v>
      </c>
      <c r="J30" s="772"/>
      <c r="K30" s="1026" t="str">
        <f>'DG-PV Organic'!X25</f>
        <v>Gyeongsangnam-do</v>
      </c>
      <c r="L30" s="791"/>
      <c r="M30" s="800" t="str">
        <f>'DG-PV Organic'!G25</f>
        <v>AAA</v>
      </c>
      <c r="N30" s="800" t="s">
        <v>515</v>
      </c>
      <c r="O30" s="1224">
        <f>'DG-PV Organic'!O25</f>
        <v>695.32500000000005</v>
      </c>
      <c r="P30" s="794">
        <f>'DG-PV Organic'!L25</f>
        <v>1392</v>
      </c>
      <c r="Q30" s="773">
        <f t="shared" si="16"/>
        <v>3.8136986301369862</v>
      </c>
      <c r="R30" s="804">
        <f>'DG-PV Organic'!H25</f>
        <v>8.72E-2</v>
      </c>
      <c r="S30" s="1207">
        <f>'DG-PV Organic'!Q25</f>
        <v>45992</v>
      </c>
      <c r="T30" s="1239">
        <f t="shared" si="17"/>
        <v>46174</v>
      </c>
      <c r="U30" s="1166">
        <f>'DG-PV Organic'!AJ25*1.1/1000</f>
        <v>152971.5</v>
      </c>
      <c r="V30" s="1166">
        <f>'DG-PV Organic'!AK25*1.1/1000</f>
        <v>229457.25000000003</v>
      </c>
      <c r="W30" s="1167">
        <f t="shared" si="18"/>
        <v>382428.75</v>
      </c>
      <c r="X30" s="1167">
        <f t="shared" si="14"/>
        <v>499999.99999999994</v>
      </c>
      <c r="Y30" s="1168">
        <f>'DG-PV Organic'!AL25/1000*1.1</f>
        <v>803100.37500000012</v>
      </c>
      <c r="Z30" s="1168">
        <f>65000</f>
        <v>65000</v>
      </c>
      <c r="AA30" s="492"/>
      <c r="AB30" s="1227"/>
      <c r="AC30" s="1227"/>
      <c r="AD30" s="753">
        <f t="shared" si="15"/>
        <v>967892.4</v>
      </c>
      <c r="AE30" s="272"/>
      <c r="AF30" s="272"/>
      <c r="AG30" s="272"/>
      <c r="AH30" s="272"/>
      <c r="AI30" s="272"/>
      <c r="AJ30" s="272"/>
    </row>
    <row r="31" spans="1:36" ht="16.5" customHeight="1" outlineLevel="1">
      <c r="A31" s="786">
        <v>2025</v>
      </c>
      <c r="B31" s="1265">
        <f>SUM(O23:O30,O32:O40)</f>
        <v>9994.1149999999998</v>
      </c>
      <c r="C31" s="1336">
        <f>SUBTOTAL(103,$D$23:J31)</f>
        <v>36</v>
      </c>
      <c r="D31" s="1459" t="str">
        <f>'DG-PV Organic'!B26</f>
        <v>Kyunghan Korea 2</v>
      </c>
      <c r="E31" s="1337"/>
      <c r="F31" s="1338"/>
      <c r="G31" s="1456" t="s">
        <v>582</v>
      </c>
      <c r="H31" s="1338" t="s">
        <v>2076</v>
      </c>
      <c r="I31" s="1456" t="s">
        <v>2096</v>
      </c>
      <c r="J31" s="1338"/>
      <c r="K31" s="1339" t="str">
        <f>'DG-PV Organic'!X26</f>
        <v>Gyeongsangnam-do</v>
      </c>
      <c r="L31" s="1340"/>
      <c r="M31" s="1341" t="str">
        <f>'DG-PV Organic'!G26</f>
        <v>AAA</v>
      </c>
      <c r="N31" s="1341" t="s">
        <v>515</v>
      </c>
      <c r="O31" s="1342">
        <f>'DG-PV Organic'!O26</f>
        <v>355.6</v>
      </c>
      <c r="P31" s="1336">
        <f>'DG-PV Organic'!L26</f>
        <v>1399</v>
      </c>
      <c r="Q31" s="1343">
        <f t="shared" si="13"/>
        <v>3.8328767123287673</v>
      </c>
      <c r="R31" s="1344">
        <f>'DG-PV Organic'!H26</f>
        <v>8.7800000000000003E-2</v>
      </c>
      <c r="S31" s="1345">
        <f>'DG-PV Organic'!Q26</f>
        <v>45992</v>
      </c>
      <c r="T31" s="1345">
        <f t="shared" si="11"/>
        <v>46174</v>
      </c>
      <c r="U31" s="1346">
        <f>'DG-PV Organic'!AJ26*1.1/1000</f>
        <v>78232</v>
      </c>
      <c r="V31" s="1346">
        <f>'DG-PV Organic'!AK26*1.1/1000</f>
        <v>117348.00000000001</v>
      </c>
      <c r="W31" s="1346">
        <f t="shared" si="12"/>
        <v>195580</v>
      </c>
      <c r="X31" s="1347">
        <f t="shared" si="14"/>
        <v>499999.99999999994</v>
      </c>
      <c r="Y31" s="1347">
        <f>'DG-PV Organic'!AL26/1000*1.1</f>
        <v>410718.00000000006</v>
      </c>
      <c r="Z31" s="1348">
        <f>65000</f>
        <v>65000</v>
      </c>
      <c r="AA31" s="492"/>
      <c r="AB31" s="1227"/>
      <c r="AC31" s="1227"/>
      <c r="AD31" s="753">
        <f t="shared" si="15"/>
        <v>497484.4</v>
      </c>
      <c r="AE31" s="272"/>
      <c r="AF31" s="272"/>
      <c r="AG31" s="272"/>
      <c r="AH31" s="272"/>
      <c r="AI31" s="272"/>
      <c r="AJ31" s="272"/>
    </row>
    <row r="32" spans="1:36" ht="16.5" customHeight="1" outlineLevel="1">
      <c r="A32" s="785"/>
      <c r="B32" s="787"/>
      <c r="C32" s="793">
        <f>SUBTOTAL(103,$D$23:J32)</f>
        <v>40</v>
      </c>
      <c r="D32" s="797" t="str">
        <f>'DG-PV Organic'!B27</f>
        <v>Yooil Rubber 1</v>
      </c>
      <c r="E32" s="770"/>
      <c r="F32" s="771"/>
      <c r="G32" s="1455" t="s">
        <v>582</v>
      </c>
      <c r="H32" s="771" t="s">
        <v>2076</v>
      </c>
      <c r="I32" s="1455" t="s">
        <v>2096</v>
      </c>
      <c r="J32" s="772"/>
      <c r="K32" s="1026" t="str">
        <f>'DG-PV Organic'!X27</f>
        <v>Busan</v>
      </c>
      <c r="L32" s="791"/>
      <c r="M32" s="800" t="str">
        <f>'DG-PV Organic'!G27</f>
        <v>BBB-</v>
      </c>
      <c r="N32" s="800" t="s">
        <v>515</v>
      </c>
      <c r="O32" s="1224">
        <f>'DG-PV Organic'!O27</f>
        <v>913.76499999999999</v>
      </c>
      <c r="P32" s="794">
        <f>'DG-PV Organic'!L27</f>
        <v>1391</v>
      </c>
      <c r="Q32" s="773">
        <f t="shared" si="13"/>
        <v>3.8109589041095893</v>
      </c>
      <c r="R32" s="804">
        <f>'DG-PV Organic'!H27</f>
        <v>8.7099999999999997E-2</v>
      </c>
      <c r="S32" s="1207">
        <f>'DG-PV Organic'!Q27</f>
        <v>45992</v>
      </c>
      <c r="T32" s="1239">
        <f t="shared" si="11"/>
        <v>46174</v>
      </c>
      <c r="U32" s="1166">
        <f>'DG-PV Organic'!AJ27*1.1/1000</f>
        <v>201028.30000000002</v>
      </c>
      <c r="V32" s="1166">
        <f>'DG-PV Organic'!AK27*1.1/1000</f>
        <v>301542.45</v>
      </c>
      <c r="W32" s="1167">
        <f t="shared" si="12"/>
        <v>502570.75</v>
      </c>
      <c r="X32" s="1167">
        <f t="shared" si="14"/>
        <v>499999.99999999994</v>
      </c>
      <c r="Y32" s="1168">
        <f>'DG-PV Organic'!AL27/1000*1.1</f>
        <v>1055398.5750000002</v>
      </c>
      <c r="Z32" s="1168">
        <f>65000</f>
        <v>65000</v>
      </c>
      <c r="AA32" s="492"/>
      <c r="AB32" s="1227"/>
      <c r="AC32" s="1227"/>
      <c r="AD32" s="753">
        <f t="shared" si="15"/>
        <v>1271047.115</v>
      </c>
      <c r="AE32" s="272"/>
      <c r="AF32" s="272"/>
      <c r="AG32" s="272"/>
      <c r="AH32" s="272"/>
      <c r="AI32" s="272"/>
      <c r="AJ32" s="272"/>
    </row>
    <row r="33" spans="1:36" ht="16.5" customHeight="1" outlineLevel="1">
      <c r="A33" s="785"/>
      <c r="B33" s="787"/>
      <c r="C33" s="793">
        <f>SUBTOTAL(103,$D$23:J33)</f>
        <v>44</v>
      </c>
      <c r="D33" s="797" t="str">
        <f>'DG-PV Organic'!B28</f>
        <v>Yooil Rubber 2</v>
      </c>
      <c r="E33" s="1230"/>
      <c r="F33" s="1231"/>
      <c r="G33" s="1455" t="s">
        <v>582</v>
      </c>
      <c r="H33" s="1231" t="s">
        <v>2076</v>
      </c>
      <c r="I33" s="1457" t="s">
        <v>2096</v>
      </c>
      <c r="J33" s="1232"/>
      <c r="K33" s="1026" t="str">
        <f>'DG-PV Organic'!X28</f>
        <v>Busan</v>
      </c>
      <c r="L33" s="1233"/>
      <c r="M33" s="1226" t="str">
        <f>'DG-PV Organic'!G28</f>
        <v>BBB-</v>
      </c>
      <c r="N33" s="1226" t="s">
        <v>515</v>
      </c>
      <c r="O33" s="1234">
        <f>'DG-PV Organic'!O28</f>
        <v>544.83000000000004</v>
      </c>
      <c r="P33" s="1235">
        <f>'DG-PV Organic'!L28</f>
        <v>1405</v>
      </c>
      <c r="Q33" s="1236">
        <f t="shared" si="13"/>
        <v>3.8493150684931505</v>
      </c>
      <c r="R33" s="1237">
        <f>'DG-PV Organic'!H28</f>
        <v>8.8400000000000006E-2</v>
      </c>
      <c r="S33" s="1238">
        <f>'DG-PV Organic'!Q28</f>
        <v>45992</v>
      </c>
      <c r="T33" s="1240">
        <f t="shared" si="11"/>
        <v>46174</v>
      </c>
      <c r="U33" s="1166">
        <f>'DG-PV Organic'!AJ28*1.1/1000</f>
        <v>119862.60000000003</v>
      </c>
      <c r="V33" s="1166">
        <f>'DG-PV Organic'!AK28*1.1/1000</f>
        <v>179793.9</v>
      </c>
      <c r="W33" s="1167">
        <f t="shared" ref="W33:W40" si="19">SUM(U33:V33)</f>
        <v>299656.5</v>
      </c>
      <c r="X33" s="1167">
        <f t="shared" si="14"/>
        <v>499999.99999999994</v>
      </c>
      <c r="Y33" s="1168">
        <f>'DG-PV Organic'!AL28/1000*1.1</f>
        <v>629278.65</v>
      </c>
      <c r="Z33" s="1168">
        <f>65000</f>
        <v>65000</v>
      </c>
      <c r="AA33" s="492"/>
      <c r="AB33" s="1227"/>
      <c r="AC33" s="1227"/>
      <c r="AD33" s="753">
        <f t="shared" si="15"/>
        <v>765486.15</v>
      </c>
      <c r="AE33" s="272"/>
      <c r="AF33" s="272"/>
      <c r="AG33" s="272"/>
      <c r="AH33" s="272"/>
      <c r="AI33" s="272"/>
      <c r="AJ33" s="272"/>
    </row>
    <row r="34" spans="1:36" ht="16.5" customHeight="1" outlineLevel="1">
      <c r="A34" s="785"/>
      <c r="B34" s="787"/>
      <c r="C34" s="793">
        <f>SUBTOTAL(103,$D$23:J34)</f>
        <v>48</v>
      </c>
      <c r="D34" s="797" t="str">
        <f>'DG-PV Organic'!B29</f>
        <v>Doori Industry</v>
      </c>
      <c r="E34" s="1230"/>
      <c r="F34" s="1231"/>
      <c r="G34" s="1457" t="s">
        <v>2103</v>
      </c>
      <c r="H34" s="1231" t="s">
        <v>2076</v>
      </c>
      <c r="I34" s="1457" t="s">
        <v>2104</v>
      </c>
      <c r="J34" s="1232"/>
      <c r="K34" s="1026" t="str">
        <f>'DG-PV Organic'!X29</f>
        <v>Gyeonggi-do</v>
      </c>
      <c r="L34" s="1233"/>
      <c r="M34" s="1226" t="str">
        <f>'DG-PV Organic'!G29</f>
        <v>B0</v>
      </c>
      <c r="N34" s="1226" t="s">
        <v>515</v>
      </c>
      <c r="O34" s="1234">
        <f>'DG-PV Organic'!O29</f>
        <v>210</v>
      </c>
      <c r="P34" s="1235">
        <f>'DG-PV Organic'!L29</f>
        <v>1399</v>
      </c>
      <c r="Q34" s="1236">
        <f t="shared" si="13"/>
        <v>3.8328767123287673</v>
      </c>
      <c r="R34" s="1237">
        <f>'DG-PV Organic'!H29</f>
        <v>9.0899999999999995E-2</v>
      </c>
      <c r="S34" s="1238">
        <f>'DG-PV Organic'!Q29</f>
        <v>45894</v>
      </c>
      <c r="T34" s="1240">
        <f t="shared" si="11"/>
        <v>46078</v>
      </c>
      <c r="U34" s="1166">
        <f>'DG-PV Organic'!AJ29*1.1/1000</f>
        <v>34650</v>
      </c>
      <c r="V34" s="1166">
        <f>'DG-PV Organic'!AK29*1.1/1000</f>
        <v>69300</v>
      </c>
      <c r="W34" s="1167">
        <f t="shared" si="19"/>
        <v>103950</v>
      </c>
      <c r="X34" s="1167">
        <f t="shared" si="14"/>
        <v>449999.99999999994</v>
      </c>
      <c r="Y34" s="1168">
        <f>'DG-PV Organic'!AL29/1000*1.1</f>
        <v>242550.00000000003</v>
      </c>
      <c r="Z34" s="1168">
        <f>65000</f>
        <v>65000</v>
      </c>
      <c r="AA34" s="492"/>
      <c r="AB34" s="1227"/>
      <c r="AC34" s="1227"/>
      <c r="AD34" s="753">
        <f t="shared" si="15"/>
        <v>293790</v>
      </c>
      <c r="AE34" s="272"/>
      <c r="AF34" s="272"/>
      <c r="AG34" s="272"/>
      <c r="AH34" s="272"/>
      <c r="AI34" s="272"/>
      <c r="AJ34" s="272"/>
    </row>
    <row r="35" spans="1:36" ht="16.5" customHeight="1" outlineLevel="1">
      <c r="A35" s="785"/>
      <c r="B35" s="787"/>
      <c r="C35" s="793">
        <f>SUBTOTAL(103,$D$23:J35)</f>
        <v>52</v>
      </c>
      <c r="D35" s="797" t="str">
        <f>'DG-PV Organic'!B30</f>
        <v>Gyeongju Hyosung Energy farm</v>
      </c>
      <c r="E35" s="1230"/>
      <c r="F35" s="1231"/>
      <c r="G35" s="1457" t="s">
        <v>554</v>
      </c>
      <c r="H35" s="1231" t="s">
        <v>2076</v>
      </c>
      <c r="I35" s="1457" t="s">
        <v>2104</v>
      </c>
      <c r="J35" s="1232"/>
      <c r="K35" s="1026" t="str">
        <f>'DG-PV Organic'!X30</f>
        <v>Gyeongsangbuk-do</v>
      </c>
      <c r="L35" s="1233"/>
      <c r="M35" s="1226" t="str">
        <f>'DG-PV Organic'!G30</f>
        <v>BB+</v>
      </c>
      <c r="N35" s="1226" t="s">
        <v>515</v>
      </c>
      <c r="O35" s="1234">
        <f>'DG-PV Organic'!O30</f>
        <v>249.6</v>
      </c>
      <c r="P35" s="1235">
        <f>'DG-PV Organic'!L30</f>
        <v>1393</v>
      </c>
      <c r="Q35" s="1236">
        <f t="shared" ref="Q35:Q39" si="20">P35/365</f>
        <v>3.8164383561643835</v>
      </c>
      <c r="R35" s="1237">
        <f>'DG-PV Organic'!H30</f>
        <v>9.0399999999999994E-2</v>
      </c>
      <c r="S35" s="1238">
        <f>'DG-PV Organic'!Q30</f>
        <v>45925</v>
      </c>
      <c r="T35" s="1240">
        <f t="shared" si="11"/>
        <v>46106</v>
      </c>
      <c r="U35" s="1166">
        <f>'DG-PV Organic'!AJ30*1.1/1000</f>
        <v>41184</v>
      </c>
      <c r="V35" s="1166">
        <f>'DG-PV Organic'!AK30*1.1/1000</f>
        <v>82368</v>
      </c>
      <c r="W35" s="1167">
        <f t="shared" si="19"/>
        <v>123552</v>
      </c>
      <c r="X35" s="1167">
        <f t="shared" si="14"/>
        <v>449999.99999999994</v>
      </c>
      <c r="Y35" s="1168">
        <f>'DG-PV Organic'!AL30/1000*1.1</f>
        <v>288288</v>
      </c>
      <c r="Z35" s="1168">
        <f>65000</f>
        <v>65000</v>
      </c>
      <c r="AA35" s="492"/>
      <c r="AB35" s="1227"/>
      <c r="AC35" s="1227"/>
      <c r="AD35" s="753">
        <f t="shared" si="15"/>
        <v>347692.79999999999</v>
      </c>
      <c r="AE35" s="272"/>
      <c r="AF35" s="272"/>
      <c r="AG35" s="272"/>
      <c r="AH35" s="272"/>
      <c r="AI35" s="272"/>
      <c r="AJ35" s="272"/>
    </row>
    <row r="36" spans="1:36" ht="16.5" customHeight="1" outlineLevel="1">
      <c r="A36" s="785"/>
      <c r="B36" s="787"/>
      <c r="C36" s="793">
        <f>SUBTOTAL(103,$D$23:J36)</f>
        <v>56</v>
      </c>
      <c r="D36" s="797" t="str">
        <f>'DG-PV Organic'!B31</f>
        <v>Kojimom Bio</v>
      </c>
      <c r="E36" s="1230"/>
      <c r="F36" s="1231"/>
      <c r="G36" s="1457" t="s">
        <v>554</v>
      </c>
      <c r="H36" s="1231" t="s">
        <v>2076</v>
      </c>
      <c r="I36" s="1457" t="s">
        <v>2104</v>
      </c>
      <c r="J36" s="1232"/>
      <c r="K36" s="1026" t="str">
        <f>'DG-PV Organic'!X31</f>
        <v>Chungcheongbuk-do</v>
      </c>
      <c r="L36" s="1233"/>
      <c r="M36" s="1226" t="str">
        <f>'DG-PV Organic'!G31</f>
        <v>CCC0</v>
      </c>
      <c r="N36" s="1226" t="s">
        <v>515</v>
      </c>
      <c r="O36" s="1234">
        <f>'DG-PV Organic'!O31</f>
        <v>264.32</v>
      </c>
      <c r="P36" s="1235">
        <f>'DG-PV Organic'!L31</f>
        <v>1360</v>
      </c>
      <c r="Q36" s="1236">
        <f t="shared" si="20"/>
        <v>3.7260273972602738</v>
      </c>
      <c r="R36" s="1237">
        <f>'DG-PV Organic'!H31</f>
        <v>8.6900000000000005E-2</v>
      </c>
      <c r="S36" s="1238">
        <f>'DG-PV Organic'!Q31</f>
        <v>45925</v>
      </c>
      <c r="T36" s="1240">
        <f t="shared" si="11"/>
        <v>46106</v>
      </c>
      <c r="U36" s="1166">
        <f>'DG-PV Organic'!AJ31*1.1/1000</f>
        <v>43612.800000000003</v>
      </c>
      <c r="V36" s="1166">
        <f>'DG-PV Organic'!AK31*1.1/1000</f>
        <v>87225.600000000006</v>
      </c>
      <c r="W36" s="1167">
        <f t="shared" si="19"/>
        <v>130838.40000000001</v>
      </c>
      <c r="X36" s="1167">
        <f t="shared" si="14"/>
        <v>450000</v>
      </c>
      <c r="Y36" s="1168">
        <f>'DG-PV Organic'!AL31/1000*1.1</f>
        <v>305289.60000000003</v>
      </c>
      <c r="Z36" s="1168">
        <f>65000</f>
        <v>65000</v>
      </c>
      <c r="AA36" s="492"/>
      <c r="AB36" s="1227"/>
      <c r="AC36" s="1227"/>
      <c r="AD36" s="753">
        <f t="shared" si="15"/>
        <v>359475.20000000001</v>
      </c>
      <c r="AE36" s="272"/>
      <c r="AF36" s="272"/>
      <c r="AG36" s="272"/>
      <c r="AH36" s="272"/>
      <c r="AI36" s="272"/>
      <c r="AJ36" s="272"/>
    </row>
    <row r="37" spans="1:36" ht="16.5" customHeight="1" outlineLevel="1">
      <c r="A37" s="785"/>
      <c r="B37" s="787"/>
      <c r="C37" s="793">
        <f>SUBTOTAL(103,$D$23:J37)</f>
        <v>60</v>
      </c>
      <c r="D37" s="797" t="str">
        <f>'DG-PV Organic'!B32</f>
        <v>Dongshin Motek</v>
      </c>
      <c r="E37" s="1230"/>
      <c r="F37" s="1231"/>
      <c r="G37" s="1457" t="s">
        <v>554</v>
      </c>
      <c r="H37" s="1231" t="s">
        <v>2076</v>
      </c>
      <c r="I37" s="1457" t="s">
        <v>2104</v>
      </c>
      <c r="J37" s="1232"/>
      <c r="K37" s="1026" t="str">
        <f>'DG-PV Organic'!X32</f>
        <v>Gyeongsangnam-do</v>
      </c>
      <c r="L37" s="1233"/>
      <c r="M37" s="1226" t="str">
        <f>'DG-PV Organic'!G32</f>
        <v>B+</v>
      </c>
      <c r="N37" s="1226" t="s">
        <v>515</v>
      </c>
      <c r="O37" s="1234">
        <f>'DG-PV Organic'!O32</f>
        <v>380.8</v>
      </c>
      <c r="P37" s="1235">
        <f>'DG-PV Organic'!L32</f>
        <v>1438</v>
      </c>
      <c r="Q37" s="1236">
        <f t="shared" si="20"/>
        <v>3.9397260273972603</v>
      </c>
      <c r="R37" s="1237">
        <f>'DG-PV Organic'!H32</f>
        <v>9.5299999999999996E-2</v>
      </c>
      <c r="S37" s="1238">
        <f>'DG-PV Organic'!Q32</f>
        <v>45925</v>
      </c>
      <c r="T37" s="1240">
        <f t="shared" si="11"/>
        <v>46106</v>
      </c>
      <c r="U37" s="1166">
        <f>'DG-PV Organic'!AJ32*1.1/1000</f>
        <v>62832.000000000007</v>
      </c>
      <c r="V37" s="1166">
        <f>'DG-PV Organic'!AK32*1.1/1000</f>
        <v>125664.00000000001</v>
      </c>
      <c r="W37" s="1167">
        <f t="shared" si="19"/>
        <v>188496.00000000003</v>
      </c>
      <c r="X37" s="1167">
        <f t="shared" si="14"/>
        <v>450000</v>
      </c>
      <c r="Y37" s="1168">
        <f>'DG-PV Organic'!AL32/1000*1.1</f>
        <v>439824.00000000006</v>
      </c>
      <c r="Z37" s="1168">
        <f>65000</f>
        <v>65000</v>
      </c>
      <c r="AA37" s="492"/>
      <c r="AB37" s="1227"/>
      <c r="AC37" s="1227"/>
      <c r="AD37" s="753">
        <f t="shared" si="15"/>
        <v>547590.40000000002</v>
      </c>
      <c r="AE37" s="272"/>
      <c r="AF37" s="272"/>
      <c r="AG37" s="272"/>
      <c r="AH37" s="272"/>
      <c r="AI37" s="272"/>
      <c r="AJ37" s="272"/>
    </row>
    <row r="38" spans="1:36" ht="16.5" customHeight="1" outlineLevel="1">
      <c r="A38" s="785"/>
      <c r="B38" s="787"/>
      <c r="C38" s="793">
        <f>SUBTOTAL(103,$D$23:J38)</f>
        <v>64</v>
      </c>
      <c r="D38" s="1460" t="str">
        <f>'DG-PV Organic'!B33</f>
        <v>Vega</v>
      </c>
      <c r="E38" s="1230"/>
      <c r="F38" s="1231"/>
      <c r="G38" s="1457" t="s">
        <v>554</v>
      </c>
      <c r="H38" s="1231" t="s">
        <v>2076</v>
      </c>
      <c r="I38" s="1457" t="s">
        <v>2104</v>
      </c>
      <c r="J38" s="1232"/>
      <c r="K38" s="1026" t="str">
        <f>'DG-PV Organic'!X33</f>
        <v>Gyeongsangbuk-do</v>
      </c>
      <c r="L38" s="1233"/>
      <c r="M38" s="1226" t="str">
        <f>'DG-PV Organic'!G33</f>
        <v>CCC+</v>
      </c>
      <c r="N38" s="1226" t="s">
        <v>515</v>
      </c>
      <c r="O38" s="1234">
        <f>'DG-PV Organic'!O33</f>
        <v>560</v>
      </c>
      <c r="P38" s="1235">
        <f>'DG-PV Organic'!L33</f>
        <v>1449</v>
      </c>
      <c r="Q38" s="1236">
        <f t="shared" si="20"/>
        <v>3.9698630136986299</v>
      </c>
      <c r="R38" s="1237">
        <f>'DG-PV Organic'!H33</f>
        <v>9.6500000000000002E-2</v>
      </c>
      <c r="S38" s="1238">
        <f>'DG-PV Organic'!Q33</f>
        <v>45925</v>
      </c>
      <c r="T38" s="1240">
        <f t="shared" si="11"/>
        <v>46106</v>
      </c>
      <c r="U38" s="1166">
        <f>'DG-PV Organic'!AJ33*1.1/1000</f>
        <v>92400.000000000015</v>
      </c>
      <c r="V38" s="1166">
        <f>'DG-PV Organic'!AK33*1.1/1000</f>
        <v>184800.00000000003</v>
      </c>
      <c r="W38" s="1167">
        <f t="shared" si="19"/>
        <v>277200.00000000006</v>
      </c>
      <c r="X38" s="1167">
        <f t="shared" si="14"/>
        <v>450000.00000000006</v>
      </c>
      <c r="Y38" s="1168">
        <f>'DG-PV Organic'!AL33/1000*1.1</f>
        <v>646800</v>
      </c>
      <c r="Z38" s="1168">
        <f>65000</f>
        <v>65000</v>
      </c>
      <c r="AA38" s="492"/>
      <c r="AB38" s="1227"/>
      <c r="AC38" s="1227"/>
      <c r="AD38" s="753">
        <f t="shared" si="15"/>
        <v>811440</v>
      </c>
      <c r="AE38" s="272"/>
      <c r="AF38" s="272"/>
      <c r="AG38" s="272"/>
      <c r="AH38" s="272"/>
      <c r="AI38" s="272"/>
      <c r="AJ38" s="272"/>
    </row>
    <row r="39" spans="1:36" ht="16.5" customHeight="1" outlineLevel="1">
      <c r="A39" s="785"/>
      <c r="B39" s="787"/>
      <c r="C39" s="793">
        <f>SUBTOTAL(103,$D$23:J39)</f>
        <v>68</v>
      </c>
      <c r="D39" s="1460" t="str">
        <f>'DG-PV Organic'!B34</f>
        <v>Korea Kospack</v>
      </c>
      <c r="E39" s="1230"/>
      <c r="F39" s="1231"/>
      <c r="G39" s="1457" t="s">
        <v>554</v>
      </c>
      <c r="H39" s="1231" t="s">
        <v>2076</v>
      </c>
      <c r="I39" s="1457" t="s">
        <v>2104</v>
      </c>
      <c r="J39" s="1232"/>
      <c r="K39" s="1026" t="str">
        <f>'DG-PV Organic'!X34</f>
        <v>Chungcheongbuk-do</v>
      </c>
      <c r="L39" s="1233"/>
      <c r="M39" s="1226" t="str">
        <f>'DG-PV Organic'!G34</f>
        <v>CCC+</v>
      </c>
      <c r="N39" s="1226" t="s">
        <v>515</v>
      </c>
      <c r="O39" s="1234">
        <f>'DG-PV Organic'!O34</f>
        <v>556.16</v>
      </c>
      <c r="P39" s="1235">
        <f>'DG-PV Organic'!L34</f>
        <v>1362</v>
      </c>
      <c r="Q39" s="1236">
        <f t="shared" si="20"/>
        <v>3.7315068493150685</v>
      </c>
      <c r="R39" s="1237">
        <f>'DG-PV Organic'!H34</f>
        <v>8.7300000000000003E-2</v>
      </c>
      <c r="S39" s="1238">
        <f>'DG-PV Organic'!Q34</f>
        <v>45925</v>
      </c>
      <c r="T39" s="1240">
        <f t="shared" si="11"/>
        <v>46106</v>
      </c>
      <c r="U39" s="1166">
        <f>'DG-PV Organic'!AJ34*1.1/1000</f>
        <v>91766.399999999994</v>
      </c>
      <c r="V39" s="1166">
        <f>'DG-PV Organic'!AK34*1.1/1000</f>
        <v>183532.79999999999</v>
      </c>
      <c r="W39" s="1167">
        <f t="shared" si="19"/>
        <v>275299.19999999995</v>
      </c>
      <c r="X39" s="1167">
        <f t="shared" si="14"/>
        <v>449999.99999999988</v>
      </c>
      <c r="Y39" s="1168">
        <f>'DG-PV Organic'!AL34/1000*1.1</f>
        <v>642364.80000000005</v>
      </c>
      <c r="Z39" s="1168">
        <f>65000</f>
        <v>65000</v>
      </c>
      <c r="AA39" s="492"/>
      <c r="AB39" s="1227"/>
      <c r="AC39" s="1227"/>
      <c r="AD39" s="753">
        <f t="shared" si="15"/>
        <v>757489.91999999993</v>
      </c>
      <c r="AE39" s="272"/>
      <c r="AF39" s="272"/>
      <c r="AG39" s="272"/>
      <c r="AH39" s="272"/>
      <c r="AI39" s="272"/>
      <c r="AJ39" s="272"/>
    </row>
    <row r="40" spans="1:36" ht="17.25" outlineLevel="1" thickBot="1">
      <c r="A40" s="1138"/>
      <c r="B40" s="1139"/>
      <c r="C40" s="1140">
        <f>SUBTOTAL(103,$D$23:J40)</f>
        <v>72</v>
      </c>
      <c r="D40" s="1141" t="str">
        <f>'DG-PV Organic'!B35</f>
        <v>Pungcheon Im clan</v>
      </c>
      <c r="E40" s="1142"/>
      <c r="F40" s="1143"/>
      <c r="G40" s="1458" t="s">
        <v>554</v>
      </c>
      <c r="H40" s="1143" t="s">
        <v>2076</v>
      </c>
      <c r="I40" s="1458" t="s">
        <v>2104</v>
      </c>
      <c r="J40" s="1144"/>
      <c r="K40" s="1205" t="str">
        <f>'DG-PV Organic'!X35</f>
        <v>Gyeonggi-do</v>
      </c>
      <c r="L40" s="1146"/>
      <c r="M40" s="1147" t="str">
        <f>'DG-PV Organic'!G35</f>
        <v>CCC+</v>
      </c>
      <c r="N40" s="1147" t="s">
        <v>515</v>
      </c>
      <c r="O40" s="1225">
        <f>'DG-PV Organic'!O35</f>
        <v>188.16</v>
      </c>
      <c r="P40" s="1140">
        <f>'DG-PV Organic'!L35</f>
        <v>1410</v>
      </c>
      <c r="Q40" s="1149">
        <f t="shared" ref="Q40" si="21">P40/365</f>
        <v>3.8630136986301369</v>
      </c>
      <c r="R40" s="1150">
        <f>'DG-PV Organic'!H35</f>
        <v>9.1899999999999996E-2</v>
      </c>
      <c r="S40" s="1208">
        <f>'DG-PV Organic'!Q35</f>
        <v>45925</v>
      </c>
      <c r="T40" s="1241">
        <f t="shared" si="11"/>
        <v>46106</v>
      </c>
      <c r="U40" s="1169">
        <f>'DG-PV Organic'!AJ35*1.1/1000</f>
        <v>31046.400000000005</v>
      </c>
      <c r="V40" s="1169">
        <f>'DG-PV Organic'!AK35*1.1/1000</f>
        <v>62092.80000000001</v>
      </c>
      <c r="W40" s="1169">
        <f t="shared" si="19"/>
        <v>93139.200000000012</v>
      </c>
      <c r="X40" s="1169">
        <f t="shared" si="14"/>
        <v>450000</v>
      </c>
      <c r="Y40" s="1170">
        <f>'DG-PV Organic'!AL35/1000*1.1</f>
        <v>217324.80000000002</v>
      </c>
      <c r="Z40" s="1170">
        <f>65000</f>
        <v>65000</v>
      </c>
      <c r="AA40" s="573"/>
      <c r="AB40" s="1227"/>
      <c r="AC40" s="1227"/>
      <c r="AD40" s="753">
        <f t="shared" si="15"/>
        <v>265305.59999999998</v>
      </c>
      <c r="AE40" s="272"/>
      <c r="AF40" s="272"/>
      <c r="AG40" s="272"/>
      <c r="AH40" s="272"/>
      <c r="AI40" s="272"/>
      <c r="AJ40" s="272"/>
    </row>
    <row r="41" spans="1:36" ht="16.5" customHeight="1" thickTop="1">
      <c r="A41" s="2923" t="s">
        <v>2090</v>
      </c>
      <c r="B41" s="2924"/>
      <c r="C41" s="793"/>
      <c r="D41" s="796"/>
      <c r="E41" s="780"/>
      <c r="F41" s="781"/>
      <c r="G41" s="781"/>
      <c r="H41" s="781"/>
      <c r="I41" s="781"/>
      <c r="J41" s="782"/>
      <c r="K41" s="1026"/>
      <c r="L41" s="790"/>
      <c r="M41" s="799"/>
      <c r="N41" s="799"/>
      <c r="O41" s="1229">
        <f>SUM(O44:O68)</f>
        <v>20794.755000000001</v>
      </c>
      <c r="P41" s="793"/>
      <c r="Q41" s="783"/>
      <c r="R41" s="1277"/>
      <c r="S41" s="806"/>
      <c r="T41" s="1278"/>
      <c r="U41" s="1279"/>
      <c r="V41" s="1280"/>
      <c r="W41" s="1076"/>
      <c r="X41" s="1076"/>
      <c r="Y41" s="1076"/>
      <c r="Z41" s="1124"/>
      <c r="AA41" s="492"/>
      <c r="AB41" s="1227"/>
      <c r="AC41" s="1227"/>
      <c r="AD41" s="753">
        <f>SUM(AD23:AD40)</f>
        <v>14537550.790000001</v>
      </c>
      <c r="AE41" s="272"/>
      <c r="AF41" s="272"/>
      <c r="AG41" s="272"/>
      <c r="AH41" s="272"/>
      <c r="AI41" s="272"/>
      <c r="AJ41" s="272"/>
    </row>
    <row r="42" spans="1:36" ht="16.5" customHeight="1">
      <c r="A42" s="2925" t="s">
        <v>2091</v>
      </c>
      <c r="B42" s="2926"/>
      <c r="C42" s="793"/>
      <c r="D42" s="796"/>
      <c r="E42" s="780"/>
      <c r="F42" s="781"/>
      <c r="G42" s="781"/>
      <c r="H42" s="781"/>
      <c r="I42" s="781"/>
      <c r="J42" s="782"/>
      <c r="K42" s="1026"/>
      <c r="L42" s="790"/>
      <c r="M42" s="799"/>
      <c r="N42" s="799"/>
      <c r="O42" s="1127"/>
      <c r="P42" s="793"/>
      <c r="Q42" s="783"/>
      <c r="R42" s="1277"/>
      <c r="S42" s="1277"/>
      <c r="T42" s="1278"/>
      <c r="U42" s="1279"/>
      <c r="V42" s="1280"/>
      <c r="W42" s="1076"/>
      <c r="X42" s="1076"/>
      <c r="Y42" s="1076"/>
      <c r="Z42" s="1124"/>
      <c r="AA42" s="492"/>
      <c r="AB42" s="1227"/>
      <c r="AC42" s="1227"/>
      <c r="AD42" s="272">
        <f>+AD41/O20</f>
        <v>1454.6111176427328</v>
      </c>
      <c r="AE42" s="272"/>
      <c r="AF42" s="272"/>
      <c r="AG42" s="272"/>
      <c r="AH42" s="272"/>
      <c r="AI42" s="272"/>
      <c r="AJ42" s="272"/>
    </row>
    <row r="43" spans="1:36" ht="16.5" customHeight="1">
      <c r="A43" s="2927" t="s">
        <v>2092</v>
      </c>
      <c r="B43" s="2928"/>
      <c r="C43" s="1245"/>
      <c r="D43" s="1246"/>
      <c r="E43" s="591"/>
      <c r="F43" s="987"/>
      <c r="G43" s="987"/>
      <c r="H43" s="987"/>
      <c r="I43" s="987"/>
      <c r="J43" s="988"/>
      <c r="K43" s="1247"/>
      <c r="L43" s="1248"/>
      <c r="M43" s="1249"/>
      <c r="N43" s="1249"/>
      <c r="O43" s="1250"/>
      <c r="P43" s="1245"/>
      <c r="Q43" s="1251"/>
      <c r="R43" s="1292"/>
      <c r="S43" s="1253"/>
      <c r="T43" s="1293"/>
      <c r="U43" s="1294"/>
      <c r="V43" s="1295"/>
      <c r="W43" s="2929" t="s">
        <v>2105</v>
      </c>
      <c r="X43" s="2930"/>
      <c r="Y43" s="2931"/>
      <c r="Z43" s="1256"/>
      <c r="AA43" s="492"/>
      <c r="AB43" s="1227"/>
      <c r="AC43" s="1227"/>
      <c r="AD43" s="272"/>
      <c r="AE43" s="272"/>
      <c r="AF43" s="272"/>
      <c r="AG43" s="272"/>
      <c r="AH43" s="272"/>
      <c r="AI43" s="272"/>
      <c r="AJ43" s="272"/>
    </row>
    <row r="44" spans="1:36" ht="16.5" customHeight="1">
      <c r="A44" s="1162" t="s">
        <v>2106</v>
      </c>
      <c r="B44" s="1477" t="str">
        <f>"DG Batch 3
 - PJT"</f>
        <v>DG Batch 3
 - PJT</v>
      </c>
      <c r="C44" s="1291">
        <f>SUBTOTAL(103,$D$44:D44)</f>
        <v>1</v>
      </c>
      <c r="D44" s="796" t="str">
        <f>'DG-PV Organic'!B38</f>
        <v>Guemjeong Techno</v>
      </c>
      <c r="E44" s="780" t="s">
        <v>873</v>
      </c>
      <c r="F44" s="781" t="s">
        <v>2107</v>
      </c>
      <c r="G44" s="781"/>
      <c r="H44" s="781"/>
      <c r="I44" s="781"/>
      <c r="J44" s="782" t="s">
        <v>2108</v>
      </c>
      <c r="K44" s="1026" t="str">
        <f>'DG-PV Organic'!X38</f>
        <v>Gyeonggi-do</v>
      </c>
      <c r="L44" s="790">
        <f>'DG-PV Organic'!K38</f>
        <v>168.76870000000002</v>
      </c>
      <c r="M44" s="799" t="str">
        <f>'DG-PV Organic'!G38</f>
        <v xml:space="preserve"> B-</v>
      </c>
      <c r="N44" s="799" t="s">
        <v>575</v>
      </c>
      <c r="O44" s="1258">
        <f>'DG-PV Organic'!O38</f>
        <v>122</v>
      </c>
      <c r="P44" s="793">
        <f>'DG-PV Organic'!L38</f>
        <v>1385</v>
      </c>
      <c r="Q44" s="1127">
        <f t="shared" ref="Q44" si="22">P44/365</f>
        <v>3.7945205479452055</v>
      </c>
      <c r="R44" s="793">
        <f>'DG-PV Organic'!H38</f>
        <v>8.9499999999999996E-2</v>
      </c>
      <c r="S44" s="1259">
        <f>'DG-PV Organic'!Q38</f>
        <v>45925</v>
      </c>
      <c r="T44" s="1260">
        <f t="shared" ref="T44:T68" si="23">+EDATE(S44,6)</f>
        <v>46106</v>
      </c>
      <c r="U44" s="1118">
        <f>'DG-PV Organic'!AJ38/1000*1.1</f>
        <v>20130</v>
      </c>
      <c r="V44" s="1076">
        <f>'DG-PV Organic'!AK38/1000*1.1</f>
        <v>40260</v>
      </c>
      <c r="W44" s="1076">
        <f t="shared" si="8"/>
        <v>60390</v>
      </c>
      <c r="X44" s="1076">
        <f t="shared" ref="X44" si="24">W44/O44</f>
        <v>495</v>
      </c>
      <c r="Y44" s="1076">
        <f>'DG-PV Organic'!AL38/1000*1.1</f>
        <v>140910</v>
      </c>
      <c r="Z44" s="1263">
        <v>65000</v>
      </c>
      <c r="AA44" s="492">
        <f>'DG-PV Organic'!AI38</f>
        <v>21350000</v>
      </c>
      <c r="AB44" s="1227"/>
      <c r="AC44" s="1227"/>
      <c r="AD44" s="272"/>
      <c r="AE44" s="272"/>
      <c r="AF44" s="1283">
        <f>+SUM(O44:O65)</f>
        <v>18388.014999999999</v>
      </c>
      <c r="AG44" s="1283"/>
      <c r="AH44" s="1283">
        <v>500000000</v>
      </c>
      <c r="AI44" s="1283">
        <f>+AF44*AH44</f>
        <v>9194007500000</v>
      </c>
      <c r="AJ44" s="1282"/>
    </row>
    <row r="45" spans="1:36" ht="16.5" customHeight="1">
      <c r="A45" s="785"/>
      <c r="B45" s="1478"/>
      <c r="C45" s="1008">
        <f>SUBTOTAL(103,$D$44:D45)</f>
        <v>2</v>
      </c>
      <c r="D45" s="796" t="str">
        <f>'DG-PV Organic'!B39</f>
        <v>Epyeonan nursing home</v>
      </c>
      <c r="E45" s="770" t="s">
        <v>2109</v>
      </c>
      <c r="F45" s="771" t="s">
        <v>2110</v>
      </c>
      <c r="G45" s="771"/>
      <c r="H45" s="771"/>
      <c r="I45" s="771"/>
      <c r="J45" s="772" t="s">
        <v>2111</v>
      </c>
      <c r="K45" s="1026" t="str">
        <f>'DG-PV Organic'!X39</f>
        <v>Gyeonggi-do</v>
      </c>
      <c r="L45" s="790">
        <f>'DG-PV Organic'!K39</f>
        <v>246.0976</v>
      </c>
      <c r="M45" s="799" t="str">
        <f>'DG-PV Organic'!G39</f>
        <v xml:space="preserve"> B+</v>
      </c>
      <c r="N45" s="799" t="s">
        <v>575</v>
      </c>
      <c r="O45" s="1224">
        <f>'DG-PV Organic'!O39</f>
        <v>172</v>
      </c>
      <c r="P45" s="793">
        <f>'DG-PV Organic'!L39</f>
        <v>1430.8</v>
      </c>
      <c r="Q45" s="1127">
        <f t="shared" ref="Q45:Q68" si="25">P45/365</f>
        <v>3.92</v>
      </c>
      <c r="R45" s="793">
        <f>'DG-PV Organic'!H39</f>
        <v>9.4500000000000001E-2</v>
      </c>
      <c r="S45" s="1207">
        <f>'DG-PV Organic'!Q39</f>
        <v>45925</v>
      </c>
      <c r="T45" s="1239">
        <f t="shared" si="23"/>
        <v>46106</v>
      </c>
      <c r="U45" s="1118">
        <f>'DG-PV Organic'!AJ39/1000*1.1</f>
        <v>28380.000000000004</v>
      </c>
      <c r="V45" s="1076">
        <f>'DG-PV Organic'!AK39/1000*1.1</f>
        <v>56760.000000000007</v>
      </c>
      <c r="W45" s="1076">
        <f t="shared" ref="W45:W68" si="26">SUM(U45:V45)</f>
        <v>85140.000000000015</v>
      </c>
      <c r="X45" s="1076">
        <f t="shared" ref="X45:X68" si="27">W45/O45</f>
        <v>495.00000000000006</v>
      </c>
      <c r="Y45" s="1076">
        <f>'DG-PV Organic'!AL39/1000*1.1</f>
        <v>198660.00000000003</v>
      </c>
      <c r="Z45" s="1168">
        <v>65000</v>
      </c>
      <c r="AA45" s="492">
        <f>'DG-PV Organic'!AI39</f>
        <v>30100000</v>
      </c>
      <c r="AB45" s="1227"/>
      <c r="AC45" s="1227"/>
      <c r="AD45" s="272"/>
      <c r="AE45" s="272"/>
      <c r="AF45" s="1283"/>
      <c r="AG45" s="1283">
        <f>+AF45+AF44</f>
        <v>18388.014999999999</v>
      </c>
      <c r="AH45" s="1283">
        <v>450000000</v>
      </c>
      <c r="AI45" s="1283">
        <f>+AF45*AH45</f>
        <v>0</v>
      </c>
      <c r="AJ45" s="1282"/>
    </row>
    <row r="46" spans="1:36" ht="16.5" customHeight="1">
      <c r="A46" s="785"/>
      <c r="B46" s="1478"/>
      <c r="C46" s="1008">
        <f>SUBTOTAL(103,$D$44:D46)</f>
        <v>3</v>
      </c>
      <c r="D46" s="796" t="str">
        <f>'DG-PV Organic'!B40</f>
        <v>Gemtech</v>
      </c>
      <c r="E46" s="770" t="s">
        <v>2112</v>
      </c>
      <c r="F46" s="771" t="s">
        <v>2113</v>
      </c>
      <c r="G46" s="771"/>
      <c r="H46" s="771"/>
      <c r="I46" s="771"/>
      <c r="J46" s="772" t="s">
        <v>2114</v>
      </c>
      <c r="K46" s="1026" t="str">
        <f>'DG-PV Organic'!X40</f>
        <v>Daegu</v>
      </c>
      <c r="L46" s="790">
        <f>'DG-PV Organic'!K40</f>
        <v>359.89</v>
      </c>
      <c r="M46" s="799" t="str">
        <f>'DG-PV Organic'!G40</f>
        <v>CCC+</v>
      </c>
      <c r="N46" s="799" t="s">
        <v>575</v>
      </c>
      <c r="O46" s="1224">
        <f>'DG-PV Organic'!O40</f>
        <v>232.32</v>
      </c>
      <c r="P46" s="793">
        <f>'DG-PV Organic'!L40</f>
        <v>1547</v>
      </c>
      <c r="Q46" s="1127">
        <f t="shared" si="25"/>
        <v>4.2383561643835614</v>
      </c>
      <c r="R46" s="793">
        <f>'DG-PV Organic'!H40</f>
        <v>0.1065</v>
      </c>
      <c r="S46" s="1207">
        <f>'DG-PV Organic'!Q40</f>
        <v>45925</v>
      </c>
      <c r="T46" s="1239">
        <f t="shared" si="23"/>
        <v>46106</v>
      </c>
      <c r="U46" s="1118">
        <f>'DG-PV Organic'!AJ40/1000*1.1</f>
        <v>38332.800000000003</v>
      </c>
      <c r="V46" s="1076">
        <f>'DG-PV Organic'!AK40/1000*1.1</f>
        <v>76665.600000000006</v>
      </c>
      <c r="W46" s="1076">
        <f t="shared" si="26"/>
        <v>114998.40000000001</v>
      </c>
      <c r="X46" s="1076">
        <f t="shared" si="27"/>
        <v>495.00000000000006</v>
      </c>
      <c r="Y46" s="1076">
        <f>'DG-PV Organic'!AL40/1000*1.1</f>
        <v>268329.60000000003</v>
      </c>
      <c r="Z46" s="1168">
        <v>65000</v>
      </c>
      <c r="AA46" s="492">
        <f>'DG-PV Organic'!AI40</f>
        <v>40600000</v>
      </c>
      <c r="AB46" s="1227"/>
      <c r="AC46" s="1227"/>
      <c r="AD46" s="272"/>
      <c r="AE46" s="272"/>
      <c r="AF46" s="1283">
        <f>+AF44+AF45</f>
        <v>18388.014999999999</v>
      </c>
      <c r="AG46" s="1283"/>
      <c r="AH46" s="1283"/>
      <c r="AI46" s="1283">
        <f>+AI44+AI45</f>
        <v>9194007500000</v>
      </c>
      <c r="AJ46" s="1281">
        <f>+AI46/AF46</f>
        <v>500000000</v>
      </c>
    </row>
    <row r="47" spans="1:36" ht="16.5" customHeight="1">
      <c r="A47" s="785"/>
      <c r="B47" s="1478"/>
      <c r="C47" s="1008">
        <f>SUBTOTAL(103,$D$44:D47)</f>
        <v>4</v>
      </c>
      <c r="D47" s="796" t="str">
        <f>'DG-PV Organic'!B47</f>
        <v>LSG</v>
      </c>
      <c r="E47" s="770" t="s">
        <v>2115</v>
      </c>
      <c r="F47" s="771" t="s">
        <v>2116</v>
      </c>
      <c r="G47" s="771"/>
      <c r="H47" s="771"/>
      <c r="I47" s="771"/>
      <c r="J47" s="772" t="s">
        <v>2117</v>
      </c>
      <c r="K47" s="1026" t="str">
        <f>'DG-PV Organic'!X47</f>
        <v>Gangwon-do</v>
      </c>
      <c r="L47" s="790">
        <f>'DG-PV Organic'!K47</f>
        <v>716.72195999999997</v>
      </c>
      <c r="M47" s="799" t="str">
        <f>'DG-PV Organic'!G47</f>
        <v>B+</v>
      </c>
      <c r="N47" s="799" t="s">
        <v>575</v>
      </c>
      <c r="O47" s="1224">
        <f>'DG-PV Organic'!O47</f>
        <v>499.11</v>
      </c>
      <c r="P47" s="793">
        <f>'DG-PV Organic'!L47</f>
        <v>1436</v>
      </c>
      <c r="Q47" s="1127">
        <f t="shared" si="25"/>
        <v>3.9342465753424656</v>
      </c>
      <c r="R47" s="793">
        <f>'DG-PV Organic'!H47</f>
        <v>9.1700000000000004E-2</v>
      </c>
      <c r="S47" s="1207">
        <f>'DG-PV Organic'!Q47</f>
        <v>45962</v>
      </c>
      <c r="T47" s="1207">
        <f t="shared" si="23"/>
        <v>46143</v>
      </c>
      <c r="U47" s="1118">
        <f>'DG-PV Organic'!AJ47/1000*1.1</f>
        <v>109804.20000000001</v>
      </c>
      <c r="V47" s="1076">
        <f>'DG-PV Organic'!AK47/1000*1.1</f>
        <v>164706.30000000002</v>
      </c>
      <c r="W47" s="1076">
        <f t="shared" si="26"/>
        <v>274510.5</v>
      </c>
      <c r="X47" s="1076">
        <f t="shared" si="27"/>
        <v>550</v>
      </c>
      <c r="Y47" s="1076">
        <f>'DG-PV Organic'!AL47/1000*1.1</f>
        <v>576472.05000000005</v>
      </c>
      <c r="Z47" s="1168">
        <v>65000</v>
      </c>
      <c r="AA47" s="492">
        <f>'DG-PV Organic'!AI47</f>
        <v>99822000</v>
      </c>
      <c r="AB47" s="1223"/>
      <c r="AC47" s="1223"/>
      <c r="AD47" s="272"/>
      <c r="AE47" s="272"/>
      <c r="AF47" s="272"/>
      <c r="AG47" s="272"/>
      <c r="AH47" s="272"/>
      <c r="AI47" s="272"/>
      <c r="AJ47" s="272"/>
    </row>
    <row r="48" spans="1:36" ht="16.5" customHeight="1">
      <c r="A48" s="785"/>
      <c r="B48" s="1478"/>
      <c r="C48" s="1008">
        <f>SUBTOTAL(103,$D$44:D48)</f>
        <v>5</v>
      </c>
      <c r="D48" s="796" t="str">
        <f>'DG-PV Organic'!B48</f>
        <v>Hanseo Motors</v>
      </c>
      <c r="E48" s="770" t="s">
        <v>2118</v>
      </c>
      <c r="F48" s="771" t="s">
        <v>2119</v>
      </c>
      <c r="G48" s="771"/>
      <c r="H48" s="771"/>
      <c r="I48" s="771"/>
      <c r="J48" s="772" t="s">
        <v>2120</v>
      </c>
      <c r="K48" s="1026" t="str">
        <f>'DG-PV Organic'!X48</f>
        <v>Gangwon-do</v>
      </c>
      <c r="L48" s="790">
        <f>'DG-PV Organic'!K48</f>
        <v>192.024</v>
      </c>
      <c r="M48" s="799" t="str">
        <f>'DG-PV Organic'!G48</f>
        <v>B+</v>
      </c>
      <c r="N48" s="799" t="s">
        <v>575</v>
      </c>
      <c r="O48" s="1224">
        <f>'DG-PV Organic'!O48</f>
        <v>142.875</v>
      </c>
      <c r="P48" s="793">
        <f>'DG-PV Organic'!L48</f>
        <v>1344</v>
      </c>
      <c r="Q48" s="1127">
        <f t="shared" si="25"/>
        <v>3.6821917808219178</v>
      </c>
      <c r="R48" s="793">
        <f>'DG-PV Organic'!H48</f>
        <v>8.1900000000000001E-2</v>
      </c>
      <c r="S48" s="1207">
        <f>'DG-PV Organic'!Q48</f>
        <v>45962</v>
      </c>
      <c r="T48" s="1207">
        <f t="shared" si="23"/>
        <v>46143</v>
      </c>
      <c r="U48" s="1118">
        <f>'DG-PV Organic'!AJ48/1000*1.1</f>
        <v>31432.500000000004</v>
      </c>
      <c r="V48" s="1076">
        <f>'DG-PV Organic'!AK48/1000*1.1</f>
        <v>47148.750000000007</v>
      </c>
      <c r="W48" s="1076">
        <f t="shared" si="26"/>
        <v>78581.250000000015</v>
      </c>
      <c r="X48" s="1076">
        <f t="shared" si="27"/>
        <v>550.00000000000011</v>
      </c>
      <c r="Y48" s="1076">
        <f>'DG-PV Organic'!AL48/1000*1.1</f>
        <v>165020.625</v>
      </c>
      <c r="Z48" s="1168">
        <v>65000</v>
      </c>
      <c r="AA48" s="492">
        <f>'DG-PV Organic'!AI48</f>
        <v>28575000</v>
      </c>
      <c r="AB48" s="1227"/>
      <c r="AC48" s="1223"/>
      <c r="AD48" s="272"/>
      <c r="AE48" s="272"/>
      <c r="AF48" s="272"/>
      <c r="AG48" s="272"/>
      <c r="AH48" s="272"/>
      <c r="AI48" s="272"/>
      <c r="AJ48" s="272"/>
    </row>
    <row r="49" spans="1:33" ht="16.5" customHeight="1">
      <c r="A49" s="785"/>
      <c r="B49" s="1478"/>
      <c r="C49" s="1008">
        <f>SUBTOTAL(103,$D$44:D49)</f>
        <v>6</v>
      </c>
      <c r="D49" s="796" t="str">
        <f>'DG-PV Organic'!B49</f>
        <v>Dongsung Metal</v>
      </c>
      <c r="E49" s="770" t="s">
        <v>790</v>
      </c>
      <c r="F49" s="771" t="s">
        <v>791</v>
      </c>
      <c r="G49" s="771"/>
      <c r="H49" s="771"/>
      <c r="I49" s="771"/>
      <c r="J49" s="772" t="s">
        <v>2121</v>
      </c>
      <c r="K49" s="1026" t="str">
        <f>'DG-PV Organic'!X49</f>
        <v>Gyeongsangbuk-do</v>
      </c>
      <c r="L49" s="790">
        <f>'DG-PV Organic'!K49</f>
        <v>706.03344000000004</v>
      </c>
      <c r="M49" s="799" t="str">
        <f>'DG-PV Organic'!G49</f>
        <v>BB-</v>
      </c>
      <c r="N49" s="799" t="s">
        <v>575</v>
      </c>
      <c r="O49" s="1224">
        <f>'DG-PV Organic'!O49</f>
        <v>495.81</v>
      </c>
      <c r="P49" s="793">
        <f>'DG-PV Organic'!L49</f>
        <v>1424</v>
      </c>
      <c r="Q49" s="1127">
        <f t="shared" si="25"/>
        <v>3.9013698630136986</v>
      </c>
      <c r="R49" s="793">
        <f>'DG-PV Organic'!H49</f>
        <v>9.0499999999999997E-2</v>
      </c>
      <c r="S49" s="1207">
        <f>'DG-PV Organic'!Q49</f>
        <v>45962</v>
      </c>
      <c r="T49" s="1207">
        <f t="shared" si="23"/>
        <v>46143</v>
      </c>
      <c r="U49" s="1118">
        <f>'DG-PV Organic'!AJ49/1000*1.1</f>
        <v>109078.20000000001</v>
      </c>
      <c r="V49" s="1076">
        <f>'DG-PV Organic'!AK49/1000*1.1</f>
        <v>163617.30000000002</v>
      </c>
      <c r="W49" s="1076">
        <f t="shared" si="26"/>
        <v>272695.5</v>
      </c>
      <c r="X49" s="1076">
        <f t="shared" si="27"/>
        <v>550</v>
      </c>
      <c r="Y49" s="1076">
        <f>'DG-PV Organic'!AL49/1000*1.1</f>
        <v>572660.55000000005</v>
      </c>
      <c r="Z49" s="1168">
        <v>65001</v>
      </c>
      <c r="AA49" s="492">
        <f>'DG-PV Organic'!AI49</f>
        <v>99162000</v>
      </c>
      <c r="AB49" s="272"/>
      <c r="AC49" s="1223"/>
      <c r="AD49" s="272"/>
      <c r="AE49" s="272"/>
      <c r="AF49" s="272"/>
      <c r="AG49" s="272"/>
    </row>
    <row r="50" spans="1:33" ht="16.5" customHeight="1">
      <c r="A50" s="785"/>
      <c r="B50" s="1478"/>
      <c r="C50" s="1008">
        <f>SUBTOTAL(103,$D$44:D50)</f>
        <v>7</v>
      </c>
      <c r="D50" s="796" t="str">
        <f>'DG-PV Organic'!B50</f>
        <v>Seun Steel Ulsan</v>
      </c>
      <c r="E50" s="770" t="s">
        <v>797</v>
      </c>
      <c r="F50" s="771" t="s">
        <v>798</v>
      </c>
      <c r="G50" s="771"/>
      <c r="H50" s="771"/>
      <c r="I50" s="771"/>
      <c r="J50" s="772" t="s">
        <v>2122</v>
      </c>
      <c r="K50" s="1026" t="str">
        <f>'DG-PV Organic'!X50</f>
        <v>Ulsan</v>
      </c>
      <c r="L50" s="790">
        <f>'DG-PV Organic'!K50</f>
        <v>1521.71</v>
      </c>
      <c r="M50" s="799" t="str">
        <f>'DG-PV Organic'!G50</f>
        <v>BB-</v>
      </c>
      <c r="N50" s="799" t="s">
        <v>575</v>
      </c>
      <c r="O50" s="1224">
        <f>'DG-PV Organic'!O50</f>
        <v>1078</v>
      </c>
      <c r="P50" s="793">
        <f>'DG-PV Organic'!L50</f>
        <v>1412</v>
      </c>
      <c r="Q50" s="1127">
        <f t="shared" si="25"/>
        <v>3.8684931506849316</v>
      </c>
      <c r="R50" s="793" t="str">
        <f>'DG-PV Organic'!H50</f>
        <v>TBD</v>
      </c>
      <c r="S50" s="1207" t="str">
        <f>'DG-PV Organic'!Q50</f>
        <v>TBD</v>
      </c>
      <c r="T50" s="1207" t="e">
        <f t="shared" si="23"/>
        <v>#VALUE!</v>
      </c>
      <c r="U50" s="1118">
        <f>'DG-PV Organic'!AJ50/1000*1.1</f>
        <v>237160.00000000003</v>
      </c>
      <c r="V50" s="1076">
        <f>'DG-PV Organic'!AK50/1000*1.1</f>
        <v>355740</v>
      </c>
      <c r="W50" s="1076">
        <f t="shared" si="26"/>
        <v>592900</v>
      </c>
      <c r="X50" s="1076">
        <f t="shared" si="27"/>
        <v>550</v>
      </c>
      <c r="Y50" s="1076">
        <f>'DG-PV Organic'!AL50/1000*1.1</f>
        <v>1245090</v>
      </c>
      <c r="Z50" s="1168">
        <v>65002</v>
      </c>
      <c r="AA50" s="492">
        <f>'DG-PV Organic'!AI50</f>
        <v>215600000</v>
      </c>
      <c r="AB50" s="272"/>
      <c r="AC50" s="1223"/>
      <c r="AD50" s="272"/>
      <c r="AE50" s="272"/>
      <c r="AF50" s="272"/>
      <c r="AG50" s="272"/>
    </row>
    <row r="51" spans="1:33" ht="16.5" customHeight="1">
      <c r="A51" s="785"/>
      <c r="B51" s="1479">
        <f>SUM(O44:O68)</f>
        <v>20794.755000000001</v>
      </c>
      <c r="C51" s="1008">
        <f>SUBTOTAL(103,$D$44:D51)</f>
        <v>8</v>
      </c>
      <c r="D51" s="796" t="str">
        <f>'DG-PV Organic'!B51</f>
        <v>Seun Steel Busan Factory &amp; Warehouse Building</v>
      </c>
      <c r="E51" s="770" t="s">
        <v>609</v>
      </c>
      <c r="F51" s="771" t="s">
        <v>610</v>
      </c>
      <c r="G51" s="771"/>
      <c r="H51" s="771"/>
      <c r="I51" s="771"/>
      <c r="J51" s="772" t="s">
        <v>2123</v>
      </c>
      <c r="K51" s="1026" t="str">
        <f>'DG-PV Organic'!X51</f>
        <v>Busan</v>
      </c>
      <c r="L51" s="790">
        <f>'DG-PV Organic'!K51</f>
        <v>4501.8225000000002</v>
      </c>
      <c r="M51" s="799" t="str">
        <f>'DG-PV Organic'!G51</f>
        <v>BB-</v>
      </c>
      <c r="N51" s="799" t="s">
        <v>575</v>
      </c>
      <c r="O51" s="1224">
        <f>'DG-PV Organic'!O51</f>
        <v>3181.5</v>
      </c>
      <c r="P51" s="793">
        <f>'DG-PV Organic'!L51</f>
        <v>1415</v>
      </c>
      <c r="Q51" s="1127">
        <f t="shared" si="25"/>
        <v>3.8767123287671232</v>
      </c>
      <c r="R51" s="793">
        <f>'DG-PV Organic'!H51</f>
        <v>8.8099999999999998E-2</v>
      </c>
      <c r="S51" s="1207" t="str">
        <f>'DG-PV Organic'!Q51</f>
        <v>TBD</v>
      </c>
      <c r="T51" s="1207" t="e">
        <f t="shared" si="23"/>
        <v>#VALUE!</v>
      </c>
      <c r="U51" s="1118">
        <f>'DG-PV Organic'!AJ51/1000*1.1</f>
        <v>699930</v>
      </c>
      <c r="V51" s="1076">
        <f>'DG-PV Organic'!AK51/1000*1.1</f>
        <v>1049895</v>
      </c>
      <c r="W51" s="1076">
        <f t="shared" si="26"/>
        <v>1749825</v>
      </c>
      <c r="X51" s="1076">
        <f t="shared" si="27"/>
        <v>550</v>
      </c>
      <c r="Y51" s="1076">
        <f>'DG-PV Organic'!AL51/1000*1.1</f>
        <v>3674632.5000000005</v>
      </c>
      <c r="Z51" s="1168">
        <v>65003</v>
      </c>
      <c r="AA51" s="492">
        <f>'DG-PV Organic'!AI51</f>
        <v>636300000</v>
      </c>
      <c r="AB51" s="272"/>
      <c r="AC51" s="1223"/>
      <c r="AD51" s="272"/>
      <c r="AE51" s="272"/>
      <c r="AF51" s="272"/>
      <c r="AG51" s="272"/>
    </row>
    <row r="52" spans="1:33" ht="16.5" customHeight="1">
      <c r="A52" s="785"/>
      <c r="B52" s="1479"/>
      <c r="C52" s="1008">
        <f>SUBTOTAL(103,$D$44:D52)</f>
        <v>9</v>
      </c>
      <c r="D52" s="796" t="str">
        <f>'DG-PV Organic'!B52</f>
        <v>Daesun Josun Bongrae</v>
      </c>
      <c r="E52" s="770" t="s">
        <v>615</v>
      </c>
      <c r="F52" s="771" t="s">
        <v>616</v>
      </c>
      <c r="G52" s="771"/>
      <c r="H52" s="771"/>
      <c r="I52" s="771"/>
      <c r="J52" s="772" t="s">
        <v>2124</v>
      </c>
      <c r="K52" s="1026" t="str">
        <f>'DG-PV Organic'!X52</f>
        <v>Busan</v>
      </c>
      <c r="L52" s="790">
        <f>'DG-PV Organic'!K52</f>
        <v>385.68023999999997</v>
      </c>
      <c r="M52" s="799" t="str">
        <f>'DG-PV Organic'!G52</f>
        <v>CCC0</v>
      </c>
      <c r="N52" s="799" t="s">
        <v>575</v>
      </c>
      <c r="O52" s="1224">
        <f>'DG-PV Organic'!O52</f>
        <v>275.88</v>
      </c>
      <c r="P52" s="793">
        <f>'DG-PV Organic'!L52</f>
        <v>1398</v>
      </c>
      <c r="Q52" s="1127">
        <f t="shared" si="25"/>
        <v>3.8301369863013699</v>
      </c>
      <c r="R52" s="793">
        <f>'DG-PV Organic'!H52</f>
        <v>8.77E-2</v>
      </c>
      <c r="S52" s="1207" t="str">
        <f>'DG-PV Organic'!Q52</f>
        <v>TBD</v>
      </c>
      <c r="T52" s="1207" t="e">
        <f t="shared" si="23"/>
        <v>#VALUE!</v>
      </c>
      <c r="U52" s="1118">
        <f>'DG-PV Organic'!AJ52/1000*1.1</f>
        <v>60693.600000000006</v>
      </c>
      <c r="V52" s="1076">
        <f>'DG-PV Organic'!AK52/1000*1.1</f>
        <v>91040.400000000009</v>
      </c>
      <c r="W52" s="1076">
        <f t="shared" si="26"/>
        <v>151734</v>
      </c>
      <c r="X52" s="1076">
        <f t="shared" si="27"/>
        <v>550</v>
      </c>
      <c r="Y52" s="1076">
        <f>'DG-PV Organic'!AL52/1000*1.1</f>
        <v>318641.40000000002</v>
      </c>
      <c r="Z52" s="1168">
        <v>65004</v>
      </c>
      <c r="AA52" s="492">
        <f>'DG-PV Organic'!AI52</f>
        <v>55176000</v>
      </c>
      <c r="AB52" s="272"/>
      <c r="AC52" s="1223"/>
      <c r="AD52" s="272"/>
      <c r="AE52" s="272"/>
      <c r="AF52" s="272"/>
      <c r="AG52" s="272"/>
    </row>
    <row r="53" spans="1:33" ht="16.5" customHeight="1">
      <c r="A53" s="785"/>
      <c r="B53" s="1479"/>
      <c r="C53" s="1008">
        <f>SUBTOTAL(103,$D$44:D53)</f>
        <v>10</v>
      </c>
      <c r="D53" s="796" t="str">
        <f>'DG-PV Organic'!B53</f>
        <v>Daesun Josun Dadae</v>
      </c>
      <c r="E53" s="770" t="s">
        <v>879</v>
      </c>
      <c r="F53" s="771" t="s">
        <v>2125</v>
      </c>
      <c r="G53" s="771"/>
      <c r="H53" s="771"/>
      <c r="I53" s="771"/>
      <c r="J53" s="772" t="s">
        <v>2126</v>
      </c>
      <c r="K53" s="1026" t="str">
        <f>'DG-PV Organic'!X53</f>
        <v>Busan</v>
      </c>
      <c r="L53" s="790">
        <f>'DG-PV Organic'!K53</f>
        <v>6345.1924800000015</v>
      </c>
      <c r="M53" s="799" t="str">
        <f>'DG-PV Organic'!G53</f>
        <v>CCC0</v>
      </c>
      <c r="N53" s="799" t="s">
        <v>575</v>
      </c>
      <c r="O53" s="1224">
        <f>'DG-PV Organic'!O53</f>
        <v>4535.5200000000004</v>
      </c>
      <c r="P53" s="793">
        <f>'DG-PV Organic'!L53</f>
        <v>1399</v>
      </c>
      <c r="Q53" s="1127">
        <f t="shared" si="25"/>
        <v>3.8328767123287673</v>
      </c>
      <c r="R53" s="793">
        <f>'DG-PV Organic'!H53</f>
        <v>8.5599999999999996E-2</v>
      </c>
      <c r="S53" s="1207" t="str">
        <f>'DG-PV Organic'!Q53</f>
        <v>TBD</v>
      </c>
      <c r="T53" s="1207" t="e">
        <f t="shared" si="23"/>
        <v>#VALUE!</v>
      </c>
      <c r="U53" s="1118">
        <f>'DG-PV Organic'!AJ53/1000*1.1</f>
        <v>997814.40000000026</v>
      </c>
      <c r="V53" s="1076">
        <f>'DG-PV Organic'!AK53/1000*1.1</f>
        <v>1496721.6000000003</v>
      </c>
      <c r="W53" s="1076">
        <f t="shared" si="26"/>
        <v>2494536.0000000005</v>
      </c>
      <c r="X53" s="1076">
        <f t="shared" si="27"/>
        <v>550</v>
      </c>
      <c r="Y53" s="1076">
        <f>'DG-PV Organic'!AL53/1000*1.1</f>
        <v>5238525.6000000006</v>
      </c>
      <c r="Z53" s="1168">
        <v>65000</v>
      </c>
      <c r="AA53" s="492">
        <f>'DG-PV Organic'!AI53</f>
        <v>907104000.00000012</v>
      </c>
      <c r="AB53" s="272"/>
      <c r="AC53" s="1223"/>
      <c r="AD53" s="272"/>
      <c r="AE53" s="272"/>
      <c r="AF53" s="272"/>
      <c r="AG53" s="272"/>
    </row>
    <row r="54" spans="1:33" ht="16.5" customHeight="1">
      <c r="A54" s="785"/>
      <c r="B54" s="1479"/>
      <c r="C54" s="1008">
        <f>SUBTOTAL(103,$D$44:D54)</f>
        <v>11</v>
      </c>
      <c r="D54" s="796" t="str">
        <f>'DG-PV Organic'!B54</f>
        <v>Fine vestil</v>
      </c>
      <c r="E54" s="770" t="s">
        <v>629</v>
      </c>
      <c r="F54" s="771" t="s">
        <v>2127</v>
      </c>
      <c r="G54" s="771"/>
      <c r="H54" s="771"/>
      <c r="I54" s="771"/>
      <c r="J54" s="772" t="s">
        <v>2128</v>
      </c>
      <c r="K54" s="1026" t="str">
        <f>'DG-PV Organic'!X54</f>
        <v>Gyeongsangnam-do</v>
      </c>
      <c r="L54" s="790">
        <f>'DG-PV Organic'!K54</f>
        <v>5445.1809999999996</v>
      </c>
      <c r="M54" s="799" t="str">
        <f>'DG-PV Organic'!G54</f>
        <v>CCC0</v>
      </c>
      <c r="N54" s="799" t="s">
        <v>575</v>
      </c>
      <c r="O54" s="1224">
        <f>'DG-PV Organic'!O54</f>
        <v>3818.5</v>
      </c>
      <c r="P54" s="793">
        <f>'DG-PV Organic'!L54</f>
        <v>1426</v>
      </c>
      <c r="Q54" s="1127">
        <f t="shared" si="25"/>
        <v>3.9068493150684933</v>
      </c>
      <c r="R54" s="793">
        <f>'DG-PV Organic'!H54</f>
        <v>8.8599999999999998E-2</v>
      </c>
      <c r="S54" s="1207" t="str">
        <f>'DG-PV Organic'!Q54</f>
        <v>TBD</v>
      </c>
      <c r="T54" s="1207" t="e">
        <f t="shared" si="23"/>
        <v>#VALUE!</v>
      </c>
      <c r="U54" s="1118">
        <f>'DG-PV Organic'!AJ54/1000*1.1</f>
        <v>840070.00000000012</v>
      </c>
      <c r="V54" s="1076">
        <f>'DG-PV Organic'!AK54/1000*1.1</f>
        <v>1260105</v>
      </c>
      <c r="W54" s="1076">
        <f t="shared" si="26"/>
        <v>2100175</v>
      </c>
      <c r="X54" s="1076">
        <f t="shared" si="27"/>
        <v>550</v>
      </c>
      <c r="Y54" s="1076">
        <f>'DG-PV Organic'!AL54/1000*1.1</f>
        <v>4410367.5</v>
      </c>
      <c r="Z54" s="1168">
        <v>65000</v>
      </c>
      <c r="AA54" s="492">
        <f>'DG-PV Organic'!AI54</f>
        <v>763700000</v>
      </c>
      <c r="AB54" s="272"/>
      <c r="AC54" s="1223"/>
      <c r="AD54" s="272"/>
      <c r="AE54" s="272"/>
      <c r="AF54" s="272"/>
      <c r="AG54" s="272"/>
    </row>
    <row r="55" spans="1:33" ht="16.5" customHeight="1">
      <c r="A55" s="785"/>
      <c r="B55" s="1479"/>
      <c r="C55" s="1008">
        <f>SUBTOTAL(103,$D$44:D55)</f>
        <v>12</v>
      </c>
      <c r="D55" s="796" t="str">
        <f>'DG-PV Organic'!B55</f>
        <v>Dongil Steel</v>
      </c>
      <c r="E55" s="770" t="s">
        <v>822</v>
      </c>
      <c r="F55" s="771" t="s">
        <v>823</v>
      </c>
      <c r="G55" s="771"/>
      <c r="H55" s="771"/>
      <c r="I55" s="771"/>
      <c r="J55" s="772" t="s">
        <v>2129</v>
      </c>
      <c r="K55" s="1026" t="str">
        <f>'DG-PV Organic'!X55</f>
        <v>Busan</v>
      </c>
      <c r="L55" s="790">
        <f>'DG-PV Organic'!K55</f>
        <v>644.76324</v>
      </c>
      <c r="M55" s="799" t="str">
        <f>'DG-PV Organic'!G55</f>
        <v>B-</v>
      </c>
      <c r="N55" s="799" t="s">
        <v>575</v>
      </c>
      <c r="O55" s="1224">
        <f>'DG-PV Organic'!O55</f>
        <v>453.42</v>
      </c>
      <c r="P55" s="793">
        <f>'DG-PV Organic'!L55</f>
        <v>1422</v>
      </c>
      <c r="Q55" s="1127">
        <f t="shared" si="25"/>
        <v>3.8958904109589043</v>
      </c>
      <c r="R55" s="793">
        <f>'DG-PV Organic'!H55</f>
        <v>0</v>
      </c>
      <c r="S55" s="1207" t="str">
        <f>'DG-PV Organic'!Q55</f>
        <v>TBD</v>
      </c>
      <c r="T55" s="1207" t="e">
        <f t="shared" si="23"/>
        <v>#VALUE!</v>
      </c>
      <c r="U55" s="1118">
        <f>'DG-PV Organic'!AJ55/1000*1.1</f>
        <v>99752.400000000009</v>
      </c>
      <c r="V55" s="1076">
        <f>'DG-PV Organic'!AK55/1000*1.1</f>
        <v>149628.6</v>
      </c>
      <c r="W55" s="1076">
        <f t="shared" si="26"/>
        <v>249381</v>
      </c>
      <c r="X55" s="1076">
        <f t="shared" si="27"/>
        <v>550</v>
      </c>
      <c r="Y55" s="1076">
        <f>'DG-PV Organic'!AL55/1000*1.1</f>
        <v>523700.10000000003</v>
      </c>
      <c r="Z55" s="1168">
        <v>65000</v>
      </c>
      <c r="AA55" s="492">
        <f>'DG-PV Organic'!AI55</f>
        <v>90684000</v>
      </c>
      <c r="AB55" s="272"/>
      <c r="AC55" s="1223"/>
      <c r="AD55" s="272"/>
      <c r="AE55" s="272"/>
      <c r="AF55" s="272"/>
      <c r="AG55" s="272"/>
    </row>
    <row r="56" spans="1:33" ht="16.5" customHeight="1">
      <c r="A56" s="785"/>
      <c r="B56" s="1479"/>
      <c r="C56" s="1008">
        <f>SUBTOTAL(103,$D$44:D56)</f>
        <v>13</v>
      </c>
      <c r="D56" s="796" t="str">
        <f>'DG-PV Organic'!B56</f>
        <v>Vision E&amp;C</v>
      </c>
      <c r="E56" s="770"/>
      <c r="F56" s="771" t="s">
        <v>2130</v>
      </c>
      <c r="G56" s="771"/>
      <c r="H56" s="771"/>
      <c r="I56" s="771"/>
      <c r="J56" s="772"/>
      <c r="K56" s="1026" t="str">
        <f>'DG-PV Organic'!X56</f>
        <v>Chungcheongbuk-do</v>
      </c>
      <c r="L56" s="790">
        <f>'DG-PV Organic'!K56</f>
        <v>388.73</v>
      </c>
      <c r="M56" s="799" t="str">
        <f>'DG-PV Organic'!G56</f>
        <v>B0</v>
      </c>
      <c r="N56" s="799" t="s">
        <v>575</v>
      </c>
      <c r="O56" s="1224">
        <f>'DG-PV Organic'!O56</f>
        <v>277.2</v>
      </c>
      <c r="P56" s="793">
        <f>'DG-PV Organic'!L56</f>
        <v>1402</v>
      </c>
      <c r="Q56" s="1127">
        <f t="shared" si="25"/>
        <v>3.8410958904109589</v>
      </c>
      <c r="R56" s="793" t="str">
        <f>'DG-PV Organic'!H56</f>
        <v>TBD</v>
      </c>
      <c r="S56" s="1207" t="str">
        <f>'DG-PV Organic'!Q56</f>
        <v>TBD</v>
      </c>
      <c r="T56" s="1207" t="e">
        <f t="shared" si="23"/>
        <v>#VALUE!</v>
      </c>
      <c r="U56" s="1118">
        <f>'DG-PV Organic'!AJ56/1000*1.1</f>
        <v>60984.000000000007</v>
      </c>
      <c r="V56" s="1076">
        <f>'DG-PV Organic'!AK56/1000*1.1</f>
        <v>91476.000000000015</v>
      </c>
      <c r="W56" s="1076">
        <f t="shared" si="26"/>
        <v>152460.00000000003</v>
      </c>
      <c r="X56" s="1076">
        <f t="shared" si="27"/>
        <v>550.00000000000011</v>
      </c>
      <c r="Y56" s="1076">
        <f>'DG-PV Organic'!AL56/1000*1.1</f>
        <v>320166</v>
      </c>
      <c r="Z56" s="1168">
        <v>65000</v>
      </c>
      <c r="AA56" s="492">
        <f>'DG-PV Organic'!AI56</f>
        <v>55440000</v>
      </c>
      <c r="AB56" s="272"/>
      <c r="AC56" s="1223"/>
      <c r="AD56" s="272"/>
      <c r="AE56" s="272"/>
      <c r="AF56" s="272"/>
      <c r="AG56" s="272"/>
    </row>
    <row r="57" spans="1:33" ht="16.5" customHeight="1">
      <c r="A57" s="785"/>
      <c r="B57" s="1479"/>
      <c r="C57" s="1008">
        <f>SUBTOTAL(103,$D$44:D57)</f>
        <v>14</v>
      </c>
      <c r="D57" s="796" t="str">
        <f>'DG-PV Organic'!B57</f>
        <v>Daekyung Susan</v>
      </c>
      <c r="E57" s="1230"/>
      <c r="F57" s="1231"/>
      <c r="G57" s="1231"/>
      <c r="H57" s="1231"/>
      <c r="I57" s="1231"/>
      <c r="J57" s="1232"/>
      <c r="K57" s="1026" t="str">
        <f>'DG-PV Organic'!X57</f>
        <v>Gyeongsangnam-do</v>
      </c>
      <c r="L57" s="790">
        <f>'DG-PV Organic'!K57</f>
        <v>186.79395</v>
      </c>
      <c r="M57" s="799" t="str">
        <f>'DG-PV Organic'!G57</f>
        <v>Individual business owner</v>
      </c>
      <c r="N57" s="799" t="s">
        <v>575</v>
      </c>
      <c r="O57" s="1224">
        <f>'DG-PV Organic'!O57</f>
        <v>130.16999999999999</v>
      </c>
      <c r="P57" s="793">
        <f>'DG-PV Organic'!L57</f>
        <v>1435</v>
      </c>
      <c r="Q57" s="1127">
        <f t="shared" si="25"/>
        <v>3.9315068493150687</v>
      </c>
      <c r="R57" s="793">
        <f>'DG-PV Organic'!H57</f>
        <v>0</v>
      </c>
      <c r="S57" s="1207" t="str">
        <f>'DG-PV Organic'!Q57</f>
        <v>TBD</v>
      </c>
      <c r="T57" s="1207" t="e">
        <f t="shared" si="23"/>
        <v>#VALUE!</v>
      </c>
      <c r="U57" s="1118">
        <f>'DG-PV Organic'!AJ57/1000*1.1</f>
        <v>28637.399999999998</v>
      </c>
      <c r="V57" s="1076">
        <f>'DG-PV Organic'!AK57/1000*1.1</f>
        <v>42956.100000000006</v>
      </c>
      <c r="W57" s="1076">
        <f t="shared" si="26"/>
        <v>71593.5</v>
      </c>
      <c r="X57" s="1076">
        <f t="shared" si="27"/>
        <v>550</v>
      </c>
      <c r="Y57" s="1076">
        <f>'DG-PV Organic'!AL57/1000*1.1</f>
        <v>150346.34999999998</v>
      </c>
      <c r="Z57" s="1168">
        <v>65000</v>
      </c>
      <c r="AA57" s="492">
        <f>'DG-PV Organic'!AI57</f>
        <v>26033999.999999996</v>
      </c>
      <c r="AB57" s="272"/>
      <c r="AC57" s="1223"/>
      <c r="AD57" s="272"/>
      <c r="AE57" s="272"/>
      <c r="AF57" s="272"/>
      <c r="AG57" s="272"/>
    </row>
    <row r="58" spans="1:33" ht="16.5" customHeight="1">
      <c r="A58" s="785"/>
      <c r="B58" s="1479"/>
      <c r="C58" s="1008">
        <f>SUBTOTAL(103,$D$44:D58)</f>
        <v>15</v>
      </c>
      <c r="D58" s="796" t="str">
        <f>'DG-PV Organic'!B58</f>
        <v>Kangsung Industry</v>
      </c>
      <c r="E58" s="1230"/>
      <c r="F58" s="1231"/>
      <c r="G58" s="1231"/>
      <c r="H58" s="1231"/>
      <c r="I58" s="1231"/>
      <c r="J58" s="1232"/>
      <c r="K58" s="1026" t="str">
        <f>'DG-PV Organic'!X58</f>
        <v>Gyeongsangnam-do</v>
      </c>
      <c r="L58" s="790">
        <f>'DG-PV Organic'!K58</f>
        <v>258.59231999999997</v>
      </c>
      <c r="M58" s="799" t="str">
        <f>'DG-PV Organic'!G58</f>
        <v>Individual business owner</v>
      </c>
      <c r="N58" s="799" t="s">
        <v>575</v>
      </c>
      <c r="O58" s="1224">
        <f>'DG-PV Organic'!O58</f>
        <v>182.88</v>
      </c>
      <c r="P58" s="793">
        <f>'DG-PV Organic'!L58</f>
        <v>1414</v>
      </c>
      <c r="Q58" s="1127">
        <f t="shared" si="25"/>
        <v>3.8739726027397259</v>
      </c>
      <c r="R58" s="793">
        <f>'DG-PV Organic'!H58</f>
        <v>0</v>
      </c>
      <c r="S58" s="1207" t="str">
        <f>'DG-PV Organic'!Q58</f>
        <v>TBD</v>
      </c>
      <c r="T58" s="1207" t="e">
        <f t="shared" si="23"/>
        <v>#VALUE!</v>
      </c>
      <c r="U58" s="1118">
        <f>'DG-PV Organic'!AJ58/1000*1.1</f>
        <v>40233.600000000006</v>
      </c>
      <c r="V58" s="1076">
        <f>'DG-PV Organic'!AK58/1000*1.1</f>
        <v>60350.400000000001</v>
      </c>
      <c r="W58" s="1076">
        <f t="shared" si="26"/>
        <v>100584</v>
      </c>
      <c r="X58" s="1076">
        <f t="shared" si="27"/>
        <v>550</v>
      </c>
      <c r="Y58" s="1076">
        <f>'DG-PV Organic'!AL58/1000*1.1</f>
        <v>211226.40000000002</v>
      </c>
      <c r="Z58" s="1168">
        <v>65000</v>
      </c>
      <c r="AA58" s="492">
        <f>'DG-PV Organic'!AI58</f>
        <v>36576000</v>
      </c>
      <c r="AB58" s="272"/>
      <c r="AC58" s="1223"/>
      <c r="AD58" s="272"/>
      <c r="AE58" s="272"/>
      <c r="AF58" s="272"/>
      <c r="AG58" s="272"/>
    </row>
    <row r="59" spans="1:33" ht="16.5" customHeight="1">
      <c r="A59" s="785"/>
      <c r="B59" s="1479"/>
      <c r="C59" s="1008">
        <f>SUBTOTAL(103,$D$44:D59)</f>
        <v>16</v>
      </c>
      <c r="D59" s="796" t="str">
        <f>'DG-PV Organic'!B59</f>
        <v>Taewon Industry</v>
      </c>
      <c r="E59" s="1230"/>
      <c r="F59" s="1231"/>
      <c r="G59" s="1231"/>
      <c r="H59" s="1231"/>
      <c r="I59" s="1231"/>
      <c r="J59" s="1232"/>
      <c r="K59" s="1026" t="str">
        <f>'DG-PV Organic'!X59</f>
        <v>Gyeongsangnam-do</v>
      </c>
      <c r="L59" s="790">
        <f>'DG-PV Organic'!K59</f>
        <v>315.5061</v>
      </c>
      <c r="M59" s="799" t="str">
        <f>'DG-PV Organic'!G59</f>
        <v>B+</v>
      </c>
      <c r="N59" s="799" t="s">
        <v>575</v>
      </c>
      <c r="O59" s="1224">
        <f>'DG-PV Organic'!O59</f>
        <v>214.63</v>
      </c>
      <c r="P59" s="793">
        <f>'DG-PV Organic'!L59</f>
        <v>1470</v>
      </c>
      <c r="Q59" s="1127">
        <f t="shared" si="25"/>
        <v>4.0273972602739727</v>
      </c>
      <c r="R59" s="793">
        <f>'DG-PV Organic'!H59</f>
        <v>0</v>
      </c>
      <c r="S59" s="1207" t="str">
        <f>'DG-PV Organic'!Q59</f>
        <v>TBD</v>
      </c>
      <c r="T59" s="1207" t="e">
        <f t="shared" si="23"/>
        <v>#VALUE!</v>
      </c>
      <c r="U59" s="1118">
        <f>'DG-PV Organic'!AJ59/1000*1.1</f>
        <v>47218.600000000006</v>
      </c>
      <c r="V59" s="1076">
        <f>'DG-PV Organic'!AK59/1000*1.1</f>
        <v>70827.900000000009</v>
      </c>
      <c r="W59" s="1076">
        <f t="shared" si="26"/>
        <v>118046.50000000001</v>
      </c>
      <c r="X59" s="1076">
        <f t="shared" si="27"/>
        <v>550.00000000000011</v>
      </c>
      <c r="Y59" s="1076">
        <f>'DG-PV Organic'!AL59/1000*1.1</f>
        <v>247897.65000000002</v>
      </c>
      <c r="Z59" s="1168">
        <v>65000</v>
      </c>
      <c r="AA59" s="492">
        <f>'DG-PV Organic'!AI59</f>
        <v>42926000</v>
      </c>
      <c r="AB59" s="272"/>
      <c r="AC59" s="1223"/>
      <c r="AD59" s="272"/>
      <c r="AE59" s="272"/>
      <c r="AF59" s="272"/>
      <c r="AG59" s="272"/>
    </row>
    <row r="60" spans="1:33" ht="16.5" customHeight="1">
      <c r="A60" s="785"/>
      <c r="B60" s="1479"/>
      <c r="C60" s="1008">
        <f>SUBTOTAL(103,$D$44:D60)</f>
        <v>17</v>
      </c>
      <c r="D60" s="796" t="str">
        <f>'DG-PV Organic'!B60</f>
        <v>World Paper 1-1</v>
      </c>
      <c r="E60" s="1230"/>
      <c r="F60" s="1231"/>
      <c r="G60" s="1231"/>
      <c r="H60" s="1231"/>
      <c r="I60" s="1231"/>
      <c r="J60" s="1232"/>
      <c r="K60" s="1026" t="str">
        <f>'DG-PV Organic'!X60</f>
        <v>Gyeonggi-do</v>
      </c>
      <c r="L60" s="790">
        <f>'DG-PV Organic'!K60</f>
        <v>208.23936</v>
      </c>
      <c r="M60" s="799" t="str">
        <f>'DG-PV Organic'!G60</f>
        <v>BB+</v>
      </c>
      <c r="N60" s="799" t="s">
        <v>575</v>
      </c>
      <c r="O60" s="1224">
        <f>'DG-PV Organic'!O60</f>
        <v>142.24</v>
      </c>
      <c r="P60" s="793">
        <f>'DG-PV Organic'!L60</f>
        <v>1464</v>
      </c>
      <c r="Q60" s="1127">
        <f t="shared" si="25"/>
        <v>4.0109589041095894</v>
      </c>
      <c r="R60" s="793">
        <f>'DG-PV Organic'!H60</f>
        <v>0</v>
      </c>
      <c r="S60" s="1207" t="str">
        <f>'DG-PV Organic'!Q60</f>
        <v>TBD</v>
      </c>
      <c r="T60" s="1207" t="e">
        <f t="shared" si="23"/>
        <v>#VALUE!</v>
      </c>
      <c r="U60" s="1118">
        <f>'DG-PV Organic'!AJ60/1000*1.1</f>
        <v>31292.800000000003</v>
      </c>
      <c r="V60" s="1076">
        <f>'DG-PV Organic'!AK60/1000*1.1</f>
        <v>46939.200000000004</v>
      </c>
      <c r="W60" s="1076">
        <f t="shared" si="26"/>
        <v>78232</v>
      </c>
      <c r="X60" s="1076">
        <f t="shared" si="27"/>
        <v>550</v>
      </c>
      <c r="Y60" s="1076">
        <f>'DG-PV Organic'!AL60/1000*1.1</f>
        <v>164287.20000000001</v>
      </c>
      <c r="Z60" s="1168">
        <v>65000</v>
      </c>
      <c r="AA60" s="492">
        <f>'DG-PV Organic'!AI60</f>
        <v>28448000</v>
      </c>
      <c r="AB60" s="272"/>
      <c r="AC60" s="1223"/>
      <c r="AD60" s="272"/>
      <c r="AE60" s="272"/>
      <c r="AF60" s="272"/>
      <c r="AG60" s="272"/>
    </row>
    <row r="61" spans="1:33" ht="16.5" customHeight="1">
      <c r="A61" s="785"/>
      <c r="B61" s="1479"/>
      <c r="C61" s="1008">
        <f>SUBTOTAL(103,$D$44:D61)</f>
        <v>18</v>
      </c>
      <c r="D61" s="796" t="str">
        <f>'DG-PV Organic'!B61</f>
        <v>World paper 1-2</v>
      </c>
      <c r="E61" s="1230"/>
      <c r="F61" s="1231"/>
      <c r="G61" s="1231"/>
      <c r="H61" s="1231"/>
      <c r="I61" s="1231"/>
      <c r="J61" s="1232"/>
      <c r="K61" s="1026" t="str">
        <f>'DG-PV Organic'!X61</f>
        <v>Gyeonggi-do</v>
      </c>
      <c r="L61" s="790">
        <f>'DG-PV Organic'!K61</f>
        <v>319.89141000000001</v>
      </c>
      <c r="M61" s="799" t="str">
        <f>'DG-PV Organic'!G61</f>
        <v>BB+</v>
      </c>
      <c r="N61" s="799" t="s">
        <v>575</v>
      </c>
      <c r="O61" s="1224">
        <f>'DG-PV Organic'!O61</f>
        <v>217.17</v>
      </c>
      <c r="P61" s="793">
        <f>'DG-PV Organic'!L61</f>
        <v>1473</v>
      </c>
      <c r="Q61" s="1127">
        <f t="shared" si="25"/>
        <v>4.0356164383561648</v>
      </c>
      <c r="R61" s="793">
        <f>'DG-PV Organic'!H61</f>
        <v>0</v>
      </c>
      <c r="S61" s="1207" t="str">
        <f>'DG-PV Organic'!Q61</f>
        <v>TBD</v>
      </c>
      <c r="T61" s="1207" t="e">
        <f t="shared" si="23"/>
        <v>#VALUE!</v>
      </c>
      <c r="U61" s="1118">
        <f>'DG-PV Organic'!AJ61/1000*1.1</f>
        <v>47777.4</v>
      </c>
      <c r="V61" s="1076">
        <f>'DG-PV Organic'!AK61/1000*1.1</f>
        <v>71666.100000000006</v>
      </c>
      <c r="W61" s="1076">
        <f t="shared" si="26"/>
        <v>119443.5</v>
      </c>
      <c r="X61" s="1076">
        <f t="shared" si="27"/>
        <v>550</v>
      </c>
      <c r="Y61" s="1076">
        <f>'DG-PV Organic'!AL61/1000*1.1</f>
        <v>250831.35</v>
      </c>
      <c r="Z61" s="1168">
        <v>65000</v>
      </c>
      <c r="AA61" s="492">
        <f>'DG-PV Organic'!AI61</f>
        <v>43434000</v>
      </c>
      <c r="AB61" s="272"/>
      <c r="AC61" s="1223"/>
      <c r="AD61" s="272"/>
      <c r="AE61" s="272"/>
      <c r="AF61" s="272"/>
      <c r="AG61" s="272"/>
    </row>
    <row r="62" spans="1:33" ht="16.5" customHeight="1">
      <c r="A62" s="785"/>
      <c r="B62" s="1479"/>
      <c r="C62" s="1008">
        <f>SUBTOTAL(103,$D$44:D62)</f>
        <v>19</v>
      </c>
      <c r="D62" s="796" t="str">
        <f>'DG-PV Organic'!B62</f>
        <v>Hanjin Susan  (building owned by an individual)</v>
      </c>
      <c r="E62" s="1230"/>
      <c r="F62" s="1231"/>
      <c r="G62" s="1231"/>
      <c r="H62" s="1231"/>
      <c r="I62" s="1231"/>
      <c r="J62" s="1232"/>
      <c r="K62" s="1026" t="str">
        <f>'DG-PV Organic'!X62</f>
        <v>Gyeongsangnam-do</v>
      </c>
      <c r="L62" s="790">
        <f>'DG-PV Organic'!K62</f>
        <v>244.41911999999996</v>
      </c>
      <c r="M62" s="799" t="str">
        <f>'DG-PV Organic'!G62</f>
        <v>Individual business owner</v>
      </c>
      <c r="N62" s="799" t="s">
        <v>575</v>
      </c>
      <c r="O62" s="1224">
        <f>'DG-PV Organic'!O62</f>
        <v>167.64</v>
      </c>
      <c r="P62" s="793">
        <f>'DG-PV Organic'!L62</f>
        <v>1458</v>
      </c>
      <c r="Q62" s="1127">
        <f t="shared" si="25"/>
        <v>3.9945205479452053</v>
      </c>
      <c r="R62" s="793">
        <f>'DG-PV Organic'!H62</f>
        <v>0</v>
      </c>
      <c r="S62" s="1207" t="str">
        <f>'DG-PV Organic'!Q62</f>
        <v>TBD</v>
      </c>
      <c r="T62" s="1207" t="e">
        <f t="shared" si="23"/>
        <v>#VALUE!</v>
      </c>
      <c r="U62" s="1118">
        <f>'DG-PV Organic'!AJ62/1000*1.1</f>
        <v>36880.799999999996</v>
      </c>
      <c r="V62" s="1076">
        <f>'DG-PV Organic'!AK62/1000*1.1</f>
        <v>55321.2</v>
      </c>
      <c r="W62" s="1076">
        <f t="shared" si="26"/>
        <v>92202</v>
      </c>
      <c r="X62" s="1076">
        <f t="shared" si="27"/>
        <v>550</v>
      </c>
      <c r="Y62" s="1076">
        <f>'DG-PV Organic'!AL62/1000*1.1</f>
        <v>193624.2</v>
      </c>
      <c r="Z62" s="1168">
        <v>65000</v>
      </c>
      <c r="AA62" s="492">
        <f>'DG-PV Organic'!AI62</f>
        <v>33527999.999999996</v>
      </c>
      <c r="AB62" s="272"/>
      <c r="AC62" s="1223"/>
      <c r="AD62" s="272"/>
      <c r="AE62" s="272"/>
      <c r="AF62" s="272"/>
      <c r="AG62" s="272"/>
    </row>
    <row r="63" spans="1:33" ht="16.5" customHeight="1">
      <c r="A63" s="785"/>
      <c r="B63" s="1479"/>
      <c r="C63" s="1008">
        <f>SUBTOTAL(103,$D$44:D63)</f>
        <v>20</v>
      </c>
      <c r="D63" s="796" t="str">
        <f>'DG-PV Organic'!B63</f>
        <v>Chemsfield Korea</v>
      </c>
      <c r="E63" s="1230"/>
      <c r="F63" s="1231"/>
      <c r="G63" s="1231"/>
      <c r="H63" s="1231"/>
      <c r="I63" s="1231"/>
      <c r="J63" s="1232"/>
      <c r="K63" s="1026" t="str">
        <f>'DG-PV Organic'!X63</f>
        <v>Gyeonggi-do</v>
      </c>
      <c r="L63" s="790">
        <f>'DG-PV Organic'!K63</f>
        <v>856.90710000000001</v>
      </c>
      <c r="M63" s="799" t="str">
        <f>'DG-PV Organic'!G63</f>
        <v>CCC0</v>
      </c>
      <c r="N63" s="799" t="s">
        <v>575</v>
      </c>
      <c r="O63" s="1224">
        <f>'DG-PV Organic'!O63</f>
        <v>582.92999999999995</v>
      </c>
      <c r="P63" s="793">
        <f>'DG-PV Organic'!L63</f>
        <v>1470</v>
      </c>
      <c r="Q63" s="1127">
        <f t="shared" si="25"/>
        <v>4.0273972602739727</v>
      </c>
      <c r="R63" s="793">
        <f>'DG-PV Organic'!H63</f>
        <v>0</v>
      </c>
      <c r="S63" s="1207" t="str">
        <f>'DG-PV Organic'!Q63</f>
        <v>TBD</v>
      </c>
      <c r="T63" s="1207" t="e">
        <f t="shared" si="23"/>
        <v>#VALUE!</v>
      </c>
      <c r="U63" s="1118">
        <f>'DG-PV Organic'!AJ63/1000*1.1</f>
        <v>128244.59999999999</v>
      </c>
      <c r="V63" s="1076">
        <f>'DG-PV Organic'!AK63/1000*1.1</f>
        <v>192366.90000000002</v>
      </c>
      <c r="W63" s="1076">
        <f t="shared" si="26"/>
        <v>320611.5</v>
      </c>
      <c r="X63" s="1076">
        <f t="shared" si="27"/>
        <v>550</v>
      </c>
      <c r="Y63" s="1076">
        <f>'DG-PV Organic'!AL63/1000*1.1</f>
        <v>673284.15</v>
      </c>
      <c r="Z63" s="1168">
        <v>65000</v>
      </c>
      <c r="AA63" s="492">
        <f>'DG-PV Organic'!AI63</f>
        <v>116585999.99999999</v>
      </c>
      <c r="AB63" s="272"/>
      <c r="AC63" s="1223"/>
      <c r="AD63" s="272"/>
      <c r="AE63" s="272"/>
      <c r="AF63" s="272"/>
      <c r="AG63" s="272"/>
    </row>
    <row r="64" spans="1:33" ht="16.5" customHeight="1">
      <c r="A64" s="785"/>
      <c r="B64" s="1479"/>
      <c r="C64" s="1008">
        <f>SUBTOTAL(103,$D$44:D64)</f>
        <v>21</v>
      </c>
      <c r="D64" s="796" t="str">
        <f>'DG-PV Organic'!B64</f>
        <v>Lux Electric</v>
      </c>
      <c r="E64" s="1230"/>
      <c r="F64" s="1231"/>
      <c r="G64" s="1231"/>
      <c r="H64" s="1231"/>
      <c r="I64" s="1231"/>
      <c r="J64" s="1232"/>
      <c r="K64" s="1026" t="str">
        <f>'DG-PV Organic'!X64</f>
        <v>Chungcheongnam-do</v>
      </c>
      <c r="L64" s="790">
        <f>'DG-PV Organic'!K64</f>
        <v>361.01365999999996</v>
      </c>
      <c r="M64" s="799" t="str">
        <f>'DG-PV Organic'!G64</f>
        <v>BB+</v>
      </c>
      <c r="N64" s="799" t="s">
        <v>575</v>
      </c>
      <c r="O64" s="1224">
        <f>'DG-PV Organic'!O64</f>
        <v>248.29</v>
      </c>
      <c r="P64" s="793">
        <f>'DG-PV Organic'!L64</f>
        <v>1454</v>
      </c>
      <c r="Q64" s="1127">
        <f t="shared" si="25"/>
        <v>3.9835616438356163</v>
      </c>
      <c r="R64" s="793">
        <f>'DG-PV Organic'!H64</f>
        <v>0</v>
      </c>
      <c r="S64" s="1207" t="str">
        <f>'DG-PV Organic'!Q64</f>
        <v>TBD</v>
      </c>
      <c r="T64" s="1238" t="e">
        <f t="shared" si="23"/>
        <v>#VALUE!</v>
      </c>
      <c r="U64" s="1118">
        <f>'DG-PV Organic'!AJ64/1000*1.1</f>
        <v>54623.8</v>
      </c>
      <c r="V64" s="1076">
        <f>'DG-PV Organic'!AK64/1000*1.1</f>
        <v>81935.700000000012</v>
      </c>
      <c r="W64" s="1076">
        <f t="shared" si="26"/>
        <v>136559.5</v>
      </c>
      <c r="X64" s="1076">
        <f t="shared" si="27"/>
        <v>550</v>
      </c>
      <c r="Y64" s="1076">
        <f>'DG-PV Organic'!AL64/1000*1.1</f>
        <v>286774.95</v>
      </c>
      <c r="Z64" s="1168">
        <v>65000</v>
      </c>
      <c r="AA64" s="492">
        <f>'DG-PV Organic'!AI64</f>
        <v>49658000</v>
      </c>
      <c r="AB64" s="272"/>
      <c r="AC64" s="1223"/>
      <c r="AD64" s="272"/>
      <c r="AE64" s="272"/>
      <c r="AF64" s="272"/>
      <c r="AG64" s="272"/>
    </row>
    <row r="65" spans="1:36">
      <c r="A65" s="785"/>
      <c r="B65" s="1479"/>
      <c r="C65" s="1008">
        <f>SUBTOTAL(103,$D$44:D65)</f>
        <v>22</v>
      </c>
      <c r="D65" s="796" t="str">
        <f>'DG-PV Organic'!B65</f>
        <v>Keohwa</v>
      </c>
      <c r="E65" s="1230"/>
      <c r="F65" s="1231"/>
      <c r="G65" s="1231"/>
      <c r="H65" s="1231"/>
      <c r="I65" s="1231"/>
      <c r="J65" s="1232"/>
      <c r="K65" s="1026" t="str">
        <f>'DG-PV Organic'!X65</f>
        <v>Gyeonggi-do</v>
      </c>
      <c r="L65" s="790">
        <f>'DG-PV Organic'!K65</f>
        <v>1719.7171600000001</v>
      </c>
      <c r="M65" s="799" t="str">
        <f>'DG-PV Organic'!G65</f>
        <v>BB+</v>
      </c>
      <c r="N65" s="799" t="s">
        <v>575</v>
      </c>
      <c r="O65" s="1224">
        <f>'DG-PV Organic'!O65</f>
        <v>1217.93</v>
      </c>
      <c r="P65" s="793">
        <f>'DG-PV Organic'!L65</f>
        <v>1412</v>
      </c>
      <c r="Q65" s="1127">
        <f t="shared" si="25"/>
        <v>3.8684931506849316</v>
      </c>
      <c r="R65" s="793">
        <f>'DG-PV Organic'!H65</f>
        <v>0</v>
      </c>
      <c r="S65" s="1207" t="str">
        <f>'DG-PV Organic'!Q65</f>
        <v>TBD</v>
      </c>
      <c r="T65" s="1238" t="e">
        <f t="shared" si="23"/>
        <v>#VALUE!</v>
      </c>
      <c r="U65" s="1118">
        <f>'DG-PV Organic'!AJ65/1000*1.1</f>
        <v>267944.60000000003</v>
      </c>
      <c r="V65" s="1076">
        <f>'DG-PV Organic'!AK65/1000*1.1</f>
        <v>401916.9</v>
      </c>
      <c r="W65" s="1076">
        <f t="shared" si="26"/>
        <v>669861.5</v>
      </c>
      <c r="X65" s="1076">
        <f t="shared" si="27"/>
        <v>550</v>
      </c>
      <c r="Y65" s="1076">
        <f>'DG-PV Organic'!AL65/1000*1.1</f>
        <v>1406709.1500000001</v>
      </c>
      <c r="Z65" s="1168">
        <v>65000</v>
      </c>
      <c r="AA65" s="492">
        <f>'DG-PV Organic'!AI65</f>
        <v>243586000</v>
      </c>
      <c r="AB65" s="846"/>
      <c r="AC65" s="1209"/>
      <c r="AD65" s="272"/>
      <c r="AE65" s="1084"/>
      <c r="AF65" s="272"/>
      <c r="AG65" s="272"/>
      <c r="AH65" s="272"/>
      <c r="AI65" s="272"/>
      <c r="AJ65" s="272"/>
    </row>
    <row r="66" spans="1:36">
      <c r="A66" s="785"/>
      <c r="B66" s="1479"/>
      <c r="C66" s="1008">
        <f>SUBTOTAL(103,$D$44:D66)</f>
        <v>23</v>
      </c>
      <c r="D66" s="796" t="str">
        <f>'DG-PV Organic'!B66</f>
        <v>Dong-A</v>
      </c>
      <c r="E66" s="1230"/>
      <c r="F66" s="1231"/>
      <c r="G66" s="1231"/>
      <c r="H66" s="1231"/>
      <c r="I66" s="1231"/>
      <c r="J66" s="1232"/>
      <c r="K66" s="1026" t="str">
        <f>'DG-PV Organic'!X66</f>
        <v>Chungcheongnam-do</v>
      </c>
      <c r="L66" s="790">
        <f>'DG-PV Organic'!K66</f>
        <v>289.35679999999996</v>
      </c>
      <c r="M66" s="799" t="str">
        <f>'DG-PV Organic'!G66</f>
        <v>BBB-</v>
      </c>
      <c r="N66" s="799" t="s">
        <v>575</v>
      </c>
      <c r="O66" s="1224">
        <f>'DG-PV Organic'!O66</f>
        <v>203.2</v>
      </c>
      <c r="P66" s="793">
        <f>'DG-PV Organic'!L66</f>
        <v>1424</v>
      </c>
      <c r="Q66" s="1127">
        <f t="shared" si="25"/>
        <v>3.9013698630136986</v>
      </c>
      <c r="R66" s="793">
        <f>'DG-PV Organic'!H66</f>
        <v>0</v>
      </c>
      <c r="S66" s="1207" t="str">
        <f>'DG-PV Organic'!Q66</f>
        <v>TBD</v>
      </c>
      <c r="T66" s="1238" t="e">
        <f t="shared" si="23"/>
        <v>#VALUE!</v>
      </c>
      <c r="U66" s="1118">
        <f>'DG-PV Organic'!AJ66/1000*1.1</f>
        <v>44704</v>
      </c>
      <c r="V66" s="1076">
        <f>'DG-PV Organic'!AK66/1000*1.1</f>
        <v>67056</v>
      </c>
      <c r="W66" s="1076">
        <f t="shared" si="26"/>
        <v>111760</v>
      </c>
      <c r="X66" s="1076">
        <f t="shared" si="27"/>
        <v>550</v>
      </c>
      <c r="Y66" s="1076">
        <f>'DG-PV Organic'!AL66/1000*1.1</f>
        <v>234696.00000000003</v>
      </c>
      <c r="Z66" s="1168">
        <v>65000</v>
      </c>
      <c r="AA66" s="492">
        <f>'DG-PV Organic'!AI66</f>
        <v>40640000</v>
      </c>
      <c r="AB66" s="846"/>
      <c r="AC66" s="1209"/>
      <c r="AD66" s="272"/>
      <c r="AE66" s="1476"/>
      <c r="AF66" s="272"/>
      <c r="AG66" s="272"/>
      <c r="AH66" s="272"/>
      <c r="AI66" s="272"/>
      <c r="AJ66" s="272"/>
    </row>
    <row r="67" spans="1:36">
      <c r="A67" s="785"/>
      <c r="B67" s="1479"/>
      <c r="C67" s="1008">
        <f>SUBTOTAL(103,$D$44:D67)</f>
        <v>24</v>
      </c>
      <c r="D67" s="796" t="str">
        <f>'DG-PV Organic'!B67</f>
        <v>Kookje University</v>
      </c>
      <c r="E67" s="1230"/>
      <c r="F67" s="1231"/>
      <c r="G67" s="1231"/>
      <c r="H67" s="1231"/>
      <c r="I67" s="1231"/>
      <c r="J67" s="1232"/>
      <c r="K67" s="1026" t="str">
        <f>'DG-PV Organic'!X67</f>
        <v>Gyeonggi-do</v>
      </c>
      <c r="L67" s="790">
        <f>'DG-PV Organic'!K67</f>
        <v>2548.1762599999997</v>
      </c>
      <c r="M67" s="799" t="str">
        <f>'DG-PV Organic'!G67</f>
        <v>University (non-profit organization)</v>
      </c>
      <c r="N67" s="799" t="s">
        <v>575</v>
      </c>
      <c r="O67" s="1224">
        <f>'DG-PV Organic'!O67</f>
        <v>1764.67</v>
      </c>
      <c r="P67" s="793">
        <f>'DG-PV Organic'!L67</f>
        <v>1444</v>
      </c>
      <c r="Q67" s="1127">
        <f t="shared" si="25"/>
        <v>3.956164383561644</v>
      </c>
      <c r="R67" s="793">
        <f>'DG-PV Organic'!H67</f>
        <v>0</v>
      </c>
      <c r="S67" s="1207" t="str">
        <f>'DG-PV Organic'!Q67</f>
        <v>TBD</v>
      </c>
      <c r="T67" s="1238" t="e">
        <f t="shared" si="23"/>
        <v>#VALUE!</v>
      </c>
      <c r="U67" s="1118">
        <f>'DG-PV Organic'!AJ67/1000*1.1</f>
        <v>388227.4</v>
      </c>
      <c r="V67" s="1076">
        <f>'DG-PV Organic'!AK67/1000*1.1</f>
        <v>582341.10000000009</v>
      </c>
      <c r="W67" s="1076">
        <f t="shared" si="26"/>
        <v>970568.50000000012</v>
      </c>
      <c r="X67" s="1076">
        <f t="shared" si="27"/>
        <v>550</v>
      </c>
      <c r="Y67" s="1076">
        <f>'DG-PV Organic'!AL67/1000*1.1</f>
        <v>2038193.85</v>
      </c>
      <c r="Z67" s="1168">
        <v>65000</v>
      </c>
      <c r="AA67" s="492">
        <f>'DG-PV Organic'!AI67</f>
        <v>126175125</v>
      </c>
      <c r="AB67" s="846"/>
      <c r="AC67" s="1209"/>
      <c r="AD67" s="272"/>
      <c r="AE67" s="1476"/>
      <c r="AF67" s="272"/>
      <c r="AG67" s="272"/>
      <c r="AH67" s="272"/>
      <c r="AI67" s="272"/>
      <c r="AJ67" s="272"/>
    </row>
    <row r="68" spans="1:36" ht="17.25" thickBot="1">
      <c r="A68" s="785"/>
      <c r="B68" s="1480"/>
      <c r="C68" s="1140">
        <f>SUBTOTAL(103,$D$44:D68)</f>
        <v>25</v>
      </c>
      <c r="D68" s="1141" t="str">
        <f>'DG-PV Organic'!B68</f>
        <v>Good Road</v>
      </c>
      <c r="E68" s="1142"/>
      <c r="F68" s="1143"/>
      <c r="G68" s="1143"/>
      <c r="H68" s="1143"/>
      <c r="I68" s="1143"/>
      <c r="J68" s="1144"/>
      <c r="K68" s="1287" t="str">
        <f>'DG-PV Organic'!X68</f>
        <v>Gyeongsangbuk-do</v>
      </c>
      <c r="L68" s="1146">
        <f>'DG-PV Organic'!K68</f>
        <v>622.75652999999988</v>
      </c>
      <c r="M68" s="1147" t="str">
        <f>'DG-PV Organic'!G68</f>
        <v>BB0</v>
      </c>
      <c r="N68" s="1147" t="s">
        <v>575</v>
      </c>
      <c r="O68" s="1225">
        <f>'DG-PV Organic'!O68</f>
        <v>438.87</v>
      </c>
      <c r="P68" s="1449">
        <f>'DG-PV Organic'!L68</f>
        <v>1419</v>
      </c>
      <c r="Q68" s="1450">
        <f t="shared" si="25"/>
        <v>3.8876712328767122</v>
      </c>
      <c r="R68" s="1449">
        <f>'DG-PV Organic'!H68</f>
        <v>0</v>
      </c>
      <c r="S68" s="1451" t="str">
        <f>'DG-PV Organic'!Q68</f>
        <v>TBD</v>
      </c>
      <c r="T68" s="1452" t="e">
        <f t="shared" si="23"/>
        <v>#VALUE!</v>
      </c>
      <c r="U68" s="1152">
        <f>'DG-PV Organic'!AJ68/1000*1.1</f>
        <v>96551.400000000009</v>
      </c>
      <c r="V68" s="1153">
        <f>'DG-PV Organic'!AK68/1000*1.1</f>
        <v>144827.1</v>
      </c>
      <c r="W68" s="1153">
        <f t="shared" si="26"/>
        <v>241378.5</v>
      </c>
      <c r="X68" s="1153">
        <f t="shared" si="27"/>
        <v>550</v>
      </c>
      <c r="Y68" s="1153">
        <f>'DG-PV Organic'!AL68/1000*1.1</f>
        <v>506894.85000000003</v>
      </c>
      <c r="Z68" s="1453">
        <v>65000</v>
      </c>
      <c r="AA68" s="492">
        <f>'DG-PV Organic'!AI68</f>
        <v>87774000</v>
      </c>
      <c r="AB68" s="846"/>
      <c r="AC68" s="1209"/>
      <c r="AD68" s="272"/>
      <c r="AE68" s="1476"/>
      <c r="AF68" s="272"/>
      <c r="AG68" s="272"/>
      <c r="AH68" s="272"/>
      <c r="AI68" s="272"/>
      <c r="AJ68" s="272"/>
    </row>
    <row r="69" spans="1:36" ht="16.5" customHeight="1" collapsed="1" thickTop="1">
      <c r="A69" s="2923" t="s">
        <v>2090</v>
      </c>
      <c r="B69" s="2924"/>
      <c r="C69" s="793"/>
      <c r="D69" s="796"/>
      <c r="E69" s="780"/>
      <c r="F69" s="781"/>
      <c r="G69" s="781"/>
      <c r="H69" s="781"/>
      <c r="I69" s="781"/>
      <c r="J69" s="782"/>
      <c r="K69" s="1026"/>
      <c r="L69" s="790"/>
      <c r="M69" s="799"/>
      <c r="N69" s="799"/>
      <c r="O69" s="1165">
        <f>SUM(O72:O95)</f>
        <v>35118.410000000003</v>
      </c>
      <c r="P69" s="793"/>
      <c r="Q69" s="783"/>
      <c r="R69" s="803"/>
      <c r="S69" s="806"/>
      <c r="T69" s="806"/>
      <c r="U69" s="1118"/>
      <c r="V69" s="1076"/>
      <c r="W69" s="1076"/>
      <c r="X69" s="1076"/>
      <c r="Y69" s="1076"/>
      <c r="Z69" s="1124"/>
      <c r="AA69" s="492"/>
      <c r="AB69" s="272"/>
      <c r="AC69" s="272"/>
      <c r="AD69" s="272"/>
      <c r="AE69" s="272"/>
      <c r="AF69" s="272"/>
      <c r="AG69" s="272"/>
      <c r="AH69" s="272"/>
      <c r="AI69" s="272"/>
      <c r="AJ69" s="272"/>
    </row>
    <row r="70" spans="1:36" ht="16.5" customHeight="1">
      <c r="A70" s="2925" t="s">
        <v>2091</v>
      </c>
      <c r="B70" s="2926"/>
      <c r="C70" s="793"/>
      <c r="D70" s="796"/>
      <c r="E70" s="780"/>
      <c r="F70" s="781"/>
      <c r="G70" s="781"/>
      <c r="H70" s="781"/>
      <c r="I70" s="781"/>
      <c r="J70" s="782"/>
      <c r="K70" s="1026"/>
      <c r="L70" s="790"/>
      <c r="M70" s="799"/>
      <c r="N70" s="799"/>
      <c r="O70" s="1127"/>
      <c r="P70" s="793"/>
      <c r="Q70" s="783"/>
      <c r="R70" s="803"/>
      <c r="S70" s="806"/>
      <c r="T70" s="806"/>
      <c r="U70" s="1118"/>
      <c r="V70" s="1076"/>
      <c r="W70" s="1076"/>
      <c r="X70" s="1076"/>
      <c r="Y70" s="1076"/>
      <c r="Z70" s="1124"/>
      <c r="AA70" s="492"/>
      <c r="AB70" s="272"/>
      <c r="AC70" s="272"/>
      <c r="AD70" s="272"/>
      <c r="AE70" s="272"/>
      <c r="AF70" s="272"/>
      <c r="AG70" s="272"/>
      <c r="AH70" s="272"/>
      <c r="AI70" s="272"/>
      <c r="AJ70" s="272"/>
    </row>
    <row r="71" spans="1:36" ht="16.5" customHeight="1">
      <c r="A71" s="2925" t="s">
        <v>2092</v>
      </c>
      <c r="B71" s="2928"/>
      <c r="C71" s="1245"/>
      <c r="D71" s="1246"/>
      <c r="E71" s="591"/>
      <c r="F71" s="987"/>
      <c r="G71" s="987"/>
      <c r="H71" s="987"/>
      <c r="I71" s="987"/>
      <c r="J71" s="988"/>
      <c r="K71" s="1247"/>
      <c r="L71" s="1248"/>
      <c r="M71" s="1249"/>
      <c r="N71" s="1249"/>
      <c r="O71" s="1250"/>
      <c r="P71" s="1245"/>
      <c r="Q71" s="1251"/>
      <c r="R71" s="1292"/>
      <c r="S71" s="1253"/>
      <c r="T71" s="1293"/>
      <c r="U71" s="1294"/>
      <c r="V71" s="1295"/>
      <c r="W71" s="2929" t="s">
        <v>2105</v>
      </c>
      <c r="X71" s="2930"/>
      <c r="Y71" s="2931"/>
      <c r="Z71" s="1256"/>
      <c r="AA71" s="492"/>
      <c r="AB71" s="1227"/>
      <c r="AC71" s="1227"/>
      <c r="AD71" s="272"/>
      <c r="AE71" s="272"/>
      <c r="AF71" s="272"/>
      <c r="AG71" s="272"/>
      <c r="AH71" s="272"/>
      <c r="AI71" s="272"/>
      <c r="AJ71" s="272"/>
    </row>
    <row r="72" spans="1:36" ht="16.5" customHeight="1">
      <c r="A72" s="2961" t="s">
        <v>2131</v>
      </c>
      <c r="B72" s="2916" t="str">
        <f>"DG Batch4 - 24 PJT"</f>
        <v>DG Batch4 - 24 PJT</v>
      </c>
      <c r="C72" s="1008">
        <f>SUBTOTAL(103,$D$72:D72)</f>
        <v>1</v>
      </c>
      <c r="D72" s="796" t="str">
        <f>'DG-PV Organic'!B91</f>
        <v>Shingal Warehouse 1-1</v>
      </c>
      <c r="E72" s="780"/>
      <c r="F72" s="781"/>
      <c r="G72" s="781"/>
      <c r="H72" s="781"/>
      <c r="I72" s="781"/>
      <c r="J72" s="782"/>
      <c r="K72" s="1026" t="str">
        <f>'DG-PV Organic'!X91</f>
        <v>Gyeonggi-do</v>
      </c>
      <c r="L72" s="790"/>
      <c r="M72" s="1005" t="str">
        <f>'DG-PV Organic'!G91</f>
        <v>Original Owner CCC+
Trust Company A0</v>
      </c>
      <c r="N72" s="799" t="s">
        <v>515</v>
      </c>
      <c r="O72" s="1258">
        <f>'DG-PV Organic'!O91</f>
        <v>675.64</v>
      </c>
      <c r="P72" s="793">
        <f>'DG-PV Organic'!L91</f>
        <v>1448</v>
      </c>
      <c r="Q72" s="1127">
        <f t="shared" ref="Q72:Q80" si="28">P72/365</f>
        <v>3.967123287671233</v>
      </c>
      <c r="R72" s="793" t="str">
        <f>'DG-PV Organic'!H91</f>
        <v>TBD</v>
      </c>
      <c r="S72" s="1286" t="str">
        <f>'DG-PV Organic'!Q91</f>
        <v>TBD</v>
      </c>
      <c r="T72" s="793" t="e">
        <f t="shared" ref="T72:T138" si="29">+EDATE(S72,6)</f>
        <v>#VALUE!</v>
      </c>
      <c r="U72" s="1118">
        <f>'DG-PV Organic'!AJ91/1000*1.1</f>
        <v>148640.80000000002</v>
      </c>
      <c r="V72" s="1076">
        <f>'DG-PV Organic'!AK91/1000*1.1</f>
        <v>222961.2</v>
      </c>
      <c r="W72" s="1076">
        <f t="shared" ref="W72:W81" si="30">SUM(U72:V72)</f>
        <v>371602</v>
      </c>
      <c r="X72" s="1076">
        <f t="shared" ref="X72:X81" si="31">W72/O72</f>
        <v>550</v>
      </c>
      <c r="Y72" s="1076">
        <f>'DG-PV Organic'!AL91/1000*1.1</f>
        <v>780364.20000000007</v>
      </c>
      <c r="Z72" s="1124">
        <v>65000</v>
      </c>
      <c r="AA72" s="492"/>
      <c r="AB72" s="1227"/>
      <c r="AC72" s="1227"/>
      <c r="AD72" s="272"/>
      <c r="AE72" s="272"/>
      <c r="AF72" s="1283"/>
      <c r="AG72" s="1283"/>
      <c r="AH72" s="1283"/>
      <c r="AI72" s="1283"/>
      <c r="AJ72" s="1282"/>
    </row>
    <row r="73" spans="1:36" ht="16.5" customHeight="1">
      <c r="A73" s="2925"/>
      <c r="B73" s="2917"/>
      <c r="C73" s="1008">
        <f>SUBTOTAL(103,$D$72:D73)</f>
        <v>2</v>
      </c>
      <c r="D73" s="796" t="str">
        <f>'DG-PV Organic'!B92</f>
        <v>Shingal Warehouse 1-2</v>
      </c>
      <c r="E73" s="67"/>
      <c r="F73" s="347"/>
      <c r="G73" s="347"/>
      <c r="H73" s="347"/>
      <c r="I73" s="347"/>
      <c r="J73" s="349"/>
      <c r="K73" s="1026" t="str">
        <f>'DG-PV Organic'!X92</f>
        <v>Gyeonggi-do</v>
      </c>
      <c r="L73" s="1306"/>
      <c r="M73" s="799" t="str">
        <f>'DG-PV Organic'!G92</f>
        <v>Original Owner CCC-
Trust Company AA+</v>
      </c>
      <c r="N73" s="799" t="s">
        <v>515</v>
      </c>
      <c r="O73" s="1224">
        <f>'DG-PV Organic'!O92</f>
        <v>1634.49</v>
      </c>
      <c r="P73" s="793">
        <f>'DG-PV Organic'!L92</f>
        <v>1443</v>
      </c>
      <c r="Q73" s="783">
        <f t="shared" si="28"/>
        <v>3.9534246575342467</v>
      </c>
      <c r="R73" s="793" t="str">
        <f>'DG-PV Organic'!H92</f>
        <v>TBD</v>
      </c>
      <c r="S73" s="1286" t="str">
        <f>'DG-PV Organic'!Q92</f>
        <v>TBD</v>
      </c>
      <c r="T73" s="806" t="e">
        <f t="shared" si="29"/>
        <v>#VALUE!</v>
      </c>
      <c r="U73" s="1118">
        <f>'DG-PV Organic'!AJ92/1000*1.1</f>
        <v>359587.80000000005</v>
      </c>
      <c r="V73" s="1076">
        <f>'DG-PV Organic'!AK92/1000*1.1</f>
        <v>539381.70000000007</v>
      </c>
      <c r="W73" s="1076">
        <f t="shared" si="30"/>
        <v>898969.50000000012</v>
      </c>
      <c r="X73" s="1076">
        <f t="shared" si="31"/>
        <v>550.00000000000011</v>
      </c>
      <c r="Y73" s="1076">
        <f>'DG-PV Organic'!AL92/1000*1.1</f>
        <v>1887835.9500000002</v>
      </c>
      <c r="Z73" s="1124">
        <v>65000</v>
      </c>
      <c r="AA73" s="492"/>
      <c r="AB73" s="272"/>
      <c r="AC73" s="272"/>
      <c r="AD73" s="272"/>
      <c r="AE73" s="272"/>
      <c r="AF73" s="272"/>
      <c r="AG73" s="272"/>
      <c r="AH73" s="272"/>
      <c r="AI73" s="272"/>
      <c r="AJ73" s="272"/>
    </row>
    <row r="74" spans="1:36" ht="16.5" customHeight="1">
      <c r="A74" s="2925"/>
      <c r="B74" s="2917"/>
      <c r="C74" s="1008">
        <f>SUBTOTAL(103,$D$72:D74)</f>
        <v>3</v>
      </c>
      <c r="D74" s="796" t="str">
        <f>'DG-PV Organic'!B93</f>
        <v>GIS</v>
      </c>
      <c r="E74" s="67"/>
      <c r="F74" s="347"/>
      <c r="G74" s="347"/>
      <c r="H74" s="347"/>
      <c r="I74" s="347"/>
      <c r="J74" s="349"/>
      <c r="K74" s="1026" t="str">
        <f>'DG-PV Organic'!X93</f>
        <v>Gyeongsangbuk-do</v>
      </c>
      <c r="L74" s="1306"/>
      <c r="M74" s="799" t="str">
        <f>'DG-PV Organic'!G93</f>
        <v>BBB0</v>
      </c>
      <c r="N74" s="799" t="s">
        <v>515</v>
      </c>
      <c r="O74" s="1224">
        <f>'DG-PV Organic'!O93</f>
        <v>1040.1300000000001</v>
      </c>
      <c r="P74" s="793">
        <f>'DG-PV Organic'!L93</f>
        <v>1428</v>
      </c>
      <c r="Q74" s="783">
        <f t="shared" si="28"/>
        <v>3.9123287671232876</v>
      </c>
      <c r="R74" s="793" t="str">
        <f>'DG-PV Organic'!H93</f>
        <v>TBD</v>
      </c>
      <c r="S74" s="1286" t="str">
        <f>'DG-PV Organic'!Q93</f>
        <v>TBD</v>
      </c>
      <c r="T74" s="806" t="e">
        <f t="shared" si="29"/>
        <v>#VALUE!</v>
      </c>
      <c r="U74" s="1118">
        <f>'DG-PV Organic'!AJ93/1000*1.1</f>
        <v>228828.60000000006</v>
      </c>
      <c r="V74" s="1076">
        <f>'DG-PV Organic'!AK93/1000*1.1</f>
        <v>343242.90000000008</v>
      </c>
      <c r="W74" s="1076">
        <f t="shared" si="30"/>
        <v>572071.50000000012</v>
      </c>
      <c r="X74" s="1076">
        <f t="shared" si="31"/>
        <v>550</v>
      </c>
      <c r="Y74" s="1076">
        <f>'DG-PV Organic'!AL93/1000*1.1</f>
        <v>1201350.1500000004</v>
      </c>
      <c r="Z74" s="1124">
        <v>65000</v>
      </c>
      <c r="AA74" s="492"/>
      <c r="AB74" s="272"/>
      <c r="AC74" s="272"/>
      <c r="AD74" s="272"/>
      <c r="AE74" s="272"/>
      <c r="AF74" s="272"/>
      <c r="AG74" s="272"/>
      <c r="AH74" s="272"/>
      <c r="AI74" s="272"/>
      <c r="AJ74" s="272"/>
    </row>
    <row r="75" spans="1:36" ht="16.5" customHeight="1">
      <c r="A75" s="2925"/>
      <c r="B75" s="2917"/>
      <c r="C75" s="1008">
        <f>SUBTOTAL(103,$D$72:D75)</f>
        <v>4</v>
      </c>
      <c r="D75" s="796" t="str">
        <f>'DG-PV Organic'!B94</f>
        <v>Lee Sang Bok</v>
      </c>
      <c r="E75" s="67"/>
      <c r="F75" s="347"/>
      <c r="G75" s="347"/>
      <c r="H75" s="347"/>
      <c r="I75" s="347"/>
      <c r="J75" s="349"/>
      <c r="K75" s="1026" t="str">
        <f>'DG-PV Organic'!X94</f>
        <v>Gyeonggi-do</v>
      </c>
      <c r="L75" s="1306"/>
      <c r="M75" s="799" t="str">
        <f>'DG-PV Organic'!G94</f>
        <v>Individual business owner</v>
      </c>
      <c r="N75" s="799" t="s">
        <v>515</v>
      </c>
      <c r="O75" s="1224">
        <f>'DG-PV Organic'!O94</f>
        <v>396.2</v>
      </c>
      <c r="P75" s="793">
        <f>'DG-PV Organic'!L94</f>
        <v>1452</v>
      </c>
      <c r="Q75" s="783">
        <f t="shared" si="28"/>
        <v>3.978082191780822</v>
      </c>
      <c r="R75" s="793" t="str">
        <f>'DG-PV Organic'!H94</f>
        <v>TBD</v>
      </c>
      <c r="S75" s="1286" t="str">
        <f>'DG-PV Organic'!Q94</f>
        <v>TBD</v>
      </c>
      <c r="T75" s="806" t="e">
        <f t="shared" si="29"/>
        <v>#VALUE!</v>
      </c>
      <c r="U75" s="1118">
        <f>'DG-PV Organic'!AJ94/1000*1.1</f>
        <v>87164</v>
      </c>
      <c r="V75" s="1076">
        <f>'DG-PV Organic'!AK94/1000*1.1</f>
        <v>130746.00000000001</v>
      </c>
      <c r="W75" s="1076">
        <f t="shared" si="30"/>
        <v>217910</v>
      </c>
      <c r="X75" s="1076">
        <f t="shared" si="31"/>
        <v>550</v>
      </c>
      <c r="Y75" s="1076">
        <f>'DG-PV Organic'!AL94/1000*1.1</f>
        <v>457611.00000000006</v>
      </c>
      <c r="Z75" s="1124">
        <v>65000</v>
      </c>
      <c r="AA75" s="492"/>
      <c r="AB75" s="272"/>
      <c r="AC75" s="272"/>
      <c r="AD75" s="272"/>
      <c r="AE75" s="272"/>
      <c r="AF75" s="272"/>
      <c r="AG75" s="272"/>
      <c r="AH75" s="272"/>
      <c r="AI75" s="272"/>
      <c r="AJ75" s="272"/>
    </row>
    <row r="76" spans="1:36" ht="16.5" customHeight="1">
      <c r="A76" s="2925"/>
      <c r="B76" s="2917"/>
      <c r="C76" s="1008">
        <f>SUBTOTAL(103,$D$72:D76)</f>
        <v>5</v>
      </c>
      <c r="D76" s="796" t="str">
        <f>'DG-PV Organic'!B95</f>
        <v xml:space="preserve">Gunil Steel </v>
      </c>
      <c r="E76" s="67"/>
      <c r="F76" s="347"/>
      <c r="G76" s="347"/>
      <c r="H76" s="347"/>
      <c r="I76" s="347"/>
      <c r="J76" s="349"/>
      <c r="K76" s="1026" t="str">
        <f>'DG-PV Organic'!X95</f>
        <v>Chungcheongnam-do</v>
      </c>
      <c r="L76" s="1306"/>
      <c r="M76" s="799" t="str">
        <f>'DG-PV Organic'!G95</f>
        <v>BBB+</v>
      </c>
      <c r="N76" s="799" t="s">
        <v>515</v>
      </c>
      <c r="O76" s="1224">
        <f>'DG-PV Organic'!O95</f>
        <v>318.13499999999999</v>
      </c>
      <c r="P76" s="793">
        <f>'DG-PV Organic'!L95</f>
        <v>1444</v>
      </c>
      <c r="Q76" s="783">
        <f t="shared" si="28"/>
        <v>3.956164383561644</v>
      </c>
      <c r="R76" s="793" t="str">
        <f>'DG-PV Organic'!H95</f>
        <v>TBD</v>
      </c>
      <c r="S76" s="1286" t="str">
        <f>'DG-PV Organic'!Q95</f>
        <v>TBD</v>
      </c>
      <c r="T76" s="806" t="e">
        <f t="shared" si="29"/>
        <v>#VALUE!</v>
      </c>
      <c r="U76" s="1118">
        <f>'DG-PV Organic'!AJ95/1000*1.1</f>
        <v>69989.700000000012</v>
      </c>
      <c r="V76" s="1076">
        <f>'DG-PV Organic'!AK95/1000*1.1</f>
        <v>104984.55</v>
      </c>
      <c r="W76" s="1076">
        <f t="shared" si="30"/>
        <v>174974.25</v>
      </c>
      <c r="X76" s="1076">
        <f t="shared" si="31"/>
        <v>550</v>
      </c>
      <c r="Y76" s="1076">
        <f>'DG-PV Organic'!AL95/1000*1.1</f>
        <v>367445.92500000005</v>
      </c>
      <c r="Z76" s="1124">
        <v>65000</v>
      </c>
      <c r="AA76" s="492"/>
      <c r="AB76" s="272"/>
      <c r="AC76" s="272"/>
      <c r="AD76" s="272"/>
      <c r="AE76" s="272"/>
      <c r="AF76" s="272"/>
      <c r="AG76" s="272"/>
      <c r="AH76" s="272"/>
      <c r="AI76" s="272"/>
      <c r="AJ76" s="272"/>
    </row>
    <row r="77" spans="1:36" ht="16.5" customHeight="1">
      <c r="A77" s="2925"/>
      <c r="B77" s="2917"/>
      <c r="C77" s="1008">
        <f>SUBTOTAL(103,$D$72:D77)</f>
        <v>6</v>
      </c>
      <c r="D77" s="796" t="str">
        <f>'DG-PV Organic'!B96</f>
        <v>Gyeongin Precision Machinery</v>
      </c>
      <c r="E77" s="67"/>
      <c r="F77" s="347"/>
      <c r="G77" s="347"/>
      <c r="H77" s="347"/>
      <c r="I77" s="347"/>
      <c r="J77" s="349"/>
      <c r="K77" s="1026" t="str">
        <f>'DG-PV Organic'!X96</f>
        <v>Gyeonggi-do</v>
      </c>
      <c r="L77" s="1306"/>
      <c r="M77" s="799" t="str">
        <f>'DG-PV Organic'!G96</f>
        <v>B0</v>
      </c>
      <c r="N77" s="799" t="s">
        <v>515</v>
      </c>
      <c r="O77" s="1224">
        <f>'DG-PV Organic'!O96</f>
        <v>841.375</v>
      </c>
      <c r="P77" s="793">
        <f>'DG-PV Organic'!L96</f>
        <v>1457</v>
      </c>
      <c r="Q77" s="783">
        <f t="shared" si="28"/>
        <v>3.9917808219178084</v>
      </c>
      <c r="R77" s="793" t="str">
        <f>'DG-PV Organic'!H96</f>
        <v>TBD</v>
      </c>
      <c r="S77" s="1286" t="str">
        <f>'DG-PV Organic'!Q96</f>
        <v>TBD</v>
      </c>
      <c r="T77" s="806" t="e">
        <f t="shared" si="29"/>
        <v>#VALUE!</v>
      </c>
      <c r="U77" s="1118">
        <f>'DG-PV Organic'!AJ96/1000*1.1</f>
        <v>185102.50000000003</v>
      </c>
      <c r="V77" s="1076">
        <f>'DG-PV Organic'!AK96/1000*1.1</f>
        <v>277653.75</v>
      </c>
      <c r="W77" s="1076">
        <f t="shared" si="30"/>
        <v>462756.25</v>
      </c>
      <c r="X77" s="1076">
        <f t="shared" si="31"/>
        <v>550</v>
      </c>
      <c r="Y77" s="1076">
        <f>'DG-PV Organic'!AL96/1000*1.1</f>
        <v>971788.12500000012</v>
      </c>
      <c r="Z77" s="1124">
        <v>65000</v>
      </c>
      <c r="AA77" s="492"/>
      <c r="AB77" s="272"/>
      <c r="AC77" s="272"/>
      <c r="AD77" s="272"/>
      <c r="AE77" s="272"/>
      <c r="AF77" s="272"/>
      <c r="AG77" s="272"/>
      <c r="AH77" s="272"/>
      <c r="AI77" s="272"/>
      <c r="AJ77" s="272"/>
    </row>
    <row r="78" spans="1:36" ht="16.5" customHeight="1">
      <c r="A78" s="2925"/>
      <c r="B78" s="2917"/>
      <c r="C78" s="1008">
        <f>SUBTOTAL(103,$D$72:D78)</f>
        <v>7</v>
      </c>
      <c r="D78" s="796" t="str">
        <f>'DG-PV Organic'!B97</f>
        <v>Oh Sung-young/Oh Se-geun(Private property)</v>
      </c>
      <c r="E78" s="67"/>
      <c r="F78" s="347"/>
      <c r="G78" s="347"/>
      <c r="H78" s="347"/>
      <c r="I78" s="347"/>
      <c r="J78" s="349"/>
      <c r="K78" s="1026" t="str">
        <f>'DG-PV Organic'!X97</f>
        <v>Gyeonggi-do</v>
      </c>
      <c r="L78" s="1306"/>
      <c r="M78" s="799" t="str">
        <f>'DG-PV Organic'!G97</f>
        <v>Individual business owner</v>
      </c>
      <c r="N78" s="799" t="s">
        <v>515</v>
      </c>
      <c r="O78" s="1224">
        <f>'DG-PV Organic'!O97</f>
        <v>417.19</v>
      </c>
      <c r="P78" s="793">
        <f>'DG-PV Organic'!L97</f>
        <v>1451</v>
      </c>
      <c r="Q78" s="783">
        <f t="shared" si="28"/>
        <v>3.9753424657534246</v>
      </c>
      <c r="R78" s="793" t="str">
        <f>'DG-PV Organic'!H97</f>
        <v>TBD</v>
      </c>
      <c r="S78" s="1286" t="str">
        <f>'DG-PV Organic'!Q97</f>
        <v>TBD</v>
      </c>
      <c r="T78" s="806" t="e">
        <f t="shared" si="29"/>
        <v>#VALUE!</v>
      </c>
      <c r="U78" s="1118">
        <f>'DG-PV Organic'!AJ97/1000*1.1</f>
        <v>91781.8</v>
      </c>
      <c r="V78" s="1076">
        <f>'DG-PV Organic'!AK97/1000*1.1</f>
        <v>137672.70000000001</v>
      </c>
      <c r="W78" s="1076">
        <f t="shared" si="30"/>
        <v>229454.5</v>
      </c>
      <c r="X78" s="1076">
        <f t="shared" si="31"/>
        <v>550</v>
      </c>
      <c r="Y78" s="1076">
        <f>'DG-PV Organic'!AL97/1000*1.1</f>
        <v>481854.45</v>
      </c>
      <c r="Z78" s="1124">
        <v>65000</v>
      </c>
      <c r="AA78" s="492"/>
      <c r="AB78" s="272"/>
      <c r="AC78" s="272"/>
      <c r="AD78" s="272"/>
      <c r="AE78" s="272"/>
      <c r="AF78" s="272"/>
      <c r="AG78" s="272"/>
      <c r="AH78" s="272"/>
      <c r="AI78" s="272"/>
      <c r="AJ78" s="272"/>
    </row>
    <row r="79" spans="1:36" customFormat="1" ht="16.5" customHeight="1">
      <c r="A79" s="2925"/>
      <c r="B79" s="2917"/>
      <c r="C79" s="1008">
        <f>SUBTOTAL(103,$D$72:D79)</f>
        <v>8</v>
      </c>
      <c r="D79" s="796" t="str">
        <f>'DG-PV Organic'!B98</f>
        <v>Samhyeon</v>
      </c>
      <c r="E79" s="591"/>
      <c r="F79" s="987" t="s">
        <v>2132</v>
      </c>
      <c r="G79" s="987"/>
      <c r="H79" s="987"/>
      <c r="I79" s="987"/>
      <c r="J79" s="988"/>
      <c r="K79" s="1026" t="str">
        <f>'DG-PV Organic'!X98</f>
        <v>Gyeonggi-do</v>
      </c>
      <c r="L79" s="989">
        <f>'DG-PV Organic'!K69</f>
        <v>0</v>
      </c>
      <c r="M79" s="799" t="str">
        <f>'DG-PV Organic'!G98</f>
        <v>BBB-</v>
      </c>
      <c r="N79" s="799" t="s">
        <v>515</v>
      </c>
      <c r="O79" s="1224">
        <f>'DG-PV Organic'!O98</f>
        <v>417.19</v>
      </c>
      <c r="P79" s="793">
        <f>'DG-PV Organic'!L98</f>
        <v>1463</v>
      </c>
      <c r="Q79" s="783">
        <f t="shared" si="28"/>
        <v>4.0082191780821921</v>
      </c>
      <c r="R79" s="793" t="str">
        <f>'DG-PV Organic'!H98</f>
        <v>TBD</v>
      </c>
      <c r="S79" s="1286" t="str">
        <f>'DG-PV Organic'!Q98</f>
        <v>TBD</v>
      </c>
      <c r="T79" s="806" t="e">
        <f t="shared" si="29"/>
        <v>#VALUE!</v>
      </c>
      <c r="U79" s="1118">
        <f>'DG-PV Organic'!AJ98/1000*1.1</f>
        <v>91781.8</v>
      </c>
      <c r="V79" s="1076">
        <f>'DG-PV Organic'!AK98/1000*1.1</f>
        <v>137672.70000000001</v>
      </c>
      <c r="W79" s="1076">
        <f t="shared" si="30"/>
        <v>229454.5</v>
      </c>
      <c r="X79" s="1076">
        <f t="shared" si="31"/>
        <v>550</v>
      </c>
      <c r="Y79" s="1076">
        <f>'DG-PV Organic'!AL98/1000*1.1</f>
        <v>481854.45</v>
      </c>
      <c r="Z79" s="1124">
        <v>65000</v>
      </c>
      <c r="AA79" s="569">
        <f>'DG-PV Organic'!AI69</f>
        <v>0</v>
      </c>
    </row>
    <row r="80" spans="1:36">
      <c r="A80" s="2925"/>
      <c r="B80" s="2917"/>
      <c r="C80" s="1008">
        <f>SUBTOTAL(103,$D$72:D80)</f>
        <v>9</v>
      </c>
      <c r="D80" s="796" t="str">
        <f>'DG-PV Organic'!B99</f>
        <v>Soodal Korea</v>
      </c>
      <c r="E80" s="770" t="s">
        <v>2133</v>
      </c>
      <c r="F80" s="771" t="s">
        <v>2134</v>
      </c>
      <c r="G80" s="771"/>
      <c r="H80" s="771"/>
      <c r="I80" s="771"/>
      <c r="J80" s="772" t="s">
        <v>2135</v>
      </c>
      <c r="K80" s="1026" t="str">
        <f>'DG-PV Organic'!X99</f>
        <v>Gyeonggi-do</v>
      </c>
      <c r="L80" s="791">
        <f>'DG-PV Organic'!K91</f>
        <v>870035.1</v>
      </c>
      <c r="M80" s="799" t="str">
        <f>'DG-PV Organic'!G99</f>
        <v>BBB+</v>
      </c>
      <c r="N80" s="799" t="s">
        <v>515</v>
      </c>
      <c r="O80" s="1224">
        <f>'DG-PV Organic'!O99</f>
        <v>536.57500000000005</v>
      </c>
      <c r="P80" s="793">
        <f>'DG-PV Organic'!L99</f>
        <v>1393</v>
      </c>
      <c r="Q80" s="783">
        <f t="shared" si="28"/>
        <v>3.8164383561643835</v>
      </c>
      <c r="R80" s="793" t="str">
        <f>'DG-PV Organic'!H99</f>
        <v>TBD</v>
      </c>
      <c r="S80" s="1286" t="str">
        <f>'DG-PV Organic'!Q99</f>
        <v>TBD</v>
      </c>
      <c r="T80" s="806" t="e">
        <f t="shared" si="29"/>
        <v>#VALUE!</v>
      </c>
      <c r="U80" s="1118">
        <f>'DG-PV Organic'!AJ99/1000*1.1</f>
        <v>118046.50000000003</v>
      </c>
      <c r="V80" s="1076">
        <f>'DG-PV Organic'!AK99/1000*1.1</f>
        <v>177069.75</v>
      </c>
      <c r="W80" s="1076">
        <f t="shared" si="30"/>
        <v>295116.25</v>
      </c>
      <c r="X80" s="1076">
        <f t="shared" si="31"/>
        <v>550</v>
      </c>
      <c r="Y80" s="1076">
        <f>'DG-PV Organic'!AL99/1000*1.1</f>
        <v>619744.125</v>
      </c>
      <c r="Z80" s="1124">
        <v>65000</v>
      </c>
      <c r="AA80" s="492">
        <f>'DG-PV Organic'!AI91</f>
        <v>135128000</v>
      </c>
      <c r="AB80" s="272"/>
      <c r="AC80" s="272"/>
      <c r="AD80" s="272"/>
      <c r="AE80" s="272"/>
      <c r="AF80" s="272"/>
      <c r="AG80" s="272"/>
      <c r="AH80" s="272"/>
      <c r="AI80" s="272"/>
      <c r="AJ80" s="272"/>
    </row>
    <row r="81" spans="1:36">
      <c r="A81" s="2925"/>
      <c r="B81" s="2917"/>
      <c r="C81" s="1008">
        <f>SUBTOTAL(103,$D$72:D81)</f>
        <v>10</v>
      </c>
      <c r="D81" s="796" t="str">
        <f>'DG-PV Organic'!B100</f>
        <v>AT Gimpo</v>
      </c>
      <c r="E81" s="770" t="s">
        <v>2136</v>
      </c>
      <c r="F81" s="771" t="s">
        <v>2137</v>
      </c>
      <c r="G81" s="771"/>
      <c r="H81" s="771"/>
      <c r="I81" s="771"/>
      <c r="J81" s="772" t="s">
        <v>2138</v>
      </c>
      <c r="K81" s="1026" t="str">
        <f>'DG-PV Organic'!X100</f>
        <v>Gyeonggi-do</v>
      </c>
      <c r="L81" s="791">
        <f>'DG-PV Organic'!K92</f>
        <v>2104765.5</v>
      </c>
      <c r="M81" s="799" t="str">
        <f>'DG-PV Organic'!G100</f>
        <v>A0</v>
      </c>
      <c r="N81" s="799" t="s">
        <v>515</v>
      </c>
      <c r="O81" s="1224">
        <f>'DG-PV Organic'!O100</f>
        <v>1083.31</v>
      </c>
      <c r="P81" s="793">
        <f>'DG-PV Organic'!L100</f>
        <v>1438</v>
      </c>
      <c r="Q81" s="783">
        <f t="shared" ref="Q81:Q109" si="32">P81/365</f>
        <v>3.9397260273972603</v>
      </c>
      <c r="R81" s="793" t="str">
        <f>'DG-PV Organic'!H100</f>
        <v>TBD</v>
      </c>
      <c r="S81" s="1286" t="str">
        <f>'DG-PV Organic'!Q100</f>
        <v>TBD</v>
      </c>
      <c r="T81" s="806" t="e">
        <f t="shared" si="29"/>
        <v>#VALUE!</v>
      </c>
      <c r="U81" s="1118">
        <f>'DG-PV Organic'!AJ100/1000*1.1</f>
        <v>238328.2</v>
      </c>
      <c r="V81" s="1076">
        <f>'DG-PV Organic'!AK100/1000*1.1</f>
        <v>357492.30000000005</v>
      </c>
      <c r="W81" s="1076">
        <f t="shared" si="30"/>
        <v>595820.5</v>
      </c>
      <c r="X81" s="1076">
        <f t="shared" si="31"/>
        <v>550</v>
      </c>
      <c r="Y81" s="1076">
        <f>'DG-PV Organic'!AL100/1000*1.1</f>
        <v>1251223.05</v>
      </c>
      <c r="Z81" s="1124">
        <v>65000</v>
      </c>
      <c r="AA81" s="492">
        <f>'DG-PV Organic'!AI92</f>
        <v>326898000</v>
      </c>
      <c r="AB81" s="272"/>
      <c r="AC81" s="272"/>
      <c r="AD81" s="272"/>
      <c r="AE81" s="272"/>
      <c r="AF81" s="272"/>
      <c r="AG81" s="272"/>
      <c r="AH81" s="272"/>
      <c r="AI81" s="272"/>
      <c r="AJ81" s="272"/>
    </row>
    <row r="82" spans="1:36">
      <c r="A82" s="2925"/>
      <c r="B82" s="2917"/>
      <c r="C82" s="1008">
        <f>SUBTOTAL(103,$D$72:D82)</f>
        <v>11</v>
      </c>
      <c r="D82" s="796" t="str">
        <f>'DG-PV Organic'!B101</f>
        <v>AT Icheon</v>
      </c>
      <c r="E82" s="770" t="s">
        <v>2139</v>
      </c>
      <c r="F82" s="771" t="s">
        <v>2140</v>
      </c>
      <c r="G82" s="771"/>
      <c r="H82" s="771"/>
      <c r="I82" s="771"/>
      <c r="J82" s="772" t="s">
        <v>2141</v>
      </c>
      <c r="K82" s="1026" t="str">
        <f>'DG-PV Organic'!X101</f>
        <v>Gyeonggi-do</v>
      </c>
      <c r="L82" s="791" t="e">
        <f>'DG-PV Organic'!#REF!</f>
        <v>#REF!</v>
      </c>
      <c r="M82" s="799" t="str">
        <f>'DG-PV Organic'!G101</f>
        <v>A0</v>
      </c>
      <c r="N82" s="799" t="s">
        <v>515</v>
      </c>
      <c r="O82" s="1224">
        <f>'DG-PV Organic'!O101</f>
        <v>3835.4</v>
      </c>
      <c r="P82" s="793">
        <f>'DG-PV Organic'!L101</f>
        <v>1411</v>
      </c>
      <c r="Q82" s="783">
        <f t="shared" si="32"/>
        <v>3.8657534246575342</v>
      </c>
      <c r="R82" s="793" t="str">
        <f>'DG-PV Organic'!H101</f>
        <v>TBD</v>
      </c>
      <c r="S82" s="1286" t="str">
        <f>'DG-PV Organic'!Q101</f>
        <v>TBD</v>
      </c>
      <c r="T82" s="806" t="e">
        <f t="shared" si="29"/>
        <v>#VALUE!</v>
      </c>
      <c r="U82" s="1118">
        <f>'DG-PV Organic'!AJ101/1000*1.1</f>
        <v>843788.00000000012</v>
      </c>
      <c r="V82" s="1076">
        <f>'DG-PV Organic'!AK101/1000*1.1</f>
        <v>1265682</v>
      </c>
      <c r="W82" s="1076">
        <f t="shared" ref="W82:W89" si="33">SUM(U82:V82)</f>
        <v>2109470</v>
      </c>
      <c r="X82" s="1076">
        <f t="shared" ref="X82:X89" si="34">W82/O82</f>
        <v>550</v>
      </c>
      <c r="Y82" s="1076">
        <f>'DG-PV Organic'!AL101/1000*1.1</f>
        <v>4429887</v>
      </c>
      <c r="Z82" s="1124">
        <v>65000</v>
      </c>
      <c r="AA82" s="492" t="e">
        <f>'DG-PV Organic'!#REF!</f>
        <v>#REF!</v>
      </c>
      <c r="AB82" s="272"/>
      <c r="AC82" s="272"/>
      <c r="AD82" s="272"/>
      <c r="AE82" s="272"/>
      <c r="AF82" s="272"/>
      <c r="AG82" s="272"/>
      <c r="AH82" s="272"/>
      <c r="AI82" s="272"/>
      <c r="AJ82" s="272"/>
    </row>
    <row r="83" spans="1:36">
      <c r="A83" s="2925"/>
      <c r="B83" s="2917"/>
      <c r="C83" s="1008">
        <f>SUBTOTAL(103,$D$72:D83)</f>
        <v>12</v>
      </c>
      <c r="D83" s="796" t="str">
        <f>'DG-PV Organic'!B102</f>
        <v>AT Pyeongtaek</v>
      </c>
      <c r="E83" s="770" t="s">
        <v>2142</v>
      </c>
      <c r="F83" s="771" t="s">
        <v>2143</v>
      </c>
      <c r="G83" s="771"/>
      <c r="H83" s="771"/>
      <c r="I83" s="771"/>
      <c r="J83" s="772" t="s">
        <v>2144</v>
      </c>
      <c r="K83" s="1026" t="str">
        <f>'DG-PV Organic'!X102</f>
        <v>Gyeonggi-do</v>
      </c>
      <c r="L83" s="791" t="e">
        <f>'DG-PV Organic'!#REF!</f>
        <v>#REF!</v>
      </c>
      <c r="M83" s="799" t="str">
        <f>'DG-PV Organic'!G102</f>
        <v>A0</v>
      </c>
      <c r="N83" s="799" t="s">
        <v>515</v>
      </c>
      <c r="O83" s="1224">
        <f>'DG-PV Organic'!O102</f>
        <v>1800.2249999999999</v>
      </c>
      <c r="P83" s="793">
        <f>'DG-PV Organic'!L102</f>
        <v>1447</v>
      </c>
      <c r="Q83" s="783">
        <f t="shared" si="32"/>
        <v>3.9643835616438357</v>
      </c>
      <c r="R83" s="793" t="str">
        <f>'DG-PV Organic'!H102</f>
        <v>TBD</v>
      </c>
      <c r="S83" s="1286" t="str">
        <f>'DG-PV Organic'!Q102</f>
        <v>TBD</v>
      </c>
      <c r="T83" s="806" t="e">
        <f t="shared" si="29"/>
        <v>#VALUE!</v>
      </c>
      <c r="U83" s="1118">
        <f>'DG-PV Organic'!AJ102/1000*1.1</f>
        <v>396049.50000000006</v>
      </c>
      <c r="V83" s="1076">
        <f>'DG-PV Organic'!AK102/1000*1.1</f>
        <v>594074.25</v>
      </c>
      <c r="W83" s="1076">
        <f t="shared" si="33"/>
        <v>990123.75</v>
      </c>
      <c r="X83" s="1076">
        <f t="shared" si="34"/>
        <v>550</v>
      </c>
      <c r="Y83" s="1076">
        <f>'DG-PV Organic'!AL102/1000*1.1</f>
        <v>2079259.8750000002</v>
      </c>
      <c r="Z83" s="1124">
        <v>65000</v>
      </c>
      <c r="AA83" s="492" t="e">
        <f>'DG-PV Organic'!#REF!</f>
        <v>#REF!</v>
      </c>
      <c r="AB83" s="272"/>
      <c r="AC83" s="272"/>
      <c r="AD83" s="272"/>
      <c r="AE83" s="272"/>
      <c r="AF83" s="272"/>
      <c r="AG83" s="272"/>
      <c r="AH83" s="272"/>
      <c r="AI83" s="272"/>
      <c r="AJ83" s="272"/>
    </row>
    <row r="84" spans="1:36">
      <c r="A84" s="2925"/>
      <c r="B84" s="2918">
        <f>SUM(O72:O95)</f>
        <v>35118.410000000003</v>
      </c>
      <c r="C84" s="1008">
        <f>SUBTOTAL(103,$D$72:D84)</f>
        <v>13</v>
      </c>
      <c r="D84" s="796" t="str">
        <f>'DG-PV Organic'!B103</f>
        <v xml:space="preserve">AT Ansim </v>
      </c>
      <c r="E84" s="770" t="s">
        <v>2145</v>
      </c>
      <c r="F84" s="771" t="s">
        <v>2146</v>
      </c>
      <c r="G84" s="771"/>
      <c r="H84" s="771"/>
      <c r="I84" s="771"/>
      <c r="J84" s="772" t="s">
        <v>2147</v>
      </c>
      <c r="K84" s="1026" t="str">
        <f>'DG-PV Organic'!X103</f>
        <v>Daegu</v>
      </c>
      <c r="L84" s="791" t="e">
        <f>'DG-PV Organic'!#REF!</f>
        <v>#REF!</v>
      </c>
      <c r="M84" s="799" t="str">
        <f>'DG-PV Organic'!G103</f>
        <v>A0</v>
      </c>
      <c r="N84" s="799" t="s">
        <v>515</v>
      </c>
      <c r="O84" s="1224">
        <f>'DG-PV Organic'!O103</f>
        <v>1363.98</v>
      </c>
      <c r="P84" s="793">
        <f>'DG-PV Organic'!L103</f>
        <v>1442</v>
      </c>
      <c r="Q84" s="783">
        <f t="shared" si="32"/>
        <v>3.9506849315068493</v>
      </c>
      <c r="R84" s="793" t="str">
        <f>'DG-PV Organic'!H103</f>
        <v>TBD</v>
      </c>
      <c r="S84" s="1286" t="str">
        <f>'DG-PV Organic'!Q103</f>
        <v>TBD</v>
      </c>
      <c r="T84" s="806" t="e">
        <f t="shared" si="29"/>
        <v>#VALUE!</v>
      </c>
      <c r="U84" s="1118">
        <f>'DG-PV Organic'!AJ103/1000*1.1</f>
        <v>300075.60000000003</v>
      </c>
      <c r="V84" s="1076">
        <f>'DG-PV Organic'!AK103/1000*1.1</f>
        <v>450113.4</v>
      </c>
      <c r="W84" s="1076">
        <f t="shared" si="33"/>
        <v>750189</v>
      </c>
      <c r="X84" s="1076">
        <f t="shared" si="34"/>
        <v>550</v>
      </c>
      <c r="Y84" s="1076">
        <f>'DG-PV Organic'!AL103/1000*1.1</f>
        <v>1575396.9000000001</v>
      </c>
      <c r="Z84" s="1124">
        <v>65000</v>
      </c>
      <c r="AA84" s="492" t="e">
        <f>'DG-PV Organic'!#REF!</f>
        <v>#REF!</v>
      </c>
      <c r="AB84" s="272"/>
      <c r="AC84" s="272"/>
      <c r="AD84" s="272"/>
      <c r="AE84" s="272"/>
      <c r="AF84" s="272"/>
      <c r="AG84" s="272"/>
      <c r="AH84" s="272"/>
      <c r="AI84" s="272"/>
      <c r="AJ84" s="272"/>
    </row>
    <row r="85" spans="1:36">
      <c r="A85" s="2925"/>
      <c r="B85" s="2918"/>
      <c r="C85" s="1008">
        <f>SUBTOTAL(103,$D$72:D85)</f>
        <v>14</v>
      </c>
      <c r="D85" s="796" t="str">
        <f>'DG-PV Organic'!B104</f>
        <v>AT Busan</v>
      </c>
      <c r="E85" s="770" t="s">
        <v>2148</v>
      </c>
      <c r="F85" s="771" t="s">
        <v>2149</v>
      </c>
      <c r="G85" s="771"/>
      <c r="H85" s="771"/>
      <c r="I85" s="771"/>
      <c r="J85" s="772" t="s">
        <v>2150</v>
      </c>
      <c r="K85" s="1026" t="str">
        <f>'DG-PV Organic'!X104</f>
        <v>Busan</v>
      </c>
      <c r="L85" s="791" t="e">
        <f>'DG-PV Organic'!#REF!</f>
        <v>#REF!</v>
      </c>
      <c r="M85" s="799" t="str">
        <f>'DG-PV Organic'!G104</f>
        <v>A0</v>
      </c>
      <c r="N85" s="799" t="s">
        <v>515</v>
      </c>
      <c r="O85" s="1224">
        <f>'DG-PV Organic'!O104</f>
        <v>1341.12</v>
      </c>
      <c r="P85" s="793">
        <f>'DG-PV Organic'!L104</f>
        <v>1427</v>
      </c>
      <c r="Q85" s="783">
        <f t="shared" si="32"/>
        <v>3.9095890410958902</v>
      </c>
      <c r="R85" s="793" t="str">
        <f>'DG-PV Organic'!H104</f>
        <v>TBD</v>
      </c>
      <c r="S85" s="1286" t="str">
        <f>'DG-PV Organic'!Q104</f>
        <v>TBD</v>
      </c>
      <c r="T85" s="806" t="e">
        <f t="shared" si="29"/>
        <v>#VALUE!</v>
      </c>
      <c r="U85" s="1118">
        <f>'DG-PV Organic'!AJ104/1000*1.1</f>
        <v>295046.39999999997</v>
      </c>
      <c r="V85" s="1076">
        <f>'DG-PV Organic'!AK104/1000*1.1</f>
        <v>442569.6</v>
      </c>
      <c r="W85" s="1076">
        <f t="shared" si="33"/>
        <v>737616</v>
      </c>
      <c r="X85" s="1076">
        <f t="shared" si="34"/>
        <v>550</v>
      </c>
      <c r="Y85" s="1076">
        <f>'DG-PV Organic'!AL104/1000*1.1</f>
        <v>1548993.6</v>
      </c>
      <c r="Z85" s="1124">
        <v>65000</v>
      </c>
      <c r="AA85" s="492" t="e">
        <f>'DG-PV Organic'!#REF!</f>
        <v>#REF!</v>
      </c>
      <c r="AB85" s="272"/>
      <c r="AC85" s="272"/>
      <c r="AD85" s="272"/>
      <c r="AE85" s="272"/>
      <c r="AF85" s="272"/>
      <c r="AG85" s="272"/>
      <c r="AH85" s="272"/>
      <c r="AI85" s="272"/>
      <c r="AJ85" s="272"/>
    </row>
    <row r="86" spans="1:36">
      <c r="A86" s="2925"/>
      <c r="B86" s="2918"/>
      <c r="C86" s="1008">
        <f>SUBTOTAL(103,$D$72:D86)</f>
        <v>15</v>
      </c>
      <c r="D86" s="796" t="str">
        <f>'DG-PV Organic'!B105</f>
        <v xml:space="preserve">AT Hakjang </v>
      </c>
      <c r="E86" s="770" t="s">
        <v>2151</v>
      </c>
      <c r="F86" s="771" t="s">
        <v>2152</v>
      </c>
      <c r="G86" s="771"/>
      <c r="H86" s="771"/>
      <c r="I86" s="771"/>
      <c r="J86" s="772" t="s">
        <v>2153</v>
      </c>
      <c r="K86" s="1026" t="str">
        <f>'DG-PV Organic'!X105</f>
        <v>Busan</v>
      </c>
      <c r="L86" s="791" t="e">
        <f>'DG-PV Organic'!#REF!</f>
        <v>#REF!</v>
      </c>
      <c r="M86" s="799" t="str">
        <f>'DG-PV Organic'!G105</f>
        <v>A0</v>
      </c>
      <c r="N86" s="799" t="s">
        <v>515</v>
      </c>
      <c r="O86" s="1224">
        <f>'DG-PV Organic'!O105</f>
        <v>406.4</v>
      </c>
      <c r="P86" s="793">
        <f>'DG-PV Organic'!L105</f>
        <v>1369</v>
      </c>
      <c r="Q86" s="783">
        <f t="shared" si="32"/>
        <v>3.7506849315068491</v>
      </c>
      <c r="R86" s="793" t="str">
        <f>'DG-PV Organic'!H105</f>
        <v>TBD</v>
      </c>
      <c r="S86" s="1286" t="str">
        <f>'DG-PV Organic'!Q105</f>
        <v>TBD</v>
      </c>
      <c r="T86" s="806" t="e">
        <f t="shared" si="29"/>
        <v>#VALUE!</v>
      </c>
      <c r="U86" s="1118">
        <f>'DG-PV Organic'!AJ105/1000*1.1</f>
        <v>89408</v>
      </c>
      <c r="V86" s="1076">
        <f>'DG-PV Organic'!AK105/1000*1.1</f>
        <v>134112</v>
      </c>
      <c r="W86" s="1076">
        <f t="shared" si="33"/>
        <v>223520</v>
      </c>
      <c r="X86" s="1076">
        <f t="shared" si="34"/>
        <v>550</v>
      </c>
      <c r="Y86" s="1076">
        <f>'DG-PV Organic'!AL105/1000*1.1</f>
        <v>469392.00000000006</v>
      </c>
      <c r="Z86" s="1124">
        <v>65000</v>
      </c>
      <c r="AA86" s="492" t="e">
        <f>'DG-PV Organic'!#REF!</f>
        <v>#REF!</v>
      </c>
      <c r="AB86" s="272"/>
      <c r="AC86" s="272"/>
      <c r="AD86" s="272"/>
      <c r="AE86" s="272"/>
      <c r="AF86" s="272"/>
      <c r="AG86" s="272"/>
      <c r="AH86" s="272"/>
      <c r="AI86" s="272"/>
      <c r="AJ86" s="272"/>
    </row>
    <row r="87" spans="1:36">
      <c r="A87" s="2925"/>
      <c r="B87" s="2918"/>
      <c r="C87" s="1008">
        <f>SUBTOTAL(103,$D$72:D87)</f>
        <v>16</v>
      </c>
      <c r="D87" s="796" t="str">
        <f>'DG-PV Organic'!B106</f>
        <v>AT Incheon</v>
      </c>
      <c r="E87" s="770" t="s">
        <v>2154</v>
      </c>
      <c r="F87" s="771" t="s">
        <v>2155</v>
      </c>
      <c r="G87" s="771"/>
      <c r="H87" s="771"/>
      <c r="I87" s="771"/>
      <c r="J87" s="772" t="s">
        <v>2156</v>
      </c>
      <c r="K87" s="1026" t="str">
        <f>'DG-PV Organic'!X106</f>
        <v>Incheon</v>
      </c>
      <c r="L87" s="791" t="e">
        <f>'DG-PV Organic'!#REF!</f>
        <v>#REF!</v>
      </c>
      <c r="M87" s="799" t="str">
        <f>'DG-PV Organic'!G106</f>
        <v>A0</v>
      </c>
      <c r="N87" s="799" t="s">
        <v>515</v>
      </c>
      <c r="O87" s="1224">
        <f>'DG-PV Organic'!O106</f>
        <v>1036.32</v>
      </c>
      <c r="P87" s="793">
        <f>'DG-PV Organic'!L106</f>
        <v>1455</v>
      </c>
      <c r="Q87" s="783">
        <f t="shared" si="32"/>
        <v>3.9863013698630136</v>
      </c>
      <c r="R87" s="793" t="str">
        <f>'DG-PV Organic'!H106</f>
        <v>TBD</v>
      </c>
      <c r="S87" s="1286" t="str">
        <f>'DG-PV Organic'!Q106</f>
        <v>TBD</v>
      </c>
      <c r="T87" s="806" t="e">
        <f t="shared" si="29"/>
        <v>#VALUE!</v>
      </c>
      <c r="U87" s="1118">
        <f>'DG-PV Organic'!AJ106/1000*1.1</f>
        <v>227990.40000000002</v>
      </c>
      <c r="V87" s="1076">
        <f>'DG-PV Organic'!AK106/1000*1.1</f>
        <v>341985.60000000003</v>
      </c>
      <c r="W87" s="1076">
        <f t="shared" si="33"/>
        <v>569976</v>
      </c>
      <c r="X87" s="1076">
        <f t="shared" si="34"/>
        <v>550</v>
      </c>
      <c r="Y87" s="1076">
        <f>'DG-PV Organic'!AL106/1000*1.1</f>
        <v>1196949.5999999999</v>
      </c>
      <c r="Z87" s="1124">
        <v>65000</v>
      </c>
      <c r="AA87" s="492" t="e">
        <f>'DG-PV Organic'!#REF!</f>
        <v>#REF!</v>
      </c>
      <c r="AB87" s="272"/>
      <c r="AC87" s="272"/>
      <c r="AD87" s="272"/>
      <c r="AE87" s="272"/>
      <c r="AF87" s="272"/>
      <c r="AG87" s="272"/>
      <c r="AH87" s="272"/>
      <c r="AI87" s="272"/>
      <c r="AJ87" s="272"/>
    </row>
    <row r="88" spans="1:36">
      <c r="A88" s="2925"/>
      <c r="B88" s="2918"/>
      <c r="C88" s="1008">
        <f>SUBTOTAL(103,$D$72:D88)</f>
        <v>17</v>
      </c>
      <c r="D88" s="796" t="str">
        <f>'DG-PV Organic'!B107</f>
        <v>AT Jeonju</v>
      </c>
      <c r="E88" s="770" t="s">
        <v>2157</v>
      </c>
      <c r="F88" s="771" t="s">
        <v>2158</v>
      </c>
      <c r="G88" s="771"/>
      <c r="H88" s="771"/>
      <c r="I88" s="771"/>
      <c r="J88" s="772" t="s">
        <v>2159</v>
      </c>
      <c r="K88" s="1026" t="str">
        <f>'DG-PV Organic'!X107</f>
        <v>Jeollabuk-do</v>
      </c>
      <c r="L88" s="791">
        <f>'DG-PV Organic'!K93</f>
        <v>1339396.2</v>
      </c>
      <c r="M88" s="799" t="str">
        <f>'DG-PV Organic'!G107</f>
        <v>A0</v>
      </c>
      <c r="N88" s="799" t="s">
        <v>515</v>
      </c>
      <c r="O88" s="1224">
        <f>'DG-PV Organic'!O107</f>
        <v>529.59</v>
      </c>
      <c r="P88" s="793">
        <f>'DG-PV Organic'!L107</f>
        <v>1402</v>
      </c>
      <c r="Q88" s="783">
        <f t="shared" si="32"/>
        <v>3.8410958904109589</v>
      </c>
      <c r="R88" s="793" t="str">
        <f>'DG-PV Organic'!H107</f>
        <v>TBD</v>
      </c>
      <c r="S88" s="1286" t="str">
        <f>'DG-PV Organic'!Q107</f>
        <v>TBD</v>
      </c>
      <c r="T88" s="806" t="e">
        <f t="shared" si="29"/>
        <v>#VALUE!</v>
      </c>
      <c r="U88" s="1118">
        <f>'DG-PV Organic'!AJ107/1000*1.1</f>
        <v>116509.8</v>
      </c>
      <c r="V88" s="1076">
        <f>'DG-PV Organic'!AK107/1000*1.1</f>
        <v>174764.7</v>
      </c>
      <c r="W88" s="1076">
        <f t="shared" si="33"/>
        <v>291274.5</v>
      </c>
      <c r="X88" s="1076">
        <f t="shared" si="34"/>
        <v>550</v>
      </c>
      <c r="Y88" s="1076">
        <f>'DG-PV Organic'!AL107/1000*1.1</f>
        <v>611676.45000000007</v>
      </c>
      <c r="Z88" s="1124">
        <v>65000</v>
      </c>
      <c r="AA88" s="492">
        <f>'DG-PV Organic'!AI93</f>
        <v>208026000.00000003</v>
      </c>
      <c r="AB88" s="272"/>
      <c r="AC88" s="272"/>
      <c r="AD88" s="272"/>
      <c r="AE88" s="272"/>
      <c r="AF88" s="272"/>
      <c r="AG88" s="272"/>
      <c r="AH88" s="272"/>
      <c r="AI88" s="272"/>
      <c r="AJ88" s="272"/>
    </row>
    <row r="89" spans="1:36">
      <c r="A89" s="2925"/>
      <c r="B89" s="2918"/>
      <c r="C89" s="1008">
        <f>SUBTOTAL(103,$D$72:D89)</f>
        <v>18</v>
      </c>
      <c r="D89" s="796" t="str">
        <f>'DG-PV Organic'!B108</f>
        <v xml:space="preserve">AT Cheongwon </v>
      </c>
      <c r="E89" s="770" t="s">
        <v>2160</v>
      </c>
      <c r="F89" s="771" t="s">
        <v>2161</v>
      </c>
      <c r="G89" s="771"/>
      <c r="H89" s="771"/>
      <c r="I89" s="771"/>
      <c r="J89" s="772" t="s">
        <v>2162</v>
      </c>
      <c r="K89" s="1026" t="str">
        <f>'DG-PV Organic'!X108</f>
        <v>Chungcheongbuk-do</v>
      </c>
      <c r="L89" s="791" t="e">
        <f>'DG-PV Organic'!#REF!</f>
        <v>#REF!</v>
      </c>
      <c r="M89" s="799" t="str">
        <f>'DG-PV Organic'!G108</f>
        <v>A0</v>
      </c>
      <c r="N89" s="799" t="s">
        <v>515</v>
      </c>
      <c r="O89" s="1224">
        <f>'DG-PV Organic'!O108</f>
        <v>1036.32</v>
      </c>
      <c r="P89" s="793">
        <f>'DG-PV Organic'!L108</f>
        <v>1437</v>
      </c>
      <c r="Q89" s="783">
        <f t="shared" si="32"/>
        <v>3.9369863013698629</v>
      </c>
      <c r="R89" s="793" t="str">
        <f>'DG-PV Organic'!H108</f>
        <v>TBD</v>
      </c>
      <c r="S89" s="1286" t="str">
        <f>'DG-PV Organic'!Q110</f>
        <v>TBD</v>
      </c>
      <c r="T89" s="806" t="e">
        <f t="shared" si="29"/>
        <v>#VALUE!</v>
      </c>
      <c r="U89" s="1118">
        <f>'DG-PV Organic'!AJ108/1000*1.1</f>
        <v>227990.40000000002</v>
      </c>
      <c r="V89" s="1076">
        <f>'DG-PV Organic'!AK108/1000*1.1</f>
        <v>341985.60000000003</v>
      </c>
      <c r="W89" s="1076">
        <f t="shared" si="33"/>
        <v>569976</v>
      </c>
      <c r="X89" s="1076">
        <f t="shared" si="34"/>
        <v>550</v>
      </c>
      <c r="Y89" s="1076">
        <f>'DG-PV Organic'!AL108/1000*1.1</f>
        <v>1196949.5999999999</v>
      </c>
      <c r="Z89" s="1124">
        <v>65000</v>
      </c>
      <c r="AA89" s="492" t="e">
        <f>'DG-PV Organic'!#REF!</f>
        <v>#REF!</v>
      </c>
      <c r="AB89" s="272"/>
      <c r="AC89" s="272"/>
      <c r="AD89" s="272"/>
      <c r="AE89" s="272"/>
      <c r="AF89" s="272"/>
      <c r="AG89" s="272"/>
      <c r="AH89" s="272"/>
      <c r="AI89" s="272"/>
      <c r="AJ89" s="272"/>
    </row>
    <row r="90" spans="1:36">
      <c r="A90" s="2925"/>
      <c r="B90" s="2918"/>
      <c r="C90" s="1008">
        <f>SUBTOTAL(103,$D$72:D90)</f>
        <v>19</v>
      </c>
      <c r="D90" s="796" t="str">
        <f>'DG-PV Organic'!B109</f>
        <v>Nobelise No. 1</v>
      </c>
      <c r="E90" s="770" t="s">
        <v>2163</v>
      </c>
      <c r="F90" s="771" t="s">
        <v>2164</v>
      </c>
      <c r="G90" s="771"/>
      <c r="H90" s="771"/>
      <c r="I90" s="771"/>
      <c r="J90" s="772" t="s">
        <v>2165</v>
      </c>
      <c r="K90" s="1026" t="str">
        <f>'DG-PV Organic'!X109</f>
        <v>Gyeongsangbuk-do</v>
      </c>
      <c r="L90" s="791" t="e">
        <f>'DG-PV Organic'!#REF!</f>
        <v>#REF!</v>
      </c>
      <c r="M90" s="799" t="str">
        <f>'DG-PV Organic'!G109</f>
        <v>BBB0</v>
      </c>
      <c r="N90" s="799" t="s">
        <v>515</v>
      </c>
      <c r="O90" s="1224">
        <f>'DG-PV Organic'!O109</f>
        <v>11372</v>
      </c>
      <c r="P90" s="793">
        <f>'DG-PV Organic'!L109</f>
        <v>1386</v>
      </c>
      <c r="Q90" s="783">
        <f t="shared" si="32"/>
        <v>3.7972602739726029</v>
      </c>
      <c r="R90" s="793" t="str">
        <f>'DG-PV Organic'!H109</f>
        <v>TBD</v>
      </c>
      <c r="S90" s="1286" t="str">
        <f>'DG-PV Organic'!Q109</f>
        <v>TBD</v>
      </c>
      <c r="T90" s="806" t="e">
        <f t="shared" si="29"/>
        <v>#VALUE!</v>
      </c>
      <c r="U90" s="1118">
        <f>'DG-PV Organic'!AJ109/1000*1.1</f>
        <v>2501840</v>
      </c>
      <c r="V90" s="1076">
        <f>'DG-PV Organic'!AK109/1000*1.1</f>
        <v>3752760.0000000005</v>
      </c>
      <c r="W90" s="1076">
        <f t="shared" ref="W90:W138" si="35">SUM(U90:V90)</f>
        <v>6254600</v>
      </c>
      <c r="X90" s="1076">
        <f t="shared" ref="X90:X138" si="36">W90/O90</f>
        <v>550</v>
      </c>
      <c r="Y90" s="1076">
        <f>'DG-PV Organic'!AL109/1000*1.1</f>
        <v>13134660.000000002</v>
      </c>
      <c r="Z90" s="1124">
        <v>65000</v>
      </c>
      <c r="AA90" s="492" t="e">
        <f>'DG-PV Organic'!#REF!</f>
        <v>#REF!</v>
      </c>
      <c r="AB90" s="272"/>
      <c r="AC90" s="272"/>
      <c r="AD90" s="272"/>
      <c r="AE90" s="272"/>
      <c r="AF90" s="272"/>
      <c r="AG90" s="272"/>
      <c r="AH90" s="272"/>
      <c r="AI90" s="272"/>
      <c r="AJ90" s="272"/>
    </row>
    <row r="91" spans="1:36">
      <c r="A91" s="2925"/>
      <c r="B91" s="2918"/>
      <c r="C91" s="1008">
        <f>SUBTOTAL(103,$D$72:D91)</f>
        <v>20</v>
      </c>
      <c r="D91" s="796" t="str">
        <f>'DG-PV Organic'!B110</f>
        <v>Lee Je-hoon (building owned by an individual)</v>
      </c>
      <c r="E91" s="770" t="s">
        <v>2166</v>
      </c>
      <c r="F91" s="771" t="s">
        <v>2167</v>
      </c>
      <c r="G91" s="771"/>
      <c r="H91" s="771"/>
      <c r="I91" s="771"/>
      <c r="J91" s="772" t="s">
        <v>2168</v>
      </c>
      <c r="K91" s="1026" t="str">
        <f>'DG-PV Organic'!X110</f>
        <v>Gyeonggi-do</v>
      </c>
      <c r="L91" s="791">
        <f>'DG-PV Organic'!K94</f>
        <v>510194.7</v>
      </c>
      <c r="M91" s="799" t="str">
        <f>'DG-PV Organic'!G110</f>
        <v>Individual business owner</v>
      </c>
      <c r="N91" s="799" t="s">
        <v>515</v>
      </c>
      <c r="O91" s="1224">
        <f>'DG-PV Organic'!O110</f>
        <v>217.80500000000001</v>
      </c>
      <c r="P91" s="793">
        <f>'DG-PV Organic'!L110</f>
        <v>1457</v>
      </c>
      <c r="Q91" s="783">
        <f t="shared" si="32"/>
        <v>3.9917808219178084</v>
      </c>
      <c r="R91" s="793" t="str">
        <f>'DG-PV Organic'!H110</f>
        <v>TBD</v>
      </c>
      <c r="S91" s="1286" t="str">
        <f>'DG-PV Organic'!Q110</f>
        <v>TBD</v>
      </c>
      <c r="T91" s="806" t="e">
        <f t="shared" si="29"/>
        <v>#VALUE!</v>
      </c>
      <c r="U91" s="1118">
        <f>'DG-PV Organic'!AJ110/1000*1.1</f>
        <v>47917.100000000006</v>
      </c>
      <c r="V91" s="1076">
        <f>'DG-PV Organic'!AK110/1000*1.1</f>
        <v>71875.650000000009</v>
      </c>
      <c r="W91" s="1076">
        <f t="shared" si="35"/>
        <v>119792.75000000001</v>
      </c>
      <c r="X91" s="1076">
        <f t="shared" si="36"/>
        <v>550</v>
      </c>
      <c r="Y91" s="1076">
        <f>'DG-PV Organic'!AL110/1000*1.1</f>
        <v>251564.77500000002</v>
      </c>
      <c r="Z91" s="1124">
        <v>65000</v>
      </c>
      <c r="AA91" s="492">
        <f>'DG-PV Organic'!AI94</f>
        <v>79240000</v>
      </c>
      <c r="AB91" s="272"/>
      <c r="AC91" s="272"/>
      <c r="AD91" s="272"/>
      <c r="AE91" s="272"/>
      <c r="AF91" s="272"/>
      <c r="AG91" s="272"/>
      <c r="AH91" s="272"/>
      <c r="AI91" s="272"/>
      <c r="AJ91" s="272"/>
    </row>
    <row r="92" spans="1:36">
      <c r="A92" s="2925"/>
      <c r="B92" s="2918"/>
      <c r="C92" s="1008">
        <f>SUBTOTAL(103,$D$72:D92)</f>
        <v>21</v>
      </c>
      <c r="D92" s="796" t="str">
        <f>'DG-PV Organic'!B111</f>
        <v>Shinyang Mecatech</v>
      </c>
      <c r="E92" s="770" t="s">
        <v>2169</v>
      </c>
      <c r="F92" s="771" t="s">
        <v>2170</v>
      </c>
      <c r="G92" s="771"/>
      <c r="H92" s="771"/>
      <c r="I92" s="771"/>
      <c r="J92" s="772" t="s">
        <v>2171</v>
      </c>
      <c r="K92" s="1026" t="str">
        <f>'DG-PV Organic'!X111</f>
        <v>Gyeonggi-do</v>
      </c>
      <c r="L92" s="791" t="e">
        <f>'DG-PV Organic'!#REF!</f>
        <v>#REF!</v>
      </c>
      <c r="M92" s="799" t="str">
        <f>'DG-PV Organic'!G111</f>
        <v>BB0</v>
      </c>
      <c r="N92" s="799" t="s">
        <v>515</v>
      </c>
      <c r="O92" s="1224">
        <f>'DG-PV Organic'!O111</f>
        <v>265.43</v>
      </c>
      <c r="P92" s="793">
        <f>'DG-PV Organic'!L111</f>
        <v>1469</v>
      </c>
      <c r="Q92" s="783">
        <f t="shared" si="32"/>
        <v>4.0246575342465754</v>
      </c>
      <c r="R92" s="793" t="str">
        <f>'DG-PV Organic'!H111</f>
        <v>TBD</v>
      </c>
      <c r="S92" s="1286" t="str">
        <f>'DG-PV Organic'!Q111</f>
        <v>TBD</v>
      </c>
      <c r="T92" s="806" t="e">
        <f t="shared" si="29"/>
        <v>#VALUE!</v>
      </c>
      <c r="U92" s="1118">
        <f>'DG-PV Organic'!AJ111/1000*1.1</f>
        <v>58394.600000000006</v>
      </c>
      <c r="V92" s="1076">
        <f>'DG-PV Organic'!AK111/1000*1.1</f>
        <v>87591.900000000009</v>
      </c>
      <c r="W92" s="1076">
        <f t="shared" si="35"/>
        <v>145986.5</v>
      </c>
      <c r="X92" s="1076">
        <f t="shared" si="36"/>
        <v>550</v>
      </c>
      <c r="Y92" s="1076">
        <f>'DG-PV Organic'!AL111/1000*1.1</f>
        <v>306571.65000000002</v>
      </c>
      <c r="Z92" s="1124">
        <v>65000</v>
      </c>
      <c r="AA92" s="492" t="e">
        <f>'DG-PV Organic'!#REF!</f>
        <v>#REF!</v>
      </c>
      <c r="AB92" s="272"/>
      <c r="AC92" s="272"/>
      <c r="AD92" s="272"/>
      <c r="AE92" s="272"/>
      <c r="AF92" s="272"/>
      <c r="AG92" s="272"/>
      <c r="AH92" s="272"/>
      <c r="AI92" s="272"/>
      <c r="AJ92" s="272"/>
    </row>
    <row r="93" spans="1:36">
      <c r="A93" s="2925"/>
      <c r="B93" s="2918"/>
      <c r="C93" s="1008">
        <f>SUBTOTAL(103,$D$72:D93)</f>
        <v>22</v>
      </c>
      <c r="D93" s="796" t="str">
        <f>'DG-PV Organic'!B112</f>
        <v>Yale Hightech 1-1</v>
      </c>
      <c r="E93" s="770" t="s">
        <v>2172</v>
      </c>
      <c r="F93" s="771" t="s">
        <v>2173</v>
      </c>
      <c r="G93" s="771"/>
      <c r="H93" s="771"/>
      <c r="I93" s="771"/>
      <c r="J93" s="772" t="s">
        <v>2174</v>
      </c>
      <c r="K93" s="1026" t="str">
        <f>'DG-PV Organic'!X112</f>
        <v>Gyeonggi-do</v>
      </c>
      <c r="L93" s="791" t="e">
        <f>'DG-PV Organic'!#REF!</f>
        <v>#REF!</v>
      </c>
      <c r="M93" s="799" t="str">
        <f>'DG-PV Organic'!G112</f>
        <v>CCC0</v>
      </c>
      <c r="N93" s="799" t="s">
        <v>515</v>
      </c>
      <c r="O93" s="1224">
        <f>'DG-PV Organic'!O112</f>
        <v>118.745</v>
      </c>
      <c r="P93" s="793">
        <f>'DG-PV Organic'!L112</f>
        <v>1451</v>
      </c>
      <c r="Q93" s="783">
        <f t="shared" si="32"/>
        <v>3.9753424657534246</v>
      </c>
      <c r="R93" s="793" t="str">
        <f>'DG-PV Organic'!H112</f>
        <v>TBD</v>
      </c>
      <c r="S93" s="1286" t="str">
        <f>'DG-PV Organic'!Q112</f>
        <v>TBD</v>
      </c>
      <c r="T93" s="806" t="e">
        <f t="shared" si="29"/>
        <v>#VALUE!</v>
      </c>
      <c r="U93" s="1118">
        <f>'DG-PV Organic'!AJ112/1000*1.1</f>
        <v>26123.9</v>
      </c>
      <c r="V93" s="1076">
        <f>'DG-PV Organic'!AK112/1000*1.1</f>
        <v>39185.850000000006</v>
      </c>
      <c r="W93" s="1076">
        <f t="shared" si="35"/>
        <v>65309.750000000007</v>
      </c>
      <c r="X93" s="1076">
        <f t="shared" si="36"/>
        <v>550</v>
      </c>
      <c r="Y93" s="1076">
        <f>'DG-PV Organic'!AL112/1000*1.1</f>
        <v>137150.47500000001</v>
      </c>
      <c r="Z93" s="1124">
        <v>65000</v>
      </c>
      <c r="AA93" s="492" t="e">
        <f>'DG-PV Organic'!#REF!</f>
        <v>#REF!</v>
      </c>
      <c r="AB93" s="272"/>
      <c r="AC93" s="272"/>
      <c r="AD93" s="272"/>
      <c r="AE93" s="272"/>
      <c r="AF93" s="272"/>
      <c r="AG93" s="272"/>
      <c r="AH93" s="272"/>
      <c r="AI93" s="272"/>
      <c r="AJ93" s="272"/>
    </row>
    <row r="94" spans="1:36">
      <c r="A94" s="2925"/>
      <c r="B94" s="2918"/>
      <c r="C94" s="1008">
        <f>SUBTOTAL(103,$D$72:D94)</f>
        <v>23</v>
      </c>
      <c r="D94" s="796" t="str">
        <f>'DG-PV Organic'!B113</f>
        <v>Yale Hightech 1-2</v>
      </c>
      <c r="E94" s="770" t="s">
        <v>2175</v>
      </c>
      <c r="F94" s="771" t="s">
        <v>2176</v>
      </c>
      <c r="G94" s="771"/>
      <c r="H94" s="771"/>
      <c r="I94" s="771"/>
      <c r="J94" s="772" t="s">
        <v>2177</v>
      </c>
      <c r="K94" s="1026" t="str">
        <f>'DG-PV Organic'!X113</f>
        <v>Gyeonggi-do</v>
      </c>
      <c r="L94" s="791" t="e">
        <f>'DG-PV Organic'!#REF!</f>
        <v>#REF!</v>
      </c>
      <c r="M94" s="799" t="str">
        <f>'DG-PV Organic'!G113</f>
        <v>CCC0</v>
      </c>
      <c r="N94" s="799" t="s">
        <v>515</v>
      </c>
      <c r="O94" s="1224">
        <f>'DG-PV Organic'!O113</f>
        <v>405.13</v>
      </c>
      <c r="P94" s="793">
        <f>'DG-PV Organic'!L113</f>
        <v>1449</v>
      </c>
      <c r="Q94" s="783">
        <f t="shared" si="32"/>
        <v>3.9698630136986299</v>
      </c>
      <c r="R94" s="793" t="str">
        <f>'DG-PV Organic'!H113</f>
        <v>TBD</v>
      </c>
      <c r="S94" s="1286" t="str">
        <f>'DG-PV Organic'!Q113</f>
        <v>TBD</v>
      </c>
      <c r="T94" s="806" t="e">
        <f t="shared" si="29"/>
        <v>#VALUE!</v>
      </c>
      <c r="U94" s="1118">
        <f>'DG-PV Organic'!AJ113/1000*1.1</f>
        <v>89128.6</v>
      </c>
      <c r="V94" s="1076">
        <f>'DG-PV Organic'!AK113/1000*1.1</f>
        <v>133692.90000000002</v>
      </c>
      <c r="W94" s="1076">
        <f t="shared" si="35"/>
        <v>222821.50000000003</v>
      </c>
      <c r="X94" s="1076">
        <f t="shared" si="36"/>
        <v>550.00000000000011</v>
      </c>
      <c r="Y94" s="1076">
        <f>'DG-PV Organic'!AL113/1000*1.1</f>
        <v>467925.15</v>
      </c>
      <c r="Z94" s="1124">
        <v>65000</v>
      </c>
      <c r="AA94" s="492" t="e">
        <f>'DG-PV Organic'!#REF!</f>
        <v>#REF!</v>
      </c>
      <c r="AB94" s="272"/>
      <c r="AC94" s="272"/>
      <c r="AD94" s="272"/>
      <c r="AE94" s="272"/>
      <c r="AF94" s="272"/>
      <c r="AG94" s="272"/>
      <c r="AH94" s="272"/>
      <c r="AI94" s="272"/>
      <c r="AJ94" s="272"/>
    </row>
    <row r="95" spans="1:36" ht="17.25" thickBot="1">
      <c r="A95" s="2962"/>
      <c r="B95" s="2919"/>
      <c r="C95" s="1140">
        <f>SUBTOTAL(103,$D$72:D95)</f>
        <v>24</v>
      </c>
      <c r="D95" s="1141" t="str">
        <f>'DG-PV Organic'!B114</f>
        <v>Daejin University</v>
      </c>
      <c r="E95" s="1142" t="s">
        <v>1000</v>
      </c>
      <c r="F95" s="1143" t="s">
        <v>1001</v>
      </c>
      <c r="G95" s="1143"/>
      <c r="H95" s="1143"/>
      <c r="I95" s="1143"/>
      <c r="J95" s="1144" t="s">
        <v>2178</v>
      </c>
      <c r="K95" s="1287" t="str">
        <f>'DG-PV Organic'!X114</f>
        <v>Gyeonggi-do</v>
      </c>
      <c r="L95" s="1146">
        <f>'DG-PV Organic'!K95</f>
        <v>409675.2</v>
      </c>
      <c r="M95" s="1147" t="str">
        <f>'DG-PV Organic'!G114</f>
        <v>University (non-profit organization)</v>
      </c>
      <c r="N95" s="1147" t="s">
        <v>575</v>
      </c>
      <c r="O95" s="1225">
        <f>'DG-PV Organic'!O114</f>
        <v>4029.71</v>
      </c>
      <c r="P95" s="1140">
        <f>'DG-PV Organic'!L114</f>
        <v>1377</v>
      </c>
      <c r="Q95" s="1149">
        <f t="shared" si="32"/>
        <v>3.7726027397260276</v>
      </c>
      <c r="R95" s="1288" t="str">
        <f>'DG-PV Organic'!H114</f>
        <v>TBD</v>
      </c>
      <c r="S95" s="1289" t="str">
        <f>'DG-PV Organic'!Q114</f>
        <v>TBD</v>
      </c>
      <c r="T95" s="1307" t="e">
        <f t="shared" si="29"/>
        <v>#VALUE!</v>
      </c>
      <c r="U95" s="1152">
        <f>'DG-PV Organic'!AJ114/1000*1.1</f>
        <v>886536.20000000007</v>
      </c>
      <c r="V95" s="1153">
        <f>'DG-PV Organic'!AK114/1000*1.1</f>
        <v>1329804.3</v>
      </c>
      <c r="W95" s="1153">
        <f t="shared" si="35"/>
        <v>2216340.5</v>
      </c>
      <c r="X95" s="1153">
        <f t="shared" si="36"/>
        <v>550</v>
      </c>
      <c r="Y95" s="1153">
        <f>'DG-PV Organic'!AL114/1000*1.1</f>
        <v>4654315.0500000007</v>
      </c>
      <c r="Z95" s="1154">
        <v>65000</v>
      </c>
      <c r="AA95" s="573">
        <f>'DG-PV Organic'!AI95</f>
        <v>63627000</v>
      </c>
      <c r="AB95" s="846"/>
      <c r="AC95" s="1082"/>
      <c r="AD95" s="272"/>
      <c r="AE95" s="1084"/>
      <c r="AF95" s="272"/>
      <c r="AG95" s="272"/>
      <c r="AH95" s="272"/>
      <c r="AI95" s="272"/>
      <c r="AJ95" s="272"/>
    </row>
    <row r="96" spans="1:36" ht="16.5" customHeight="1" collapsed="1" thickTop="1">
      <c r="A96" s="2925" t="s">
        <v>2090</v>
      </c>
      <c r="B96" s="2926"/>
      <c r="C96" s="793"/>
      <c r="D96" s="796"/>
      <c r="E96" s="780"/>
      <c r="F96" s="781"/>
      <c r="G96" s="781"/>
      <c r="H96" s="781"/>
      <c r="I96" s="781"/>
      <c r="J96" s="782"/>
      <c r="K96" s="1026"/>
      <c r="L96" s="790"/>
      <c r="M96" s="799"/>
      <c r="N96" s="799"/>
      <c r="O96" s="1165">
        <f>SUM(O99:O138)</f>
        <v>56726.234999999993</v>
      </c>
      <c r="P96" s="793"/>
      <c r="Q96" s="783"/>
      <c r="R96" s="803"/>
      <c r="S96" s="806"/>
      <c r="T96" s="806"/>
      <c r="U96" s="1118"/>
      <c r="V96" s="1076"/>
      <c r="W96" s="1076"/>
      <c r="X96" s="1076"/>
      <c r="Y96" s="1076"/>
      <c r="Z96" s="1124"/>
      <c r="AA96" s="492"/>
      <c r="AB96" s="272"/>
      <c r="AC96" s="272"/>
      <c r="AD96" s="272"/>
      <c r="AE96" s="272"/>
      <c r="AF96" s="272"/>
      <c r="AG96" s="272"/>
      <c r="AH96" s="272"/>
      <c r="AI96" s="272"/>
      <c r="AJ96" s="272"/>
    </row>
    <row r="97" spans="1:36" ht="16.5" customHeight="1">
      <c r="A97" s="2925" t="s">
        <v>2091</v>
      </c>
      <c r="B97" s="2926"/>
      <c r="C97" s="793"/>
      <c r="D97" s="796"/>
      <c r="E97" s="780"/>
      <c r="F97" s="781"/>
      <c r="G97" s="781"/>
      <c r="H97" s="781"/>
      <c r="I97" s="781"/>
      <c r="J97" s="782"/>
      <c r="K97" s="1026"/>
      <c r="L97" s="790"/>
      <c r="M97" s="799"/>
      <c r="N97" s="799"/>
      <c r="O97" s="1127"/>
      <c r="P97" s="793"/>
      <c r="Q97" s="783"/>
      <c r="R97" s="803"/>
      <c r="S97" s="806"/>
      <c r="T97" s="806"/>
      <c r="U97" s="1118"/>
      <c r="V97" s="1076"/>
      <c r="W97" s="1076"/>
      <c r="X97" s="1076"/>
      <c r="Y97" s="1076"/>
      <c r="Z97" s="1124"/>
      <c r="AA97" s="492"/>
      <c r="AB97" s="272"/>
      <c r="AC97" s="272"/>
      <c r="AD97" s="272"/>
      <c r="AE97" s="272"/>
      <c r="AF97" s="272"/>
      <c r="AG97" s="272"/>
      <c r="AH97" s="272"/>
      <c r="AI97" s="272"/>
      <c r="AJ97" s="272"/>
    </row>
    <row r="98" spans="1:36" ht="16.5" customHeight="1">
      <c r="A98" s="2927" t="s">
        <v>2092</v>
      </c>
      <c r="B98" s="2928"/>
      <c r="C98" s="1245"/>
      <c r="D98" s="1246"/>
      <c r="E98" s="591"/>
      <c r="F98" s="987"/>
      <c r="G98" s="987"/>
      <c r="H98" s="987"/>
      <c r="I98" s="987"/>
      <c r="J98" s="988"/>
      <c r="K98" s="1247"/>
      <c r="L98" s="1248"/>
      <c r="M98" s="1249"/>
      <c r="N98" s="1249"/>
      <c r="O98" s="1250"/>
      <c r="P98" s="1245"/>
      <c r="Q98" s="1251"/>
      <c r="R98" s="1292"/>
      <c r="S98" s="1253"/>
      <c r="T98" s="1293"/>
      <c r="U98" s="1294"/>
      <c r="V98" s="1295"/>
      <c r="W98" s="2929" t="s">
        <v>2105</v>
      </c>
      <c r="X98" s="2930"/>
      <c r="Y98" s="2931"/>
      <c r="Z98" s="1256"/>
      <c r="AA98" s="492"/>
      <c r="AB98" s="1227"/>
      <c r="AC98" s="1227"/>
      <c r="AD98" s="272"/>
      <c r="AE98" s="272"/>
      <c r="AF98" s="272"/>
      <c r="AG98" s="272"/>
      <c r="AH98" s="272"/>
      <c r="AI98" s="272"/>
      <c r="AJ98" s="272"/>
    </row>
    <row r="99" spans="1:36" ht="16.5" customHeight="1">
      <c r="A99" s="785"/>
      <c r="B99" s="1137"/>
      <c r="C99" s="1291">
        <f>SUBTOTAL(103,$D$99:D99)</f>
        <v>1</v>
      </c>
      <c r="D99" s="796" t="str">
        <f>'DG-PV Organic'!B115</f>
        <v>Industrial Technology(일광개발주식회사)</v>
      </c>
      <c r="E99" s="780" t="s">
        <v>1006</v>
      </c>
      <c r="F99" s="781" t="s">
        <v>2179</v>
      </c>
      <c r="G99" s="781"/>
      <c r="H99" s="781"/>
      <c r="I99" s="781"/>
      <c r="J99" s="782" t="s">
        <v>2180</v>
      </c>
      <c r="K99" s="1026" t="str">
        <f>'DG-PV Organic'!X115</f>
        <v>Busan</v>
      </c>
      <c r="L99" s="790">
        <f>'DG-PV Organic'!K96</f>
        <v>1083461.8999999999</v>
      </c>
      <c r="M99" s="1005" t="str">
        <f>'DG-PV Organic'!G115</f>
        <v>BBB0</v>
      </c>
      <c r="N99" s="799" t="s">
        <v>515</v>
      </c>
      <c r="O99" s="1258">
        <f>'DG-PV Organic'!O115</f>
        <v>1224.5999999999999</v>
      </c>
      <c r="P99" s="793">
        <f>'DG-PV Organic'!L115</f>
        <v>1391</v>
      </c>
      <c r="Q99" s="1127">
        <f t="shared" si="32"/>
        <v>3.8109589041095893</v>
      </c>
      <c r="R99" s="793" t="str">
        <f>'DG-PV Organic'!H115</f>
        <v>TBD</v>
      </c>
      <c r="S99" s="1286" t="str">
        <f>'DG-PV Organic'!Q115</f>
        <v>TBD</v>
      </c>
      <c r="T99" s="806" t="e">
        <f t="shared" si="29"/>
        <v>#VALUE!</v>
      </c>
      <c r="U99" s="1118">
        <f>'DG-PV Organic'!AJ115/1000*1.1</f>
        <v>269412</v>
      </c>
      <c r="V99" s="1076">
        <f>'DG-PV Organic'!AK115/1000*1.1</f>
        <v>404118.00000000006</v>
      </c>
      <c r="W99" s="1076">
        <f t="shared" si="35"/>
        <v>673530</v>
      </c>
      <c r="X99" s="1076">
        <f t="shared" si="36"/>
        <v>550</v>
      </c>
      <c r="Y99" s="1076">
        <f>'DG-PV Organic'!AL115/1000*1.1</f>
        <v>1414413</v>
      </c>
      <c r="Z99" s="1124">
        <v>65000</v>
      </c>
      <c r="AA99" s="492">
        <f>'DG-PV Organic'!AI96</f>
        <v>168275000</v>
      </c>
      <c r="AB99" s="1227"/>
      <c r="AC99" s="1227"/>
      <c r="AD99" s="272"/>
      <c r="AE99" s="272"/>
      <c r="AF99" s="1283"/>
      <c r="AG99" s="1283"/>
      <c r="AH99" s="1283"/>
      <c r="AI99" s="1283"/>
      <c r="AJ99" s="1282"/>
    </row>
    <row r="100" spans="1:36" ht="16.5" customHeight="1">
      <c r="A100" s="785"/>
      <c r="B100" s="1137"/>
      <c r="C100" s="1291">
        <f>SUBTOTAL(103,$D$99:D100)</f>
        <v>2</v>
      </c>
      <c r="D100" s="796" t="str">
        <f>'DG-PV Organic'!B52</f>
        <v>Daesun Josun Bongrae</v>
      </c>
      <c r="E100" s="770" t="s">
        <v>1011</v>
      </c>
      <c r="F100" s="771" t="s">
        <v>2181</v>
      </c>
      <c r="G100" s="771"/>
      <c r="H100" s="771"/>
      <c r="I100" s="771"/>
      <c r="J100" s="772" t="s">
        <v>2182</v>
      </c>
      <c r="K100" s="1026" t="str">
        <f>'DG-PV Organic'!X52</f>
        <v>Busan</v>
      </c>
      <c r="L100" s="791">
        <f>'DG-PV Organic'!K97</f>
        <v>537223.9</v>
      </c>
      <c r="M100" s="799" t="str">
        <f>'DG-PV Organic'!G52</f>
        <v>CCC0</v>
      </c>
      <c r="N100" s="799" t="s">
        <v>515</v>
      </c>
      <c r="O100" s="1224">
        <f>'DG-PV Organic'!O52</f>
        <v>275.88</v>
      </c>
      <c r="P100" s="793">
        <f>'DG-PV Organic'!L52</f>
        <v>1398</v>
      </c>
      <c r="Q100" s="783">
        <f t="shared" si="32"/>
        <v>3.8301369863013699</v>
      </c>
      <c r="R100" s="793">
        <f>'DG-PV Organic'!H52</f>
        <v>8.77E-2</v>
      </c>
      <c r="S100" s="1286" t="str">
        <f>'DG-PV Organic'!Q52</f>
        <v>TBD</v>
      </c>
      <c r="T100" s="806" t="e">
        <f t="shared" si="29"/>
        <v>#VALUE!</v>
      </c>
      <c r="U100" s="1118">
        <f>'DG-PV Organic'!AJ52/1000*1.1</f>
        <v>60693.600000000006</v>
      </c>
      <c r="V100" s="1076">
        <f>'DG-PV Organic'!AK52/1000*1.1</f>
        <v>91040.400000000009</v>
      </c>
      <c r="W100" s="1076">
        <f t="shared" si="35"/>
        <v>151734</v>
      </c>
      <c r="X100" s="1076">
        <f t="shared" si="36"/>
        <v>550</v>
      </c>
      <c r="Y100" s="1076">
        <f>'DG-PV Organic'!AL52/1000*1.1</f>
        <v>318641.40000000002</v>
      </c>
      <c r="Z100" s="1124">
        <v>65000</v>
      </c>
      <c r="AA100" s="492">
        <f>'DG-PV Organic'!AI97</f>
        <v>83438000</v>
      </c>
      <c r="AB100" s="272"/>
      <c r="AC100" s="272"/>
      <c r="AD100" s="272"/>
      <c r="AE100" s="272"/>
      <c r="AF100" s="272"/>
      <c r="AG100" s="272"/>
      <c r="AH100" s="272"/>
      <c r="AI100" s="272"/>
      <c r="AJ100" s="272"/>
    </row>
    <row r="101" spans="1:36" ht="16.5" customHeight="1">
      <c r="A101" s="785"/>
      <c r="B101" s="1137"/>
      <c r="C101" s="1291">
        <f>SUBTOTAL(103,$D$99:D101)</f>
        <v>3</v>
      </c>
      <c r="D101" s="796" t="str">
        <f>'DG-PV Organic'!B53</f>
        <v>Daesun Josun Dadae</v>
      </c>
      <c r="E101" s="770" t="s">
        <v>1016</v>
      </c>
      <c r="F101" s="771" t="s">
        <v>2183</v>
      </c>
      <c r="G101" s="771"/>
      <c r="H101" s="771"/>
      <c r="I101" s="771"/>
      <c r="J101" s="772" t="s">
        <v>2184</v>
      </c>
      <c r="K101" s="1026" t="str">
        <f>'DG-PV Organic'!X53</f>
        <v>Busan</v>
      </c>
      <c r="L101" s="791">
        <f>'DG-PV Organic'!K98</f>
        <v>537223.9</v>
      </c>
      <c r="M101" s="799" t="str">
        <f>'DG-PV Organic'!G53</f>
        <v>CCC0</v>
      </c>
      <c r="N101" s="799" t="s">
        <v>515</v>
      </c>
      <c r="O101" s="1224">
        <f>'DG-PV Organic'!O53</f>
        <v>4535.5200000000004</v>
      </c>
      <c r="P101" s="793">
        <f>'DG-PV Organic'!L53</f>
        <v>1399</v>
      </c>
      <c r="Q101" s="783">
        <f t="shared" si="32"/>
        <v>3.8328767123287673</v>
      </c>
      <c r="R101" s="793">
        <f>'DG-PV Organic'!H53</f>
        <v>8.5599999999999996E-2</v>
      </c>
      <c r="S101" s="1286" t="str">
        <f>'DG-PV Organic'!Q53</f>
        <v>TBD</v>
      </c>
      <c r="T101" s="806" t="e">
        <f t="shared" si="29"/>
        <v>#VALUE!</v>
      </c>
      <c r="U101" s="1118">
        <f>'DG-PV Organic'!AJ53/1000*1.1</f>
        <v>997814.40000000026</v>
      </c>
      <c r="V101" s="1076">
        <f>'DG-PV Organic'!AK53/1000*1.1</f>
        <v>1496721.6000000003</v>
      </c>
      <c r="W101" s="1076">
        <f t="shared" si="35"/>
        <v>2494536.0000000005</v>
      </c>
      <c r="X101" s="1076">
        <f t="shared" si="36"/>
        <v>550</v>
      </c>
      <c r="Y101" s="1076">
        <f>'DG-PV Organic'!AL53/1000*1.1</f>
        <v>5238525.6000000006</v>
      </c>
      <c r="Z101" s="1124">
        <v>65000</v>
      </c>
      <c r="AA101" s="492">
        <f>'DG-PV Organic'!AI98</f>
        <v>83438000</v>
      </c>
      <c r="AB101" s="272"/>
      <c r="AC101" s="272"/>
      <c r="AD101" s="272"/>
      <c r="AE101" s="272"/>
      <c r="AF101" s="272"/>
      <c r="AG101" s="272"/>
      <c r="AH101" s="272"/>
      <c r="AI101" s="272"/>
      <c r="AJ101" s="272"/>
    </row>
    <row r="102" spans="1:36" ht="16.5" customHeight="1">
      <c r="A102" s="785"/>
      <c r="B102" s="1137"/>
      <c r="C102" s="1291">
        <f>SUBTOTAL(103,$D$99:D102)</f>
        <v>4</v>
      </c>
      <c r="D102" s="796" t="str">
        <f>'DG-PV Organic'!B54</f>
        <v>Fine vestil</v>
      </c>
      <c r="E102" s="770" t="s">
        <v>1021</v>
      </c>
      <c r="F102" s="771" t="s">
        <v>2185</v>
      </c>
      <c r="G102" s="771"/>
      <c r="H102" s="771"/>
      <c r="I102" s="771"/>
      <c r="J102" s="772" t="s">
        <v>2186</v>
      </c>
      <c r="K102" s="1026" t="str">
        <f>'DG-PV Organic'!X54</f>
        <v>Gyeongsangnam-do</v>
      </c>
      <c r="L102" s="791">
        <f>'DG-PV Organic'!K99</f>
        <v>690964.8</v>
      </c>
      <c r="M102" s="799" t="str">
        <f>'DG-PV Organic'!G54</f>
        <v>CCC0</v>
      </c>
      <c r="N102" s="799" t="s">
        <v>515</v>
      </c>
      <c r="O102" s="1224">
        <f>'DG-PV Organic'!O54</f>
        <v>3818.5</v>
      </c>
      <c r="P102" s="793">
        <f>'DG-PV Organic'!L54</f>
        <v>1426</v>
      </c>
      <c r="Q102" s="783">
        <f t="shared" si="32"/>
        <v>3.9068493150684933</v>
      </c>
      <c r="R102" s="793">
        <f>'DG-PV Organic'!H54</f>
        <v>8.8599999999999998E-2</v>
      </c>
      <c r="S102" s="1286" t="str">
        <f>'DG-PV Organic'!Q54</f>
        <v>TBD</v>
      </c>
      <c r="T102" s="806" t="e">
        <f t="shared" si="29"/>
        <v>#VALUE!</v>
      </c>
      <c r="U102" s="1118">
        <f>'DG-PV Organic'!AJ54/1000*1.1</f>
        <v>840070.00000000012</v>
      </c>
      <c r="V102" s="1076">
        <f>'DG-PV Organic'!AK54/1000*1.1</f>
        <v>1260105</v>
      </c>
      <c r="W102" s="1076">
        <f t="shared" si="35"/>
        <v>2100175</v>
      </c>
      <c r="X102" s="1076">
        <f t="shared" si="36"/>
        <v>550</v>
      </c>
      <c r="Y102" s="1076">
        <f>'DG-PV Organic'!AL54/1000*1.1</f>
        <v>4410367.5</v>
      </c>
      <c r="Z102" s="1124">
        <v>65000</v>
      </c>
      <c r="AA102" s="492">
        <f>'DG-PV Organic'!AI99</f>
        <v>107315000</v>
      </c>
      <c r="AB102" s="272"/>
      <c r="AC102" s="272"/>
      <c r="AD102" s="272"/>
      <c r="AE102" s="272"/>
      <c r="AF102" s="272"/>
      <c r="AG102" s="272"/>
      <c r="AH102" s="272"/>
      <c r="AI102" s="272"/>
      <c r="AJ102" s="272"/>
    </row>
    <row r="103" spans="1:36" ht="16.5" customHeight="1">
      <c r="A103" s="785"/>
      <c r="B103" s="1137"/>
      <c r="C103" s="1291">
        <f>SUBTOTAL(103,$D$99:D103)</f>
        <v>5</v>
      </c>
      <c r="D103" s="796" t="str">
        <f>'DG-PV Organic'!B55</f>
        <v>Dongil Steel</v>
      </c>
      <c r="E103" s="770" t="s">
        <v>1026</v>
      </c>
      <c r="F103" s="771" t="s">
        <v>2187</v>
      </c>
      <c r="G103" s="771"/>
      <c r="H103" s="771"/>
      <c r="I103" s="771"/>
      <c r="J103" s="772" t="s">
        <v>2188</v>
      </c>
      <c r="K103" s="1026" t="str">
        <f>'DG-PV Organic'!X55</f>
        <v>Busan</v>
      </c>
      <c r="L103" s="791">
        <f>'DG-PV Organic'!K100</f>
        <v>1395000</v>
      </c>
      <c r="M103" s="799" t="str">
        <f>'DG-PV Organic'!G55</f>
        <v>B-</v>
      </c>
      <c r="N103" s="799" t="s">
        <v>515</v>
      </c>
      <c r="O103" s="1224">
        <f>'DG-PV Organic'!O55</f>
        <v>453.42</v>
      </c>
      <c r="P103" s="793">
        <f>'DG-PV Organic'!L55</f>
        <v>1422</v>
      </c>
      <c r="Q103" s="783">
        <f t="shared" si="32"/>
        <v>3.8958904109589043</v>
      </c>
      <c r="R103" s="793">
        <f>'DG-PV Organic'!H55</f>
        <v>0</v>
      </c>
      <c r="S103" s="1286" t="str">
        <f>'DG-PV Organic'!Q55</f>
        <v>TBD</v>
      </c>
      <c r="T103" s="806" t="e">
        <f t="shared" si="29"/>
        <v>#VALUE!</v>
      </c>
      <c r="U103" s="1118">
        <f>'DG-PV Organic'!AJ55/1000*1.1</f>
        <v>99752.400000000009</v>
      </c>
      <c r="V103" s="1076">
        <f>'DG-PV Organic'!AK55/1000*1.1</f>
        <v>149628.6</v>
      </c>
      <c r="W103" s="1076">
        <f t="shared" si="35"/>
        <v>249381</v>
      </c>
      <c r="X103" s="1076">
        <f t="shared" si="36"/>
        <v>550</v>
      </c>
      <c r="Y103" s="1076">
        <f>'DG-PV Organic'!AL55/1000*1.1</f>
        <v>523700.10000000003</v>
      </c>
      <c r="Z103" s="1124">
        <v>65000</v>
      </c>
      <c r="AA103" s="492">
        <f>'DG-PV Organic'!AI100</f>
        <v>216662000</v>
      </c>
      <c r="AB103" s="272"/>
      <c r="AC103" s="272"/>
      <c r="AD103" s="272"/>
      <c r="AE103" s="272"/>
      <c r="AF103" s="272"/>
      <c r="AG103" s="272"/>
      <c r="AH103" s="272"/>
      <c r="AI103" s="272"/>
      <c r="AJ103" s="272"/>
    </row>
    <row r="104" spans="1:36" ht="16.5" customHeight="1">
      <c r="A104" s="785"/>
      <c r="B104" s="1137"/>
      <c r="C104" s="1291">
        <f>SUBTOTAL(103,$D$99:D104)</f>
        <v>6</v>
      </c>
      <c r="D104" s="796" t="str">
        <f>'DG-PV Organic'!B116</f>
        <v>Samjin Food</v>
      </c>
      <c r="E104" s="770" t="s">
        <v>1032</v>
      </c>
      <c r="F104" s="771" t="s">
        <v>2189</v>
      </c>
      <c r="G104" s="771"/>
      <c r="H104" s="771"/>
      <c r="I104" s="771"/>
      <c r="J104" s="772" t="s">
        <v>2190</v>
      </c>
      <c r="K104" s="1026" t="str">
        <f>'DG-PV Organic'!X116</f>
        <v>Busan</v>
      </c>
      <c r="L104" s="791">
        <f>'DG-PV Organic'!K101</f>
        <v>4938921.3</v>
      </c>
      <c r="M104" s="799" t="str">
        <f>'DG-PV Organic'!G116</f>
        <v>BBB0</v>
      </c>
      <c r="N104" s="799" t="s">
        <v>515</v>
      </c>
      <c r="O104" s="1224">
        <f>'DG-PV Organic'!O116</f>
        <v>483.7</v>
      </c>
      <c r="P104" s="793">
        <f>'DG-PV Organic'!L116</f>
        <v>1424</v>
      </c>
      <c r="Q104" s="783">
        <f t="shared" si="32"/>
        <v>3.9013698630136986</v>
      </c>
      <c r="R104" s="793" t="str">
        <f>'DG-PV Organic'!H116</f>
        <v>TBD</v>
      </c>
      <c r="S104" s="1286" t="str">
        <f>'DG-PV Organic'!Q116</f>
        <v>TBD</v>
      </c>
      <c r="T104" s="806" t="e">
        <f t="shared" si="29"/>
        <v>#VALUE!</v>
      </c>
      <c r="U104" s="1118">
        <f>'DG-PV Organic'!AJ116/1000*1.1</f>
        <v>106414.00000000001</v>
      </c>
      <c r="V104" s="1076">
        <f>'DG-PV Organic'!AK116/1000*1.1</f>
        <v>159621</v>
      </c>
      <c r="W104" s="1076">
        <f t="shared" si="35"/>
        <v>266035</v>
      </c>
      <c r="X104" s="1076">
        <f t="shared" si="36"/>
        <v>550</v>
      </c>
      <c r="Y104" s="1076">
        <f>'DG-PV Organic'!AL116/1000*1.1</f>
        <v>558673.5</v>
      </c>
      <c r="Z104" s="1124">
        <v>65000</v>
      </c>
      <c r="AA104" s="492">
        <f>'DG-PV Organic'!AI101</f>
        <v>767080000</v>
      </c>
      <c r="AB104" s="272"/>
      <c r="AC104" s="272"/>
      <c r="AD104" s="272"/>
      <c r="AE104" s="272"/>
      <c r="AF104" s="272"/>
      <c r="AG104" s="272"/>
      <c r="AH104" s="272"/>
      <c r="AI104" s="272"/>
      <c r="AJ104" s="272"/>
    </row>
    <row r="105" spans="1:36">
      <c r="A105" s="785"/>
      <c r="B105" s="1137"/>
      <c r="C105" s="1291">
        <f>SUBTOTAL(103,$D$99:D105)</f>
        <v>7</v>
      </c>
      <c r="D105" s="796" t="str">
        <f>'DG-PV Organic'!B117</f>
        <v>IEN Hanchang Kijang</v>
      </c>
      <c r="E105" s="770" t="s">
        <v>1037</v>
      </c>
      <c r="F105" s="771" t="s">
        <v>2191</v>
      </c>
      <c r="G105" s="771"/>
      <c r="H105" s="771"/>
      <c r="I105" s="771"/>
      <c r="J105" s="772" t="s">
        <v>2192</v>
      </c>
      <c r="K105" s="1026" t="str">
        <f>'DG-PV Organic'!X117</f>
        <v>Busan</v>
      </c>
      <c r="L105" s="791">
        <f>'DG-PV Organic'!K102</f>
        <v>2318192.2000000002</v>
      </c>
      <c r="M105" s="799" t="str">
        <f>'DG-PV Organic'!G117</f>
        <v>A0</v>
      </c>
      <c r="N105" s="799" t="s">
        <v>575</v>
      </c>
      <c r="O105" s="1224">
        <f>'DG-PV Organic'!O117</f>
        <v>1602.48</v>
      </c>
      <c r="P105" s="793">
        <f>'DG-PV Organic'!L117</f>
        <v>1391</v>
      </c>
      <c r="Q105" s="783">
        <f t="shared" si="32"/>
        <v>3.8109589041095893</v>
      </c>
      <c r="R105" s="793" t="str">
        <f>'DG-PV Organic'!H117</f>
        <v>TBD</v>
      </c>
      <c r="S105" s="1286" t="str">
        <f>'DG-PV Organic'!Q117</f>
        <v>TBD</v>
      </c>
      <c r="T105" s="806" t="e">
        <f t="shared" si="29"/>
        <v>#VALUE!</v>
      </c>
      <c r="U105" s="1118">
        <f>'DG-PV Organic'!AJ117/1000*1.1</f>
        <v>352545.60000000003</v>
      </c>
      <c r="V105" s="1076">
        <f>'DG-PV Organic'!AK117/1000*1.1</f>
        <v>528818.4</v>
      </c>
      <c r="W105" s="1076">
        <f t="shared" si="35"/>
        <v>881364</v>
      </c>
      <c r="X105" s="1076">
        <f t="shared" si="36"/>
        <v>550</v>
      </c>
      <c r="Y105" s="1076">
        <f>'DG-PV Organic'!AL117/1000*1.1</f>
        <v>1850864.4000000001</v>
      </c>
      <c r="Z105" s="1124">
        <v>65000</v>
      </c>
      <c r="AA105" s="573">
        <f>'DG-PV Organic'!AI102</f>
        <v>360045000</v>
      </c>
      <c r="AB105" s="846"/>
      <c r="AC105" s="1082"/>
      <c r="AD105" s="272"/>
      <c r="AE105" s="1084"/>
      <c r="AF105" s="272"/>
      <c r="AG105" s="272"/>
      <c r="AH105" s="272"/>
      <c r="AI105" s="272"/>
      <c r="AJ105" s="272"/>
    </row>
    <row r="106" spans="1:36" ht="16.5" customHeight="1">
      <c r="A106" s="785"/>
      <c r="B106" s="1137" t="str">
        <f>"DG Batch 5 - 40 PJT"</f>
        <v>DG Batch 5 - 40 PJT</v>
      </c>
      <c r="C106" s="1291">
        <f>SUBTOTAL(103,$D$99:D106)</f>
        <v>8</v>
      </c>
      <c r="D106" s="796" t="str">
        <f>'DG-PV Organic'!B118</f>
        <v>IEN Hanchang Kangseo</v>
      </c>
      <c r="E106" s="770" t="s">
        <v>1042</v>
      </c>
      <c r="F106" s="771" t="s">
        <v>2193</v>
      </c>
      <c r="G106" s="771"/>
      <c r="H106" s="771"/>
      <c r="I106" s="771"/>
      <c r="J106" s="772" t="s">
        <v>2194</v>
      </c>
      <c r="K106" s="1026" t="str">
        <f>'DG-PV Organic'!X118</f>
        <v>Busan</v>
      </c>
      <c r="L106" s="791">
        <f>'DG-PV Organic'!K103</f>
        <v>1756424.3</v>
      </c>
      <c r="M106" s="799" t="str">
        <f>'DG-PV Organic'!G118</f>
        <v>A0</v>
      </c>
      <c r="N106" s="799" t="s">
        <v>515</v>
      </c>
      <c r="O106" s="1224">
        <f>'DG-PV Organic'!O118</f>
        <v>483.12</v>
      </c>
      <c r="P106" s="793">
        <f>'DG-PV Organic'!L118</f>
        <v>1432</v>
      </c>
      <c r="Q106" s="783">
        <f t="shared" si="32"/>
        <v>3.9232876712328766</v>
      </c>
      <c r="R106" s="793" t="str">
        <f>'DG-PV Organic'!H118</f>
        <v>TBD</v>
      </c>
      <c r="S106" s="1286" t="str">
        <f>'DG-PV Organic'!Q118</f>
        <v>TBD</v>
      </c>
      <c r="T106" s="806" t="e">
        <f t="shared" si="29"/>
        <v>#VALUE!</v>
      </c>
      <c r="U106" s="1118">
        <f>'DG-PV Organic'!AJ118/1000*1.1</f>
        <v>106286.40000000001</v>
      </c>
      <c r="V106" s="1076">
        <f>'DG-PV Organic'!AK118/1000*1.1</f>
        <v>159429.6</v>
      </c>
      <c r="W106" s="1076">
        <f t="shared" si="35"/>
        <v>265716</v>
      </c>
      <c r="X106" s="1076">
        <f t="shared" si="36"/>
        <v>550</v>
      </c>
      <c r="Y106" s="1076">
        <f>'DG-PV Organic'!AL118/1000*1.1</f>
        <v>558003.60000000009</v>
      </c>
      <c r="Z106" s="1124">
        <v>65000</v>
      </c>
      <c r="AA106" s="492">
        <f>'DG-PV Organic'!AI103</f>
        <v>272796000</v>
      </c>
      <c r="AB106" s="272"/>
      <c r="AC106" s="272"/>
      <c r="AD106" s="272"/>
      <c r="AE106" s="272"/>
      <c r="AF106" s="272"/>
      <c r="AG106" s="272"/>
      <c r="AH106" s="272"/>
      <c r="AI106" s="272"/>
      <c r="AJ106" s="272"/>
    </row>
    <row r="107" spans="1:36" ht="16.5" customHeight="1">
      <c r="A107" s="785"/>
      <c r="B107" s="1137"/>
      <c r="C107" s="1291">
        <f>SUBTOTAL(103,$D$99:D107)</f>
        <v>9</v>
      </c>
      <c r="D107" s="796" t="str">
        <f>'DG-PV Organic'!B119</f>
        <v>Lee Won Precision</v>
      </c>
      <c r="E107" s="770" t="s">
        <v>2195</v>
      </c>
      <c r="F107" s="771" t="s">
        <v>2196</v>
      </c>
      <c r="G107" s="771"/>
      <c r="H107" s="771"/>
      <c r="I107" s="771"/>
      <c r="J107" s="772" t="s">
        <v>2197</v>
      </c>
      <c r="K107" s="1026" t="str">
        <f>'DG-PV Organic'!X119</f>
        <v>Busan</v>
      </c>
      <c r="L107" s="791">
        <f>'DG-PV Organic'!K104</f>
        <v>1726987</v>
      </c>
      <c r="M107" s="799" t="str">
        <f>'DG-PV Organic'!G119</f>
        <v>B-</v>
      </c>
      <c r="N107" s="799" t="s">
        <v>515</v>
      </c>
      <c r="O107" s="1224">
        <f>'DG-PV Organic'!O119</f>
        <v>320.76</v>
      </c>
      <c r="P107" s="793">
        <f>'DG-PV Organic'!L119</f>
        <v>1372</v>
      </c>
      <c r="Q107" s="783">
        <f t="shared" si="32"/>
        <v>3.7589041095890412</v>
      </c>
      <c r="R107" s="793" t="str">
        <f>'DG-PV Organic'!H119</f>
        <v>TBD</v>
      </c>
      <c r="S107" s="1286" t="str">
        <f>'DG-PV Organic'!Q119</f>
        <v>TBD</v>
      </c>
      <c r="T107" s="806" t="e">
        <f t="shared" si="29"/>
        <v>#VALUE!</v>
      </c>
      <c r="U107" s="1118">
        <f>'DG-PV Organic'!AJ119/1000*1.1</f>
        <v>70567.200000000012</v>
      </c>
      <c r="V107" s="1076">
        <f>'DG-PV Organic'!AK119/1000*1.1</f>
        <v>105850.8</v>
      </c>
      <c r="W107" s="1076">
        <f t="shared" si="35"/>
        <v>176418</v>
      </c>
      <c r="X107" s="1076">
        <f t="shared" si="36"/>
        <v>550</v>
      </c>
      <c r="Y107" s="1076">
        <f>'DG-PV Organic'!AL119/1000*1.1</f>
        <v>370477.80000000005</v>
      </c>
      <c r="Z107" s="1124">
        <v>65000</v>
      </c>
      <c r="AA107" s="492">
        <f>'DG-PV Organic'!AI104</f>
        <v>268223999.99999997</v>
      </c>
      <c r="AB107" s="272"/>
      <c r="AC107" s="272"/>
      <c r="AD107" s="272"/>
      <c r="AE107" s="272"/>
      <c r="AF107" s="272"/>
      <c r="AG107" s="272"/>
      <c r="AH107" s="272"/>
      <c r="AI107" s="272"/>
      <c r="AJ107" s="272"/>
    </row>
    <row r="108" spans="1:36" ht="16.5" customHeight="1">
      <c r="A108" s="785"/>
      <c r="B108" s="1137"/>
      <c r="C108" s="1291">
        <f>SUBTOTAL(103,$D$99:D108)</f>
        <v>10</v>
      </c>
      <c r="D108" s="796" t="str">
        <f>'DG-PV Organic'!B120</f>
        <v>Lee Won Precision Factory 1</v>
      </c>
      <c r="E108" s="770" t="s">
        <v>2198</v>
      </c>
      <c r="F108" s="771" t="s">
        <v>2199</v>
      </c>
      <c r="G108" s="771"/>
      <c r="H108" s="771"/>
      <c r="I108" s="771"/>
      <c r="J108" s="772" t="s">
        <v>2200</v>
      </c>
      <c r="K108" s="1026" t="str">
        <f>'DG-PV Organic'!X120</f>
        <v>Busan</v>
      </c>
      <c r="L108" s="791">
        <f>'DG-PV Organic'!K105</f>
        <v>523329.4</v>
      </c>
      <c r="M108" s="799" t="str">
        <f>'DG-PV Organic'!G120</f>
        <v>B-</v>
      </c>
      <c r="N108" s="799" t="s">
        <v>515</v>
      </c>
      <c r="O108" s="1224">
        <f>'DG-PV Organic'!O120</f>
        <v>326.7</v>
      </c>
      <c r="P108" s="793">
        <f>'DG-PV Organic'!L120</f>
        <v>1389</v>
      </c>
      <c r="Q108" s="783">
        <f t="shared" si="32"/>
        <v>3.8054794520547945</v>
      </c>
      <c r="R108" s="793" t="str">
        <f>'DG-PV Organic'!H120</f>
        <v>TBD</v>
      </c>
      <c r="S108" s="1286" t="str">
        <f>'DG-PV Organic'!Q120</f>
        <v>TBD</v>
      </c>
      <c r="T108" s="806" t="e">
        <f t="shared" si="29"/>
        <v>#VALUE!</v>
      </c>
      <c r="U108" s="1118">
        <f>'DG-PV Organic'!AJ120/1000*1.1</f>
        <v>71874</v>
      </c>
      <c r="V108" s="1076">
        <f>'DG-PV Organic'!AK120/1000*1.1</f>
        <v>107811.00000000001</v>
      </c>
      <c r="W108" s="1076">
        <f t="shared" si="35"/>
        <v>179685</v>
      </c>
      <c r="X108" s="1076">
        <f t="shared" si="36"/>
        <v>550</v>
      </c>
      <c r="Y108" s="1076">
        <f>'DG-PV Organic'!AL120/1000*1.1</f>
        <v>377338.50000000006</v>
      </c>
      <c r="Z108" s="1124">
        <v>65000</v>
      </c>
      <c r="AA108" s="492">
        <f>'DG-PV Organic'!AI105</f>
        <v>81280000</v>
      </c>
      <c r="AB108" s="272"/>
      <c r="AC108" s="272"/>
      <c r="AD108" s="272"/>
      <c r="AE108" s="272"/>
      <c r="AF108" s="272"/>
      <c r="AG108" s="272"/>
      <c r="AH108" s="272"/>
      <c r="AI108" s="272"/>
      <c r="AJ108" s="272"/>
    </row>
    <row r="109" spans="1:36" ht="16.5" customHeight="1">
      <c r="A109" s="785"/>
      <c r="B109" s="1137"/>
      <c r="C109" s="1291">
        <f>SUBTOTAL(103,$D$99:D109)</f>
        <v>11</v>
      </c>
      <c r="D109" s="796" t="str">
        <f>'DG-PV Organic'!B121</f>
        <v>Seyoung Tech</v>
      </c>
      <c r="E109" s="770" t="s">
        <v>2201</v>
      </c>
      <c r="F109" s="771" t="s">
        <v>2202</v>
      </c>
      <c r="G109" s="771"/>
      <c r="H109" s="771"/>
      <c r="I109" s="771"/>
      <c r="J109" s="772" t="s">
        <v>2203</v>
      </c>
      <c r="K109" s="1026" t="str">
        <f>'DG-PV Organic'!X121</f>
        <v>Chungcheongnam-do</v>
      </c>
      <c r="L109" s="791">
        <f>'DG-PV Organic'!K106</f>
        <v>5413.8860000000004</v>
      </c>
      <c r="M109" s="799" t="str">
        <f>'DG-PV Organic'!G121</f>
        <v>B-</v>
      </c>
      <c r="N109" s="799" t="s">
        <v>515</v>
      </c>
      <c r="O109" s="1224">
        <f>'DG-PV Organic'!O121</f>
        <v>769.56</v>
      </c>
      <c r="P109" s="793">
        <f>'DG-PV Organic'!L121</f>
        <v>1467</v>
      </c>
      <c r="Q109" s="783">
        <f t="shared" si="32"/>
        <v>4.0191780821917806</v>
      </c>
      <c r="R109" s="793" t="str">
        <f>'DG-PV Organic'!H121</f>
        <v>TBD</v>
      </c>
      <c r="S109" s="1286" t="str">
        <f>'DG-PV Organic'!Q121</f>
        <v>TBD</v>
      </c>
      <c r="T109" s="806" t="e">
        <f t="shared" si="29"/>
        <v>#VALUE!</v>
      </c>
      <c r="U109" s="1118">
        <f>'DG-PV Organic'!AJ121/1000*1.1</f>
        <v>169303.2</v>
      </c>
      <c r="V109" s="1076">
        <f>'DG-PV Organic'!AK121/1000*1.1</f>
        <v>253954.8</v>
      </c>
      <c r="W109" s="1076">
        <f t="shared" si="35"/>
        <v>423258</v>
      </c>
      <c r="X109" s="1076">
        <f t="shared" si="36"/>
        <v>550</v>
      </c>
      <c r="Y109" s="1076">
        <f>'DG-PV Organic'!AL121/1000*1.1</f>
        <v>888841.8</v>
      </c>
      <c r="Z109" s="1124">
        <v>65000</v>
      </c>
      <c r="AA109" s="492">
        <f>'DG-PV Organic'!AI106</f>
        <v>207264000</v>
      </c>
      <c r="AB109" s="272"/>
      <c r="AC109" s="272"/>
      <c r="AD109" s="272"/>
      <c r="AE109" s="272"/>
      <c r="AF109" s="272"/>
      <c r="AG109" s="272"/>
      <c r="AH109" s="272"/>
      <c r="AI109" s="272"/>
      <c r="AJ109" s="272"/>
    </row>
    <row r="110" spans="1:36" ht="16.5" customHeight="1">
      <c r="A110" s="785"/>
      <c r="B110" s="1137"/>
      <c r="C110" s="1291">
        <f>SUBTOTAL(103,$D$99:D110)</f>
        <v>12</v>
      </c>
      <c r="D110" s="796" t="str">
        <f>'DG-PV Organic'!B122</f>
        <v>Seji Solotech Busan</v>
      </c>
      <c r="E110" s="770" t="s">
        <v>2204</v>
      </c>
      <c r="F110" s="771" t="s">
        <v>2205</v>
      </c>
      <c r="G110" s="771"/>
      <c r="H110" s="771"/>
      <c r="I110" s="771"/>
      <c r="J110" s="772" t="s">
        <v>2206</v>
      </c>
      <c r="K110" s="1026" t="str">
        <f>'DG-PV Organic'!X122</f>
        <v>Busan</v>
      </c>
      <c r="L110" s="791" t="e">
        <f>'DG-PV Organic'!#REF!</f>
        <v>#REF!</v>
      </c>
      <c r="M110" s="799" t="str">
        <f>'DG-PV Organic'!G122</f>
        <v>BBB0</v>
      </c>
      <c r="N110" s="799" t="s">
        <v>515</v>
      </c>
      <c r="O110" s="1224">
        <f>'DG-PV Organic'!O122</f>
        <v>773.5</v>
      </c>
      <c r="P110" s="793">
        <f>'DG-PV Organic'!L122</f>
        <v>1386</v>
      </c>
      <c r="Q110" s="783">
        <f t="shared" ref="Q110:Q138" si="37">P110/365</f>
        <v>3.7972602739726029</v>
      </c>
      <c r="R110" s="793" t="str">
        <f>'DG-PV Organic'!H122</f>
        <v>TBD</v>
      </c>
      <c r="S110" s="1286" t="str">
        <f>'DG-PV Organic'!Q122</f>
        <v>TBD</v>
      </c>
      <c r="T110" s="806" t="e">
        <f t="shared" si="29"/>
        <v>#VALUE!</v>
      </c>
      <c r="U110" s="1118">
        <f>'DG-PV Organic'!AJ122/1000*1.1</f>
        <v>170170</v>
      </c>
      <c r="V110" s="1076">
        <f>'DG-PV Organic'!AK122/1000*1.1</f>
        <v>255255.00000000003</v>
      </c>
      <c r="W110" s="1076">
        <f t="shared" si="35"/>
        <v>425425</v>
      </c>
      <c r="X110" s="1076">
        <f t="shared" si="36"/>
        <v>550</v>
      </c>
      <c r="Y110" s="1076">
        <f>'DG-PV Organic'!AL122/1000*1.1</f>
        <v>893392.50000000012</v>
      </c>
      <c r="Z110" s="1124">
        <v>65000</v>
      </c>
      <c r="AA110" s="492" t="e">
        <f>'DG-PV Organic'!#REF!</f>
        <v>#REF!</v>
      </c>
      <c r="AB110" s="272"/>
      <c r="AC110" s="272"/>
      <c r="AD110" s="272"/>
      <c r="AE110" s="272"/>
      <c r="AF110" s="272"/>
      <c r="AG110" s="272"/>
      <c r="AH110" s="272"/>
      <c r="AI110" s="272"/>
      <c r="AJ110" s="272"/>
    </row>
    <row r="111" spans="1:36" ht="16.5" customHeight="1">
      <c r="A111" s="785"/>
      <c r="B111" s="1137"/>
      <c r="C111" s="1291">
        <f>SUBTOTAL(103,$D$99:D111)</f>
        <v>13</v>
      </c>
      <c r="D111" s="796" t="str">
        <f>'DG-PV Organic'!B123</f>
        <v>Seji Solotech Ulsan</v>
      </c>
      <c r="E111" s="770" t="s">
        <v>2207</v>
      </c>
      <c r="F111" s="771" t="s">
        <v>2208</v>
      </c>
      <c r="G111" s="771"/>
      <c r="H111" s="771"/>
      <c r="I111" s="771"/>
      <c r="J111" s="772" t="s">
        <v>2209</v>
      </c>
      <c r="K111" s="1026" t="str">
        <f>'DG-PV Organic'!X123</f>
        <v>Ulsan</v>
      </c>
      <c r="L111" s="791">
        <f>'DG-PV Organic'!K107</f>
        <v>681963.6</v>
      </c>
      <c r="M111" s="799" t="str">
        <f>'DG-PV Organic'!G123</f>
        <v>BBB0</v>
      </c>
      <c r="N111" s="799" t="s">
        <v>515</v>
      </c>
      <c r="O111" s="1224">
        <f>'DG-PV Organic'!O123</f>
        <v>414.12</v>
      </c>
      <c r="P111" s="793">
        <f>'DG-PV Organic'!L123</f>
        <v>1368</v>
      </c>
      <c r="Q111" s="783">
        <f t="shared" si="37"/>
        <v>3.7479452054794522</v>
      </c>
      <c r="R111" s="793" t="str">
        <f>'DG-PV Organic'!H123</f>
        <v>TBD</v>
      </c>
      <c r="S111" s="1286" t="str">
        <f>'DG-PV Organic'!Q123</f>
        <v>TBD</v>
      </c>
      <c r="T111" s="806" t="e">
        <f t="shared" si="29"/>
        <v>#VALUE!</v>
      </c>
      <c r="U111" s="1118">
        <f>'DG-PV Organic'!AJ123/1000*1.1</f>
        <v>91106.400000000009</v>
      </c>
      <c r="V111" s="1076">
        <f>'DG-PV Organic'!AK123/1000*1.1</f>
        <v>136659.6</v>
      </c>
      <c r="W111" s="1076">
        <f t="shared" si="35"/>
        <v>227766</v>
      </c>
      <c r="X111" s="1076">
        <f t="shared" si="36"/>
        <v>550</v>
      </c>
      <c r="Y111" s="1076">
        <f>'DG-PV Organic'!AL123/1000*1.1</f>
        <v>478308.60000000003</v>
      </c>
      <c r="Z111" s="1124">
        <v>65000</v>
      </c>
      <c r="AA111" s="492">
        <f>'DG-PV Organic'!AI107</f>
        <v>105918000</v>
      </c>
      <c r="AB111" s="272"/>
      <c r="AC111" s="272"/>
      <c r="AD111" s="272"/>
      <c r="AE111" s="272"/>
      <c r="AF111" s="272"/>
      <c r="AG111" s="272"/>
      <c r="AH111" s="272"/>
      <c r="AI111" s="272"/>
      <c r="AJ111" s="272"/>
    </row>
    <row r="112" spans="1:36" ht="16.5" customHeight="1">
      <c r="A112" s="785"/>
      <c r="B112" s="1137"/>
      <c r="C112" s="1291">
        <f>SUBTOTAL(103,$D$99:D112)</f>
        <v>14</v>
      </c>
      <c r="D112" s="796" t="str">
        <f>'DG-PV Organic'!B70</f>
        <v>KORENS EM</v>
      </c>
      <c r="E112" s="770" t="s">
        <v>2210</v>
      </c>
      <c r="F112" s="771" t="s">
        <v>2211</v>
      </c>
      <c r="G112" s="771"/>
      <c r="H112" s="771"/>
      <c r="I112" s="771"/>
      <c r="J112" s="772" t="s">
        <v>2212</v>
      </c>
      <c r="K112" s="1026" t="str">
        <f>'DG-PV Organic'!X70</f>
        <v>Busan</v>
      </c>
      <c r="L112" s="791">
        <f>'DG-PV Organic'!K108</f>
        <v>1334490</v>
      </c>
      <c r="M112" s="799" t="str">
        <f>'DG-PV Organic'!G70</f>
        <v>B0</v>
      </c>
      <c r="N112" s="799" t="s">
        <v>515</v>
      </c>
      <c r="O112" s="1224">
        <f>'DG-PV Organic'!O70</f>
        <v>4098</v>
      </c>
      <c r="P112" s="793">
        <f>'DG-PV Organic'!L70</f>
        <v>1403</v>
      </c>
      <c r="Q112" s="783">
        <f t="shared" si="37"/>
        <v>3.8438356164383563</v>
      </c>
      <c r="R112" s="793" t="str">
        <f>'DG-PV Organic'!H70</f>
        <v>TBD</v>
      </c>
      <c r="S112" s="1286" t="str">
        <f>'DG-PV Organic'!Q70</f>
        <v>TBD</v>
      </c>
      <c r="T112" s="806" t="e">
        <f t="shared" si="29"/>
        <v>#VALUE!</v>
      </c>
      <c r="U112" s="1118">
        <f>'DG-PV Organic'!AJ70/1000*1.1</f>
        <v>901560.00000000012</v>
      </c>
      <c r="V112" s="1076">
        <f>'DG-PV Organic'!AK70/1000*1.1</f>
        <v>1352340</v>
      </c>
      <c r="W112" s="1076">
        <f t="shared" si="35"/>
        <v>2253900</v>
      </c>
      <c r="X112" s="1076">
        <f t="shared" si="36"/>
        <v>550</v>
      </c>
      <c r="Y112" s="1076">
        <f>'DG-PV Organic'!AL70/1000*1.1</f>
        <v>4733190</v>
      </c>
      <c r="Z112" s="1124">
        <v>65000</v>
      </c>
      <c r="AA112" s="492">
        <f>'DG-PV Organic'!AI108</f>
        <v>207264000</v>
      </c>
      <c r="AB112" s="272"/>
      <c r="AC112" s="272"/>
      <c r="AD112" s="272"/>
      <c r="AE112" s="272"/>
      <c r="AF112" s="272"/>
      <c r="AG112" s="272"/>
      <c r="AH112" s="272"/>
      <c r="AI112" s="272"/>
      <c r="AJ112" s="272"/>
    </row>
    <row r="113" spans="1:33" ht="16.5" customHeight="1">
      <c r="A113" s="785"/>
      <c r="B113" s="1137"/>
      <c r="C113" s="1291">
        <f>SUBTOTAL(103,$D$99:D113)</f>
        <v>15</v>
      </c>
      <c r="D113" s="796" t="str">
        <f>'DG-PV Organic'!B71</f>
        <v>KORENS RTX</v>
      </c>
      <c r="E113" s="770" t="s">
        <v>2213</v>
      </c>
      <c r="F113" s="771" t="s">
        <v>2214</v>
      </c>
      <c r="G113" s="771"/>
      <c r="H113" s="771"/>
      <c r="I113" s="771"/>
      <c r="J113" s="772" t="s">
        <v>2215</v>
      </c>
      <c r="K113" s="1026" t="str">
        <f>'DG-PV Organic'!X71</f>
        <v>Chungcheongnam-do</v>
      </c>
      <c r="L113" s="791">
        <f>'DG-PV Organic'!K109</f>
        <v>14643951.800000001</v>
      </c>
      <c r="M113" s="799" t="str">
        <f>'DG-PV Organic'!G71</f>
        <v>CCC-</v>
      </c>
      <c r="N113" s="799" t="s">
        <v>515</v>
      </c>
      <c r="O113" s="1224">
        <f>'DG-PV Organic'!O71</f>
        <v>195</v>
      </c>
      <c r="P113" s="793">
        <f>'DG-PV Organic'!L71</f>
        <v>1414</v>
      </c>
      <c r="Q113" s="783">
        <f t="shared" si="37"/>
        <v>3.8739726027397259</v>
      </c>
      <c r="R113" s="793" t="str">
        <f>'DG-PV Organic'!H71</f>
        <v>TBD</v>
      </c>
      <c r="S113" s="1286" t="str">
        <f>'DG-PV Organic'!Q71</f>
        <v>TBD</v>
      </c>
      <c r="T113" s="806" t="e">
        <f t="shared" si="29"/>
        <v>#VALUE!</v>
      </c>
      <c r="U113" s="1118">
        <f>'DG-PV Organic'!AJ71/1000*1.1</f>
        <v>42900</v>
      </c>
      <c r="V113" s="1076">
        <f>'DG-PV Organic'!AK71/1000*1.1</f>
        <v>64350.000000000007</v>
      </c>
      <c r="W113" s="1076">
        <f t="shared" si="35"/>
        <v>107250</v>
      </c>
      <c r="X113" s="1076">
        <f t="shared" si="36"/>
        <v>550</v>
      </c>
      <c r="Y113" s="1076">
        <f>'DG-PV Organic'!AL71/1000*1.1</f>
        <v>225225.00000000003</v>
      </c>
      <c r="Z113" s="1124">
        <v>65000</v>
      </c>
      <c r="AA113" s="492">
        <f>'DG-PV Organic'!AI109</f>
        <v>2274400000</v>
      </c>
      <c r="AB113" s="272"/>
      <c r="AC113" s="272"/>
      <c r="AD113" s="272"/>
      <c r="AE113" s="272"/>
      <c r="AF113" s="272"/>
      <c r="AG113" s="272"/>
    </row>
    <row r="114" spans="1:33" ht="16.5" customHeight="1">
      <c r="A114" s="785"/>
      <c r="B114" s="1137"/>
      <c r="C114" s="1291">
        <f>SUBTOTAL(103,$D$99:D114)</f>
        <v>16</v>
      </c>
      <c r="D114" s="796" t="str">
        <f>'DG-PV Organic'!B72</f>
        <v>KORENS Yangsan</v>
      </c>
      <c r="E114" s="770" t="s">
        <v>2216</v>
      </c>
      <c r="F114" s="771" t="s">
        <v>2217</v>
      </c>
      <c r="G114" s="771"/>
      <c r="H114" s="771"/>
      <c r="I114" s="771"/>
      <c r="J114" s="772" t="s">
        <v>2218</v>
      </c>
      <c r="K114" s="1026" t="str">
        <f>'DG-PV Organic'!X72</f>
        <v>Gyeongsangnam-do</v>
      </c>
      <c r="L114" s="791" t="e">
        <f>'DG-PV Organic'!#REF!</f>
        <v>#REF!</v>
      </c>
      <c r="M114" s="799" t="str">
        <f>'DG-PV Organic'!G72</f>
        <v>BB+</v>
      </c>
      <c r="N114" s="799" t="s">
        <v>515</v>
      </c>
      <c r="O114" s="1224">
        <f>'DG-PV Organic'!O72</f>
        <v>1285.2</v>
      </c>
      <c r="P114" s="793">
        <f>'DG-PV Organic'!L72</f>
        <v>1374</v>
      </c>
      <c r="Q114" s="783">
        <f t="shared" si="37"/>
        <v>3.7643835616438355</v>
      </c>
      <c r="R114" s="793" t="str">
        <f>'DG-PV Organic'!H72</f>
        <v>TBD</v>
      </c>
      <c r="S114" s="1286" t="str">
        <f>'DG-PV Organic'!Q72</f>
        <v>TBD</v>
      </c>
      <c r="T114" s="806" t="e">
        <f t="shared" si="29"/>
        <v>#VALUE!</v>
      </c>
      <c r="U114" s="1118">
        <f>'DG-PV Organic'!AJ72/1000*1.1</f>
        <v>282744</v>
      </c>
      <c r="V114" s="1076">
        <f>'DG-PV Organic'!AK72/1000*1.1</f>
        <v>424116.00000000006</v>
      </c>
      <c r="W114" s="1076">
        <f t="shared" si="35"/>
        <v>706860</v>
      </c>
      <c r="X114" s="1076">
        <f t="shared" si="36"/>
        <v>550</v>
      </c>
      <c r="Y114" s="1076">
        <f>'DG-PV Organic'!AL72/1000*1.1</f>
        <v>1484406.0000000002</v>
      </c>
      <c r="Z114" s="1124">
        <v>65000</v>
      </c>
      <c r="AA114" s="492" t="e">
        <f>'DG-PV Organic'!#REF!</f>
        <v>#REF!</v>
      </c>
      <c r="AB114" s="272"/>
      <c r="AC114" s="272"/>
      <c r="AD114" s="272"/>
      <c r="AE114" s="272"/>
      <c r="AF114" s="272"/>
      <c r="AG114" s="272"/>
    </row>
    <row r="115" spans="1:33" ht="16.5" customHeight="1">
      <c r="A115" s="785"/>
      <c r="B115" s="1137"/>
      <c r="C115" s="1291">
        <f>SUBTOTAL(103,$D$99:D115)</f>
        <v>17</v>
      </c>
      <c r="D115" s="796" t="str">
        <f>'DG-PV Organic'!B80</f>
        <v>Songwol Towel Shinpyeong</v>
      </c>
      <c r="E115" s="770" t="s">
        <v>2219</v>
      </c>
      <c r="F115" s="771" t="s">
        <v>2220</v>
      </c>
      <c r="G115" s="771"/>
      <c r="H115" s="771"/>
      <c r="I115" s="771"/>
      <c r="J115" s="772" t="s">
        <v>2221</v>
      </c>
      <c r="K115" s="1026" t="str">
        <f>'DG-PV Organic'!X80</f>
        <v>Busan</v>
      </c>
      <c r="L115" s="791" t="e">
        <f>'DG-PV Organic'!#REF!</f>
        <v>#REF!</v>
      </c>
      <c r="M115" s="799" t="str">
        <f>'DG-PV Organic'!G80</f>
        <v>A0</v>
      </c>
      <c r="N115" s="799" t="s">
        <v>515</v>
      </c>
      <c r="O115" s="1224">
        <f>'DG-PV Organic'!O80</f>
        <v>330.6</v>
      </c>
      <c r="P115" s="793">
        <f>'DG-PV Organic'!L80</f>
        <v>1438</v>
      </c>
      <c r="Q115" s="783">
        <f t="shared" si="37"/>
        <v>3.9397260273972603</v>
      </c>
      <c r="R115" s="793" t="str">
        <f>'DG-PV Organic'!H80</f>
        <v>TBD</v>
      </c>
      <c r="S115" s="1286" t="str">
        <f>'DG-PV Organic'!Q80</f>
        <v>TBD</v>
      </c>
      <c r="T115" s="806" t="e">
        <f t="shared" si="29"/>
        <v>#VALUE!</v>
      </c>
      <c r="U115" s="1118">
        <f>'DG-PV Organic'!AJ80/1000*1.1</f>
        <v>72732.000000000029</v>
      </c>
      <c r="V115" s="1076">
        <f>'DG-PV Organic'!AK80/1000*1.1</f>
        <v>109098.00000000001</v>
      </c>
      <c r="W115" s="1076">
        <f t="shared" si="35"/>
        <v>181830.00000000006</v>
      </c>
      <c r="X115" s="1076">
        <f t="shared" si="36"/>
        <v>550.00000000000011</v>
      </c>
      <c r="Y115" s="1076">
        <f>'DG-PV Organic'!AL80/1000*1.1</f>
        <v>381843.00000000006</v>
      </c>
      <c r="Z115" s="1124">
        <v>65000</v>
      </c>
      <c r="AA115" s="492" t="e">
        <f>'DG-PV Organic'!#REF!</f>
        <v>#REF!</v>
      </c>
      <c r="AB115" s="272"/>
      <c r="AC115" s="272"/>
      <c r="AD115" s="272"/>
      <c r="AE115" s="272"/>
      <c r="AF115" s="272"/>
      <c r="AG115" s="272"/>
    </row>
    <row r="116" spans="1:33" ht="16.5" customHeight="1">
      <c r="A116" s="785"/>
      <c r="B116" s="1137"/>
      <c r="C116" s="1291">
        <f>SUBTOTAL(103,$D$99:D116)</f>
        <v>18</v>
      </c>
      <c r="D116" s="796" t="str">
        <f>'DG-PV Organic'!B81</f>
        <v>Songwol Towel Bukjeong 1-1</v>
      </c>
      <c r="E116" s="770"/>
      <c r="F116" s="771" t="s">
        <v>2222</v>
      </c>
      <c r="G116" s="771"/>
      <c r="H116" s="771"/>
      <c r="I116" s="771"/>
      <c r="J116" s="772" t="s">
        <v>2223</v>
      </c>
      <c r="K116" s="1026" t="str">
        <f>'DG-PV Organic'!X81</f>
        <v>Gyeongsangnam-do</v>
      </c>
      <c r="L116" s="791">
        <f>'DG-PV Organic'!K110</f>
        <v>280478.3</v>
      </c>
      <c r="M116" s="799" t="str">
        <f>'DG-PV Organic'!G81</f>
        <v>A0</v>
      </c>
      <c r="N116" s="799" t="s">
        <v>515</v>
      </c>
      <c r="O116" s="1224">
        <f>'DG-PV Organic'!O81</f>
        <v>618.6</v>
      </c>
      <c r="P116" s="793">
        <f>'DG-PV Organic'!L81</f>
        <v>1408</v>
      </c>
      <c r="Q116" s="783">
        <f t="shared" si="37"/>
        <v>3.8575342465753426</v>
      </c>
      <c r="R116" s="793" t="str">
        <f>'DG-PV Organic'!H81</f>
        <v>TBD</v>
      </c>
      <c r="S116" s="1286" t="str">
        <f>'DG-PV Organic'!Q81</f>
        <v>TBD</v>
      </c>
      <c r="T116" s="806" t="e">
        <f t="shared" si="29"/>
        <v>#VALUE!</v>
      </c>
      <c r="U116" s="1118">
        <f>'DG-PV Organic'!AJ81/1000*1.1</f>
        <v>136092</v>
      </c>
      <c r="V116" s="1076">
        <f>'DG-PV Organic'!AK81/1000*1.1</f>
        <v>204138.00000000003</v>
      </c>
      <c r="W116" s="1076">
        <f t="shared" si="35"/>
        <v>340230</v>
      </c>
      <c r="X116" s="1076">
        <f t="shared" si="36"/>
        <v>550</v>
      </c>
      <c r="Y116" s="1076">
        <f>'DG-PV Organic'!AL81/1000*1.1</f>
        <v>714483</v>
      </c>
      <c r="Z116" s="1124">
        <v>65000</v>
      </c>
      <c r="AA116" s="492">
        <f>'DG-PV Organic'!AI110</f>
        <v>43561000</v>
      </c>
      <c r="AB116" s="272"/>
      <c r="AC116" s="272"/>
      <c r="AD116" s="272"/>
      <c r="AE116" s="272"/>
      <c r="AF116" s="272"/>
      <c r="AG116" s="272"/>
    </row>
    <row r="117" spans="1:33" ht="16.5" customHeight="1">
      <c r="A117" s="785"/>
      <c r="B117" s="1137"/>
      <c r="C117" s="1291">
        <f>SUBTOTAL(103,$D$99:D117)</f>
        <v>19</v>
      </c>
      <c r="D117" s="796" t="str">
        <f>'DG-PV Organic'!B82</f>
        <v>Songwol Towel Bukjeong 1-2</v>
      </c>
      <c r="E117" s="770"/>
      <c r="F117" s="771" t="s">
        <v>2224</v>
      </c>
      <c r="G117" s="771"/>
      <c r="H117" s="771"/>
      <c r="I117" s="771"/>
      <c r="J117" s="772" t="s">
        <v>2225</v>
      </c>
      <c r="K117" s="1026" t="str">
        <f>'DG-PV Organic'!X82</f>
        <v>Gyeongsangnam-do</v>
      </c>
      <c r="L117" s="791">
        <f>'DG-PV Organic'!K111</f>
        <v>341799.5</v>
      </c>
      <c r="M117" s="799" t="str">
        <f>'DG-PV Organic'!G82</f>
        <v>A0</v>
      </c>
      <c r="N117" s="799" t="s">
        <v>515</v>
      </c>
      <c r="O117" s="1224">
        <f>'DG-PV Organic'!O82</f>
        <v>393.6</v>
      </c>
      <c r="P117" s="793">
        <f>'DG-PV Organic'!L82</f>
        <v>1408</v>
      </c>
      <c r="Q117" s="783">
        <f t="shared" si="37"/>
        <v>3.8575342465753426</v>
      </c>
      <c r="R117" s="793" t="str">
        <f>'DG-PV Organic'!H82</f>
        <v>TBD</v>
      </c>
      <c r="S117" s="1286" t="str">
        <f>'DG-PV Organic'!Q82</f>
        <v>TBD</v>
      </c>
      <c r="T117" s="806" t="e">
        <f t="shared" si="29"/>
        <v>#VALUE!</v>
      </c>
      <c r="U117" s="1118">
        <f>'DG-PV Organic'!AJ82/1000*1.1</f>
        <v>86592</v>
      </c>
      <c r="V117" s="1076">
        <f>'DG-PV Organic'!AK82/1000*1.1</f>
        <v>129888.00000000001</v>
      </c>
      <c r="W117" s="1076">
        <f t="shared" si="35"/>
        <v>216480</v>
      </c>
      <c r="X117" s="1076">
        <f t="shared" si="36"/>
        <v>550</v>
      </c>
      <c r="Y117" s="1076">
        <f>'DG-PV Organic'!AL82/1000*1.1</f>
        <v>454608.00000000006</v>
      </c>
      <c r="Z117" s="1124">
        <v>65000</v>
      </c>
      <c r="AA117" s="492">
        <f>'DG-PV Organic'!AI111</f>
        <v>53086000</v>
      </c>
      <c r="AB117" s="272"/>
      <c r="AC117" s="272"/>
      <c r="AD117" s="272"/>
      <c r="AE117" s="272"/>
      <c r="AF117" s="272"/>
      <c r="AG117" s="272"/>
    </row>
    <row r="118" spans="1:33" ht="16.5" customHeight="1">
      <c r="A118" s="785"/>
      <c r="B118" s="1137"/>
      <c r="C118" s="1291">
        <f>SUBTOTAL(103,$D$99:D118)</f>
        <v>20</v>
      </c>
      <c r="D118" s="796" t="str">
        <f>'DG-PV Organic'!B83</f>
        <v>Songwol Towel Yusan</v>
      </c>
      <c r="E118" s="770"/>
      <c r="F118" s="771" t="s">
        <v>1090</v>
      </c>
      <c r="G118" s="771"/>
      <c r="H118" s="771"/>
      <c r="I118" s="771"/>
      <c r="J118" s="772" t="s">
        <v>2226</v>
      </c>
      <c r="K118" s="1026" t="str">
        <f>'DG-PV Organic'!X83</f>
        <v>Gyeongsangnam-do</v>
      </c>
      <c r="L118" s="791">
        <f>'DG-PV Organic'!K112</f>
        <v>152916.79999999999</v>
      </c>
      <c r="M118" s="799" t="str">
        <f>'DG-PV Organic'!G83</f>
        <v>A0</v>
      </c>
      <c r="N118" s="799" t="s">
        <v>515</v>
      </c>
      <c r="O118" s="1224">
        <f>'DG-PV Organic'!O83</f>
        <v>1473.6</v>
      </c>
      <c r="P118" s="793">
        <f>'DG-PV Organic'!L83</f>
        <v>1378</v>
      </c>
      <c r="Q118" s="783">
        <f t="shared" si="37"/>
        <v>3.7753424657534245</v>
      </c>
      <c r="R118" s="793" t="str">
        <f>'DG-PV Organic'!H83</f>
        <v>TBD</v>
      </c>
      <c r="S118" s="1286" t="str">
        <f>'DG-PV Organic'!Q83</f>
        <v>TBD</v>
      </c>
      <c r="T118" s="806" t="e">
        <f t="shared" si="29"/>
        <v>#VALUE!</v>
      </c>
      <c r="U118" s="1118">
        <f>'DG-PV Organic'!AJ83/1000*1.1</f>
        <v>324192</v>
      </c>
      <c r="V118" s="1076">
        <f>'DG-PV Organic'!AK83/1000*1.1</f>
        <v>486288.00000000006</v>
      </c>
      <c r="W118" s="1076">
        <f t="shared" si="35"/>
        <v>810480</v>
      </c>
      <c r="X118" s="1076">
        <f t="shared" si="36"/>
        <v>550</v>
      </c>
      <c r="Y118" s="1076">
        <f>'DG-PV Organic'!AL83/1000*1.1</f>
        <v>1702008.0000000002</v>
      </c>
      <c r="Z118" s="1124">
        <v>65000</v>
      </c>
      <c r="AA118" s="573">
        <f>'DG-PV Organic'!AI112</f>
        <v>23749000</v>
      </c>
      <c r="AB118" s="272"/>
      <c r="AC118" s="272"/>
      <c r="AD118" s="272"/>
      <c r="AE118" s="272"/>
      <c r="AF118" s="272"/>
      <c r="AG118" s="272"/>
    </row>
    <row r="119" spans="1:33" ht="16.5" customHeight="1">
      <c r="A119" s="1163"/>
      <c r="B119" s="1228">
        <f>SUM(O99:O138)</f>
        <v>56726.234999999993</v>
      </c>
      <c r="C119" s="1291">
        <f>SUBTOTAL(103,$D$99:D119)</f>
        <v>21</v>
      </c>
      <c r="D119" s="796" t="str">
        <f>'DG-PV Organic'!B124</f>
        <v>Lee Jinhee (building owned by an individual)</v>
      </c>
      <c r="E119" s="770"/>
      <c r="F119" s="771" t="s">
        <v>1095</v>
      </c>
      <c r="G119" s="771"/>
      <c r="H119" s="771"/>
      <c r="I119" s="771"/>
      <c r="J119" s="772" t="s">
        <v>2227</v>
      </c>
      <c r="K119" s="1026" t="str">
        <f>'DG-PV Organic'!X124</f>
        <v>Gyeonggi-do</v>
      </c>
      <c r="L119" s="791">
        <f>'DG-PV Organic'!K113</f>
        <v>521694</v>
      </c>
      <c r="M119" s="799" t="str">
        <f>'DG-PV Organic'!G124</f>
        <v>Individual business owner</v>
      </c>
      <c r="N119" s="799" t="s">
        <v>515</v>
      </c>
      <c r="O119" s="1224">
        <f>'DG-PV Organic'!O124</f>
        <v>218.44</v>
      </c>
      <c r="P119" s="793">
        <f>'DG-PV Organic'!L124</f>
        <v>1441</v>
      </c>
      <c r="Q119" s="783">
        <f t="shared" si="37"/>
        <v>3.9479452054794519</v>
      </c>
      <c r="R119" s="793" t="str">
        <f>'DG-PV Organic'!H124</f>
        <v>TBD</v>
      </c>
      <c r="S119" s="1286" t="str">
        <f>'DG-PV Organic'!Q124</f>
        <v>TBD</v>
      </c>
      <c r="T119" s="806" t="e">
        <f t="shared" si="29"/>
        <v>#VALUE!</v>
      </c>
      <c r="U119" s="1118">
        <f>'DG-PV Organic'!AJ124/1000*1.1</f>
        <v>48056.800000000003</v>
      </c>
      <c r="V119" s="1076">
        <f>'DG-PV Organic'!AK124/1000*1.1</f>
        <v>72085.200000000012</v>
      </c>
      <c r="W119" s="1076">
        <f t="shared" si="35"/>
        <v>120142.00000000001</v>
      </c>
      <c r="X119" s="1076">
        <f t="shared" si="36"/>
        <v>550.00000000000011</v>
      </c>
      <c r="Y119" s="1076">
        <f>'DG-PV Organic'!AL124/1000*1.1</f>
        <v>252298.2</v>
      </c>
      <c r="Z119" s="1124">
        <v>65000</v>
      </c>
      <c r="AA119" s="492">
        <f>'DG-PV Organic'!AI113</f>
        <v>81026000</v>
      </c>
      <c r="AB119" s="272"/>
      <c r="AC119" s="272"/>
      <c r="AD119" s="272"/>
      <c r="AE119" s="272"/>
      <c r="AF119" s="272"/>
      <c r="AG119" s="272"/>
    </row>
    <row r="120" spans="1:33" ht="16.5" customHeight="1">
      <c r="A120" s="1163"/>
      <c r="B120" s="1137"/>
      <c r="C120" s="1291">
        <f>SUBTOTAL(103,$D$99:D120)</f>
        <v>22</v>
      </c>
      <c r="D120" s="796" t="str">
        <f>'DG-PV Organic'!B125</f>
        <v>Jang Minki (building owned by an individual)</v>
      </c>
      <c r="E120" s="770"/>
      <c r="F120" s="771" t="s">
        <v>2228</v>
      </c>
      <c r="G120" s="771"/>
      <c r="H120" s="771"/>
      <c r="I120" s="771"/>
      <c r="J120" s="772" t="s">
        <v>2229</v>
      </c>
      <c r="K120" s="1026" t="str">
        <f>'DG-PV Organic'!X125</f>
        <v>Gyeonggi-do</v>
      </c>
      <c r="L120" s="791" t="e">
        <f>'DG-PV Organic'!#REF!</f>
        <v>#REF!</v>
      </c>
      <c r="M120" s="799" t="str">
        <f>'DG-PV Organic'!G125</f>
        <v>Individual business owner</v>
      </c>
      <c r="N120" s="799" t="s">
        <v>515</v>
      </c>
      <c r="O120" s="1224">
        <f>'DG-PV Organic'!O125</f>
        <v>286.38499999999999</v>
      </c>
      <c r="P120" s="793">
        <f>'DG-PV Organic'!L125</f>
        <v>1437</v>
      </c>
      <c r="Q120" s="783">
        <f t="shared" si="37"/>
        <v>3.9369863013698629</v>
      </c>
      <c r="R120" s="793" t="str">
        <f>'DG-PV Organic'!H125</f>
        <v>TBD</v>
      </c>
      <c r="S120" s="1286" t="str">
        <f>'DG-PV Organic'!Q125</f>
        <v>TBD</v>
      </c>
      <c r="T120" s="806" t="e">
        <f t="shared" si="29"/>
        <v>#VALUE!</v>
      </c>
      <c r="U120" s="1118">
        <f>'DG-PV Organic'!AJ125/1000*1.1</f>
        <v>63004.700000000004</v>
      </c>
      <c r="V120" s="1076">
        <f>'DG-PV Organic'!AK125/1000*1.1</f>
        <v>94507.05</v>
      </c>
      <c r="W120" s="1076">
        <f t="shared" si="35"/>
        <v>157511.75</v>
      </c>
      <c r="X120" s="1076">
        <f t="shared" si="36"/>
        <v>550</v>
      </c>
      <c r="Y120" s="1076">
        <f>'DG-PV Organic'!AL125/1000*1.1</f>
        <v>330774.67500000005</v>
      </c>
      <c r="Z120" s="1124">
        <v>65000</v>
      </c>
      <c r="AA120" s="492" t="e">
        <f>'DG-PV Organic'!#REF!</f>
        <v>#REF!</v>
      </c>
      <c r="AB120" s="272"/>
      <c r="AC120" s="272"/>
      <c r="AD120" s="272"/>
      <c r="AE120" s="272"/>
      <c r="AF120" s="272"/>
      <c r="AG120" s="272"/>
    </row>
    <row r="121" spans="1:33" ht="16.5" customHeight="1">
      <c r="A121" s="1163"/>
      <c r="B121" s="1137"/>
      <c r="C121" s="1291">
        <f>SUBTOTAL(103,$D$99:D121)</f>
        <v>23</v>
      </c>
      <c r="D121" s="796" t="str">
        <f>'DG-PV Organic'!B126</f>
        <v>Oracom</v>
      </c>
      <c r="E121" s="770"/>
      <c r="F121" s="771" t="s">
        <v>1099</v>
      </c>
      <c r="G121" s="771"/>
      <c r="H121" s="771"/>
      <c r="I121" s="771"/>
      <c r="J121" s="772" t="s">
        <v>2230</v>
      </c>
      <c r="K121" s="1026" t="str">
        <f>'DG-PV Organic'!X126</f>
        <v>Gyeonggi-do</v>
      </c>
      <c r="L121" s="791">
        <f>'DG-PV Organic'!K114</f>
        <v>5189138.2</v>
      </c>
      <c r="M121" s="799" t="str">
        <f>'DG-PV Organic'!G126</f>
        <v>CCC+</v>
      </c>
      <c r="N121" s="799" t="s">
        <v>515</v>
      </c>
      <c r="O121" s="1224">
        <f>'DG-PV Organic'!O126</f>
        <v>299.72000000000003</v>
      </c>
      <c r="P121" s="793">
        <f>'DG-PV Organic'!L126</f>
        <v>1440</v>
      </c>
      <c r="Q121" s="783">
        <f t="shared" si="37"/>
        <v>3.9452054794520546</v>
      </c>
      <c r="R121" s="793" t="str">
        <f>'DG-PV Organic'!H126</f>
        <v>TBD</v>
      </c>
      <c r="S121" s="1286" t="str">
        <f>'DG-PV Organic'!Q126</f>
        <v>TBD</v>
      </c>
      <c r="T121" s="806" t="e">
        <f t="shared" si="29"/>
        <v>#VALUE!</v>
      </c>
      <c r="U121" s="1118">
        <f>'DG-PV Organic'!AJ126/1000*1.1</f>
        <v>65938.400000000009</v>
      </c>
      <c r="V121" s="1076">
        <f>'DG-PV Organic'!AK126/1000*1.1</f>
        <v>98907.60000000002</v>
      </c>
      <c r="W121" s="1076">
        <f t="shared" si="35"/>
        <v>164846.00000000003</v>
      </c>
      <c r="X121" s="1076">
        <f t="shared" si="36"/>
        <v>550</v>
      </c>
      <c r="Y121" s="1076">
        <f>'DG-PV Organic'!AL126/1000*1.1</f>
        <v>346176.60000000003</v>
      </c>
      <c r="Z121" s="1124">
        <v>65000</v>
      </c>
      <c r="AA121" s="492">
        <f>'DG-PV Organic'!AI114</f>
        <v>805942000</v>
      </c>
      <c r="AB121" s="272"/>
      <c r="AC121" s="272"/>
      <c r="AD121" s="272"/>
      <c r="AE121" s="272"/>
      <c r="AF121" s="272"/>
      <c r="AG121" s="272"/>
    </row>
    <row r="122" spans="1:33" ht="16.5" customHeight="1">
      <c r="A122" s="1163"/>
      <c r="B122" s="1137"/>
      <c r="C122" s="1291">
        <f>SUBTOTAL(103,$D$99:D122)</f>
        <v>24</v>
      </c>
      <c r="D122" s="796" t="str">
        <f>'DG-PV Organic'!B127</f>
        <v>Boseung</v>
      </c>
      <c r="E122" s="770"/>
      <c r="F122" s="771" t="s">
        <v>2231</v>
      </c>
      <c r="G122" s="771"/>
      <c r="H122" s="771"/>
      <c r="I122" s="771"/>
      <c r="J122" s="772" t="s">
        <v>2232</v>
      </c>
      <c r="K122" s="1026" t="str">
        <f>'DG-PV Organic'!X127</f>
        <v>Gyeonggi-do</v>
      </c>
      <c r="L122" s="791">
        <f>'DG-PV Organic'!K115</f>
        <v>1702.5</v>
      </c>
      <c r="M122" s="799" t="str">
        <f>'DG-PV Organic'!G127</f>
        <v>B+</v>
      </c>
      <c r="N122" s="799" t="s">
        <v>515</v>
      </c>
      <c r="O122" s="1224">
        <f>'DG-PV Organic'!O127</f>
        <v>688.34</v>
      </c>
      <c r="P122" s="793">
        <f>'DG-PV Organic'!L127</f>
        <v>1431</v>
      </c>
      <c r="Q122" s="783">
        <f t="shared" si="37"/>
        <v>3.9205479452054797</v>
      </c>
      <c r="R122" s="793" t="str">
        <f>'DG-PV Organic'!H127</f>
        <v>TBD</v>
      </c>
      <c r="S122" s="1286" t="str">
        <f>'DG-PV Organic'!Q127</f>
        <v>TBD</v>
      </c>
      <c r="T122" s="806" t="e">
        <f t="shared" si="29"/>
        <v>#VALUE!</v>
      </c>
      <c r="U122" s="1118">
        <f>'DG-PV Organic'!AJ127/1000*1.1</f>
        <v>151434.80000000002</v>
      </c>
      <c r="V122" s="1076">
        <f>'DG-PV Organic'!AK127/1000*1.1</f>
        <v>227152.2</v>
      </c>
      <c r="W122" s="1076">
        <f t="shared" si="35"/>
        <v>378587</v>
      </c>
      <c r="X122" s="1076">
        <f t="shared" si="36"/>
        <v>550</v>
      </c>
      <c r="Y122" s="1076">
        <f>'DG-PV Organic'!AL127/1000*1.1</f>
        <v>795032.70000000007</v>
      </c>
      <c r="Z122" s="1124">
        <v>65000</v>
      </c>
      <c r="AA122" s="492">
        <f>'DG-PV Organic'!AI115</f>
        <v>244920000</v>
      </c>
      <c r="AB122" s="272"/>
      <c r="AC122" s="272"/>
      <c r="AD122" s="272"/>
      <c r="AE122" s="272"/>
      <c r="AF122" s="272"/>
      <c r="AG122" s="272"/>
    </row>
    <row r="123" spans="1:33" ht="16.5" customHeight="1">
      <c r="A123" s="1163"/>
      <c r="B123" s="1137"/>
      <c r="C123" s="1291">
        <f>SUBTOTAL(103,$D$99:D123)</f>
        <v>25</v>
      </c>
      <c r="D123" s="796" t="str">
        <f>'DG-PV Organic'!B128</f>
        <v>Daesung Metal</v>
      </c>
      <c r="E123" s="770" t="s">
        <v>802</v>
      </c>
      <c r="F123" s="771" t="s">
        <v>803</v>
      </c>
      <c r="G123" s="771"/>
      <c r="H123" s="771"/>
      <c r="I123" s="771"/>
      <c r="J123" s="772" t="s">
        <v>2233</v>
      </c>
      <c r="K123" s="1026" t="str">
        <f>'DG-PV Organic'!X128</f>
        <v>Gyeongsangbuk-do</v>
      </c>
      <c r="L123" s="791">
        <f>'DG-PV Organic'!K52</f>
        <v>385.68023999999997</v>
      </c>
      <c r="M123" s="799" t="str">
        <f>'DG-PV Organic'!G128</f>
        <v>BB-</v>
      </c>
      <c r="N123" s="799" t="s">
        <v>515</v>
      </c>
      <c r="O123" s="1224">
        <f>'DG-PV Organic'!O128</f>
        <v>894.08</v>
      </c>
      <c r="P123" s="793">
        <f>'DG-PV Organic'!L128</f>
        <v>1402</v>
      </c>
      <c r="Q123" s="783">
        <f t="shared" si="37"/>
        <v>3.8410958904109589</v>
      </c>
      <c r="R123" s="793" t="str">
        <f>'DG-PV Organic'!H128</f>
        <v>TBD</v>
      </c>
      <c r="S123" s="1286" t="str">
        <f>'DG-PV Organic'!Q128</f>
        <v>TBD</v>
      </c>
      <c r="T123" s="806" t="e">
        <f t="shared" si="29"/>
        <v>#VALUE!</v>
      </c>
      <c r="U123" s="1118">
        <f>'DG-PV Organic'!AJ128/1000*1.1</f>
        <v>196697.60000000001</v>
      </c>
      <c r="V123" s="1076">
        <f>'DG-PV Organic'!AK128/1000*1.1</f>
        <v>295046.40000000002</v>
      </c>
      <c r="W123" s="1076">
        <f t="shared" si="35"/>
        <v>491744</v>
      </c>
      <c r="X123" s="1076">
        <f t="shared" si="36"/>
        <v>550</v>
      </c>
      <c r="Y123" s="1076">
        <f>'DG-PV Organic'!AL128/1000*1.1</f>
        <v>1032662.4000000001</v>
      </c>
      <c r="Z123" s="1124">
        <v>65000</v>
      </c>
      <c r="AA123" s="492">
        <f>'DG-PV Organic'!AI52</f>
        <v>55176000</v>
      </c>
      <c r="AB123" s="272"/>
      <c r="AC123" s="272"/>
      <c r="AD123" s="272"/>
      <c r="AE123" s="272"/>
      <c r="AF123" s="272"/>
      <c r="AG123" s="272"/>
    </row>
    <row r="124" spans="1:33" ht="16.5" customHeight="1">
      <c r="A124" s="1163"/>
      <c r="B124" s="1137"/>
      <c r="C124" s="1291">
        <f>SUBTOTAL(103,$D$99:D124)</f>
        <v>26</v>
      </c>
      <c r="D124" s="796" t="str">
        <f>'DG-PV Organic'!B129</f>
        <v>Taesung Chemical</v>
      </c>
      <c r="E124" s="770" t="s">
        <v>807</v>
      </c>
      <c r="F124" s="771" t="s">
        <v>808</v>
      </c>
      <c r="G124" s="771"/>
      <c r="H124" s="771"/>
      <c r="I124" s="771"/>
      <c r="J124" s="772" t="s">
        <v>2234</v>
      </c>
      <c r="K124" s="1026" t="str">
        <f>'DG-PV Organic'!X129</f>
        <v>Gyeonggi-do</v>
      </c>
      <c r="L124" s="791">
        <f>'DG-PV Organic'!K53</f>
        <v>6345.1924800000015</v>
      </c>
      <c r="M124" s="799" t="str">
        <f>'DG-PV Organic'!G129</f>
        <v>B+</v>
      </c>
      <c r="N124" s="799" t="s">
        <v>515</v>
      </c>
      <c r="O124" s="1224">
        <f>'DG-PV Organic'!O129</f>
        <v>316.23</v>
      </c>
      <c r="P124" s="793">
        <f>'DG-PV Organic'!L129</f>
        <v>1422</v>
      </c>
      <c r="Q124" s="783">
        <f t="shared" si="37"/>
        <v>3.8958904109589043</v>
      </c>
      <c r="R124" s="793" t="str">
        <f>'DG-PV Organic'!H129</f>
        <v>TBD</v>
      </c>
      <c r="S124" s="1286" t="str">
        <f>'DG-PV Organic'!Q129</f>
        <v>TBD</v>
      </c>
      <c r="T124" s="806" t="e">
        <f t="shared" si="29"/>
        <v>#VALUE!</v>
      </c>
      <c r="U124" s="1118">
        <f>'DG-PV Organic'!AJ129/1000*1.1</f>
        <v>69570.600000000006</v>
      </c>
      <c r="V124" s="1076">
        <f>'DG-PV Organic'!AK129/1000*1.1</f>
        <v>104355.90000000001</v>
      </c>
      <c r="W124" s="1076">
        <f t="shared" si="35"/>
        <v>173926.5</v>
      </c>
      <c r="X124" s="1076">
        <f t="shared" si="36"/>
        <v>550</v>
      </c>
      <c r="Y124" s="1076">
        <f>'DG-PV Organic'!AL129/1000*1.1</f>
        <v>365245.65</v>
      </c>
      <c r="Z124" s="1124">
        <v>65000</v>
      </c>
      <c r="AA124" s="492">
        <f>'DG-PV Organic'!AI53</f>
        <v>907104000.00000012</v>
      </c>
      <c r="AB124" s="272"/>
      <c r="AC124" s="272"/>
      <c r="AD124" s="272"/>
      <c r="AE124" s="272"/>
      <c r="AF124" s="272"/>
      <c r="AG124" s="272"/>
    </row>
    <row r="125" spans="1:33" ht="16.5" customHeight="1">
      <c r="A125" s="1163"/>
      <c r="B125" s="1137"/>
      <c r="C125" s="1291">
        <f>SUBTOTAL(103,$D$99:D125)</f>
        <v>27</v>
      </c>
      <c r="D125" s="796" t="str">
        <f>'DG-PV Organic'!B60</f>
        <v>World Paper 1-1</v>
      </c>
      <c r="E125" s="770" t="s">
        <v>812</v>
      </c>
      <c r="F125" s="771" t="s">
        <v>813</v>
      </c>
      <c r="G125" s="771"/>
      <c r="H125" s="771"/>
      <c r="I125" s="771"/>
      <c r="J125" s="772" t="s">
        <v>2235</v>
      </c>
      <c r="K125" s="1026" t="str">
        <f>'DG-PV Organic'!X60</f>
        <v>Gyeonggi-do</v>
      </c>
      <c r="L125" s="791">
        <f>'DG-PV Organic'!K54</f>
        <v>5445.1809999999996</v>
      </c>
      <c r="M125" s="799" t="str">
        <f>'DG-PV Organic'!G60</f>
        <v>BB+</v>
      </c>
      <c r="N125" s="799" t="s">
        <v>515</v>
      </c>
      <c r="O125" s="1224">
        <f>'DG-PV Organic'!O60</f>
        <v>142.24</v>
      </c>
      <c r="P125" s="793">
        <f>'DG-PV Organic'!L60</f>
        <v>1464</v>
      </c>
      <c r="Q125" s="783">
        <f t="shared" si="37"/>
        <v>4.0109589041095894</v>
      </c>
      <c r="R125" s="793">
        <f>'DG-PV Organic'!H60</f>
        <v>0</v>
      </c>
      <c r="S125" s="1286" t="str">
        <f>'DG-PV Organic'!Q60</f>
        <v>TBD</v>
      </c>
      <c r="T125" s="806" t="e">
        <f t="shared" si="29"/>
        <v>#VALUE!</v>
      </c>
      <c r="U125" s="1118">
        <f>'DG-PV Organic'!AJ60/1000*1.1</f>
        <v>31292.800000000003</v>
      </c>
      <c r="V125" s="1076">
        <f>'DG-PV Organic'!AK60/1000*1.1</f>
        <v>46939.200000000004</v>
      </c>
      <c r="W125" s="1076">
        <f t="shared" ref="W125:W130" si="38">SUM(U125:V125)</f>
        <v>78232</v>
      </c>
      <c r="X125" s="1076">
        <f t="shared" ref="X125:X130" si="39">W125/O125</f>
        <v>550</v>
      </c>
      <c r="Y125" s="1076">
        <f>'DG-PV Organic'!AL60/1000*1.1</f>
        <v>164287.20000000001</v>
      </c>
      <c r="Z125" s="1124">
        <v>65000</v>
      </c>
      <c r="AA125" s="492">
        <f>'DG-PV Organic'!AI54</f>
        <v>763700000</v>
      </c>
      <c r="AB125" s="272"/>
      <c r="AC125" s="272"/>
      <c r="AD125" s="272"/>
      <c r="AE125" s="272"/>
      <c r="AF125" s="272"/>
      <c r="AG125" s="272"/>
    </row>
    <row r="126" spans="1:33" ht="16.5" customHeight="1">
      <c r="A126" s="1163"/>
      <c r="B126" s="1137"/>
      <c r="C126" s="1291">
        <f>SUBTOTAL(103,$D$99:D126)</f>
        <v>28</v>
      </c>
      <c r="D126" s="796" t="str">
        <f>'DG-PV Organic'!B61</f>
        <v>World paper 1-2</v>
      </c>
      <c r="E126" s="770" t="s">
        <v>2236</v>
      </c>
      <c r="F126" s="771" t="s">
        <v>2237</v>
      </c>
      <c r="G126" s="771"/>
      <c r="H126" s="771"/>
      <c r="I126" s="771"/>
      <c r="J126" s="772" t="s">
        <v>2238</v>
      </c>
      <c r="K126" s="1026" t="str">
        <f>'DG-PV Organic'!X61</f>
        <v>Gyeonggi-do</v>
      </c>
      <c r="L126" s="791">
        <f>'DG-PV Organic'!K55</f>
        <v>644.76324</v>
      </c>
      <c r="M126" s="799" t="str">
        <f>'DG-PV Organic'!G61</f>
        <v>BB+</v>
      </c>
      <c r="N126" s="799" t="s">
        <v>515</v>
      </c>
      <c r="O126" s="1224">
        <f>'DG-PV Organic'!O61</f>
        <v>217.17</v>
      </c>
      <c r="P126" s="793">
        <f>'DG-PV Organic'!L61</f>
        <v>1473</v>
      </c>
      <c r="Q126" s="783">
        <f t="shared" ref="Q126:Q137" si="40">P126/365</f>
        <v>4.0356164383561648</v>
      </c>
      <c r="R126" s="793">
        <f>'DG-PV Organic'!H61</f>
        <v>0</v>
      </c>
      <c r="S126" s="1286" t="str">
        <f>'DG-PV Organic'!Q61</f>
        <v>TBD</v>
      </c>
      <c r="T126" s="806" t="e">
        <f t="shared" ref="T126:T137" si="41">+EDATE(S126,6)</f>
        <v>#VALUE!</v>
      </c>
      <c r="U126" s="1118">
        <f>'DG-PV Organic'!AJ61/1000*1.1</f>
        <v>47777.4</v>
      </c>
      <c r="V126" s="1076">
        <f>'DG-PV Organic'!AK61/1000*1.1</f>
        <v>71666.100000000006</v>
      </c>
      <c r="W126" s="1076">
        <f t="shared" si="38"/>
        <v>119443.5</v>
      </c>
      <c r="X126" s="1076">
        <f t="shared" si="39"/>
        <v>550</v>
      </c>
      <c r="Y126" s="1076">
        <f>'DG-PV Organic'!AL61/1000*1.1</f>
        <v>250831.35</v>
      </c>
      <c r="Z126" s="1124">
        <v>65000</v>
      </c>
      <c r="AA126" s="492">
        <f>'DG-PV Organic'!AI55</f>
        <v>90684000</v>
      </c>
      <c r="AB126" s="272"/>
      <c r="AC126" s="272"/>
      <c r="AD126" s="272"/>
      <c r="AE126" s="272"/>
      <c r="AF126" s="272"/>
      <c r="AG126" s="272"/>
    </row>
    <row r="127" spans="1:33" ht="16.5" customHeight="1">
      <c r="A127" s="1163"/>
      <c r="B127" s="1137"/>
      <c r="C127" s="1291">
        <f>SUBTOTAL(103,$D$99:D127)</f>
        <v>29</v>
      </c>
      <c r="D127" s="796" t="str">
        <f>'DG-PV Organic'!B62</f>
        <v>Hanjin Susan  (building owned by an individual)</v>
      </c>
      <c r="E127" s="770" t="s">
        <v>2239</v>
      </c>
      <c r="F127" s="771" t="s">
        <v>2240</v>
      </c>
      <c r="G127" s="771"/>
      <c r="H127" s="771"/>
      <c r="I127" s="771"/>
      <c r="J127" s="772" t="s">
        <v>2241</v>
      </c>
      <c r="K127" s="1026" t="str">
        <f>'DG-PV Organic'!X62</f>
        <v>Gyeongsangnam-do</v>
      </c>
      <c r="L127" s="791">
        <f>'DG-PV Organic'!K116</f>
        <v>687.86</v>
      </c>
      <c r="M127" s="799" t="str">
        <f>'DG-PV Organic'!G62</f>
        <v>Individual business owner</v>
      </c>
      <c r="N127" s="799" t="s">
        <v>515</v>
      </c>
      <c r="O127" s="1224">
        <f>'DG-PV Organic'!O62</f>
        <v>167.64</v>
      </c>
      <c r="P127" s="793">
        <f>'DG-PV Organic'!L62</f>
        <v>1458</v>
      </c>
      <c r="Q127" s="783">
        <f t="shared" si="40"/>
        <v>3.9945205479452053</v>
      </c>
      <c r="R127" s="793">
        <f>'DG-PV Organic'!H62</f>
        <v>0</v>
      </c>
      <c r="S127" s="1286" t="str">
        <f>'DG-PV Organic'!Q62</f>
        <v>TBD</v>
      </c>
      <c r="T127" s="806" t="e">
        <f t="shared" si="41"/>
        <v>#VALUE!</v>
      </c>
      <c r="U127" s="1118">
        <f>'DG-PV Organic'!AJ62/1000*1.1</f>
        <v>36880.799999999996</v>
      </c>
      <c r="V127" s="1076">
        <f>'DG-PV Organic'!AK62/1000*1.1</f>
        <v>55321.2</v>
      </c>
      <c r="W127" s="1076">
        <f t="shared" si="38"/>
        <v>92202</v>
      </c>
      <c r="X127" s="1076">
        <f t="shared" si="39"/>
        <v>550</v>
      </c>
      <c r="Y127" s="1076">
        <f>'DG-PV Organic'!AL62/1000*1.1</f>
        <v>193624.2</v>
      </c>
      <c r="Z127" s="1124">
        <v>65000</v>
      </c>
      <c r="AA127" s="492">
        <f>'DG-PV Organic'!AI116</f>
        <v>96740000</v>
      </c>
      <c r="AB127" s="272"/>
      <c r="AC127" s="272"/>
      <c r="AD127" s="272"/>
      <c r="AE127" s="272"/>
      <c r="AF127" s="272"/>
      <c r="AG127" s="272"/>
    </row>
    <row r="128" spans="1:33" ht="16.5" customHeight="1">
      <c r="A128" s="1163"/>
      <c r="B128" s="1137"/>
      <c r="C128" s="1291">
        <f>SUBTOTAL(103,$D$99:D128)</f>
        <v>30</v>
      </c>
      <c r="D128" s="796" t="str">
        <f>'DG-PV Organic'!B73</f>
        <v>Seunsteel Changwon</v>
      </c>
      <c r="E128" s="770" t="s">
        <v>2242</v>
      </c>
      <c r="F128" s="771" t="s">
        <v>2243</v>
      </c>
      <c r="G128" s="771"/>
      <c r="H128" s="771"/>
      <c r="I128" s="771"/>
      <c r="J128" s="772" t="s">
        <v>2244</v>
      </c>
      <c r="K128" s="1026" t="str">
        <f>'DG-PV Organic'!X73</f>
        <v>Gyeonggi-do</v>
      </c>
      <c r="L128" s="791">
        <f>'DG-PV Organic'!K117</f>
        <v>2232.6</v>
      </c>
      <c r="M128" s="799" t="str">
        <f>'DG-PV Organic'!G73</f>
        <v>BB-</v>
      </c>
      <c r="N128" s="799" t="s">
        <v>515</v>
      </c>
      <c r="O128" s="1224">
        <f>'DG-PV Organic'!O73</f>
        <v>1666</v>
      </c>
      <c r="P128" s="793">
        <f>'DG-PV Organic'!L73</f>
        <v>1439</v>
      </c>
      <c r="Q128" s="783">
        <f t="shared" si="40"/>
        <v>3.9424657534246577</v>
      </c>
      <c r="R128" s="793" t="str">
        <f>'DG-PV Organic'!H73</f>
        <v>TBD</v>
      </c>
      <c r="S128" s="1286" t="str">
        <f>'DG-PV Organic'!Q73</f>
        <v>TBD</v>
      </c>
      <c r="T128" s="806" t="e">
        <f t="shared" si="41"/>
        <v>#VALUE!</v>
      </c>
      <c r="U128" s="1118">
        <f>'DG-PV Organic'!AJ73/1000*1.1</f>
        <v>366520.00000000006</v>
      </c>
      <c r="V128" s="1076">
        <f>'DG-PV Organic'!AK73/1000*1.1</f>
        <v>549780</v>
      </c>
      <c r="W128" s="1076">
        <f t="shared" si="38"/>
        <v>916300</v>
      </c>
      <c r="X128" s="1076">
        <f t="shared" si="39"/>
        <v>550</v>
      </c>
      <c r="Y128" s="1076">
        <f>'DG-PV Organic'!AL73/1000*1.1</f>
        <v>1924230.0000000002</v>
      </c>
      <c r="Z128" s="1124">
        <v>65000</v>
      </c>
      <c r="AA128" s="492">
        <f>'DG-PV Organic'!AI117</f>
        <v>320496000</v>
      </c>
      <c r="AB128" s="272"/>
      <c r="AC128" s="272"/>
      <c r="AD128" s="272"/>
      <c r="AE128" s="272"/>
      <c r="AF128" s="272"/>
      <c r="AG128" s="272"/>
    </row>
    <row r="129" spans="1:33" ht="16.5" customHeight="1">
      <c r="A129" s="1163"/>
      <c r="B129" s="1137"/>
      <c r="C129" s="1291">
        <f>SUBTOTAL(103,$D$99:D129)</f>
        <v>31</v>
      </c>
      <c r="D129" s="796" t="str">
        <f>'DG-PV Organic'!B84</f>
        <v>Samkwang Automotive</v>
      </c>
      <c r="E129" s="770" t="s">
        <v>2245</v>
      </c>
      <c r="F129" s="771" t="s">
        <v>2246</v>
      </c>
      <c r="G129" s="771"/>
      <c r="H129" s="771"/>
      <c r="I129" s="771"/>
      <c r="J129" s="772" t="s">
        <v>2247</v>
      </c>
      <c r="K129" s="1026" t="str">
        <f>'DG-PV Organic'!X84</f>
        <v>Gyeongsangbuk-do</v>
      </c>
      <c r="L129" s="791">
        <f>'DG-PV Organic'!K118</f>
        <v>690.99</v>
      </c>
      <c r="M129" s="799" t="str">
        <f>'DG-PV Organic'!G84</f>
        <v>BB</v>
      </c>
      <c r="N129" s="799" t="s">
        <v>515</v>
      </c>
      <c r="O129" s="1224">
        <f>'DG-PV Organic'!O84</f>
        <v>269.875</v>
      </c>
      <c r="P129" s="793">
        <f>'DG-PV Organic'!L84</f>
        <v>1433</v>
      </c>
      <c r="Q129" s="783">
        <f t="shared" si="40"/>
        <v>3.9260273972602739</v>
      </c>
      <c r="R129" s="793" t="str">
        <f>'DG-PV Organic'!H84</f>
        <v>TBD</v>
      </c>
      <c r="S129" s="1286" t="str">
        <f>'DG-PV Organic'!Q84</f>
        <v>TBD</v>
      </c>
      <c r="T129" s="806" t="e">
        <f t="shared" si="41"/>
        <v>#VALUE!</v>
      </c>
      <c r="U129" s="1118">
        <f>'DG-PV Organic'!AJ84/1000*1.1</f>
        <v>0</v>
      </c>
      <c r="V129" s="1076">
        <f>'DG-PV Organic'!AK84/1000*1.1</f>
        <v>0</v>
      </c>
      <c r="W129" s="1076">
        <f t="shared" si="38"/>
        <v>0</v>
      </c>
      <c r="X129" s="1076">
        <f t="shared" si="39"/>
        <v>0</v>
      </c>
      <c r="Y129" s="1076">
        <f>'DG-PV Organic'!AL84/1000*1.1</f>
        <v>0</v>
      </c>
      <c r="Z129" s="1124">
        <v>65000</v>
      </c>
      <c r="AA129" s="492">
        <f>'DG-PV Organic'!AI118</f>
        <v>96624000</v>
      </c>
      <c r="AB129" s="272"/>
      <c r="AC129" s="272"/>
      <c r="AD129" s="272"/>
      <c r="AE129" s="272"/>
      <c r="AF129" s="272"/>
      <c r="AG129" s="272"/>
    </row>
    <row r="130" spans="1:33" ht="16.5" customHeight="1">
      <c r="A130" s="1163"/>
      <c r="B130" s="1137"/>
      <c r="C130" s="1291">
        <f>SUBTOTAL(103,$D$99:D130)</f>
        <v>32</v>
      </c>
      <c r="D130" s="796" t="str">
        <f>'DG-PV Organic'!B85</f>
        <v>Samkwang OneTech</v>
      </c>
      <c r="E130" s="770" t="s">
        <v>2248</v>
      </c>
      <c r="F130" s="771" t="s">
        <v>2249</v>
      </c>
      <c r="G130" s="771"/>
      <c r="H130" s="771"/>
      <c r="I130" s="771"/>
      <c r="J130" s="772" t="s">
        <v>2250</v>
      </c>
      <c r="K130" s="1026" t="str">
        <f>'DG-PV Organic'!X85</f>
        <v>Gyeongsangbuk-do</v>
      </c>
      <c r="L130" s="791">
        <f>'DG-PV Organic'!K119</f>
        <v>440.19</v>
      </c>
      <c r="M130" s="799" t="str">
        <f>'DG-PV Organic'!G85</f>
        <v>BB</v>
      </c>
      <c r="N130" s="799" t="s">
        <v>515</v>
      </c>
      <c r="O130" s="1224">
        <f>'DG-PV Organic'!O85</f>
        <v>657.22500000000002</v>
      </c>
      <c r="P130" s="793">
        <f>'DG-PV Organic'!L85</f>
        <v>1444</v>
      </c>
      <c r="Q130" s="783">
        <f t="shared" si="40"/>
        <v>3.956164383561644</v>
      </c>
      <c r="R130" s="793" t="str">
        <f>'DG-PV Organic'!H85</f>
        <v>TBD</v>
      </c>
      <c r="S130" s="1286" t="str">
        <f>'DG-PV Organic'!Q85</f>
        <v>TBD</v>
      </c>
      <c r="T130" s="806" t="e">
        <f t="shared" si="41"/>
        <v>#VALUE!</v>
      </c>
      <c r="U130" s="1118">
        <f>'DG-PV Organic'!AJ85/1000*1.1</f>
        <v>0</v>
      </c>
      <c r="V130" s="1076">
        <f>'DG-PV Organic'!AK85/1000*1.1</f>
        <v>0</v>
      </c>
      <c r="W130" s="1076">
        <f t="shared" si="38"/>
        <v>0</v>
      </c>
      <c r="X130" s="1076">
        <f t="shared" si="39"/>
        <v>0</v>
      </c>
      <c r="Y130" s="1076">
        <f>'DG-PV Organic'!AL85/1000*1.1</f>
        <v>0</v>
      </c>
      <c r="Z130" s="1124">
        <v>65000</v>
      </c>
      <c r="AA130" s="492">
        <f>'DG-PV Organic'!AI119</f>
        <v>64152000</v>
      </c>
      <c r="AB130" s="272"/>
      <c r="AC130" s="272"/>
      <c r="AD130" s="272"/>
      <c r="AE130" s="272"/>
      <c r="AF130" s="272"/>
      <c r="AG130" s="272"/>
    </row>
    <row r="131" spans="1:33" ht="16.5" customHeight="1">
      <c r="A131" s="1163"/>
      <c r="B131" s="1137"/>
      <c r="C131" s="1291">
        <f>SUBTOTAL(103,$D$99:D131)</f>
        <v>33</v>
      </c>
      <c r="D131" s="796" t="str">
        <f>'DG-PV Organic'!B86</f>
        <v>Samkwang HQ</v>
      </c>
      <c r="E131" s="770" t="s">
        <v>2251</v>
      </c>
      <c r="F131" s="771" t="s">
        <v>2252</v>
      </c>
      <c r="G131" s="771"/>
      <c r="H131" s="771"/>
      <c r="I131" s="771"/>
      <c r="J131" s="772" t="s">
        <v>2253</v>
      </c>
      <c r="K131" s="1026" t="str">
        <f>'DG-PV Organic'!X86</f>
        <v>Gyeongsangbuk-do</v>
      </c>
      <c r="L131" s="791">
        <f>'DG-PV Organic'!K120</f>
        <v>452.81</v>
      </c>
      <c r="M131" s="799" t="str">
        <f>'DG-PV Organic'!G86</f>
        <v>BBB-</v>
      </c>
      <c r="N131" s="799" t="s">
        <v>515</v>
      </c>
      <c r="O131" s="1224">
        <f>'DG-PV Organic'!O86</f>
        <v>598.16999999999996</v>
      </c>
      <c r="P131" s="793">
        <f>'DG-PV Organic'!L86</f>
        <v>1447</v>
      </c>
      <c r="Q131" s="783">
        <f t="shared" si="40"/>
        <v>3.9643835616438357</v>
      </c>
      <c r="R131" s="793" t="str">
        <f>'DG-PV Organic'!H86</f>
        <v>TBD</v>
      </c>
      <c r="S131" s="1286" t="str">
        <f>'DG-PV Organic'!Q86</f>
        <v>TBD</v>
      </c>
      <c r="T131" s="806" t="e">
        <f t="shared" si="41"/>
        <v>#VALUE!</v>
      </c>
      <c r="U131" s="1118">
        <f>'DG-PV Organic'!AJ86/1000*1.1</f>
        <v>0</v>
      </c>
      <c r="V131" s="1076">
        <f>'DG-PV Organic'!AK86/1000*1.1</f>
        <v>0</v>
      </c>
      <c r="W131" s="1076">
        <f t="shared" ref="W131:W132" si="42">SUM(U131:V131)</f>
        <v>0</v>
      </c>
      <c r="X131" s="1076">
        <f t="shared" ref="X131:X132" si="43">W131/O131</f>
        <v>0</v>
      </c>
      <c r="Y131" s="1076">
        <f>'DG-PV Organic'!AL86/1000*1.1</f>
        <v>0</v>
      </c>
      <c r="Z131" s="1124">
        <v>65000</v>
      </c>
      <c r="AA131" s="492">
        <f>'DG-PV Organic'!AI120</f>
        <v>65340000</v>
      </c>
      <c r="AB131" s="272"/>
      <c r="AC131" s="272"/>
      <c r="AD131" s="272"/>
      <c r="AE131" s="272"/>
      <c r="AF131" s="272"/>
      <c r="AG131" s="272"/>
    </row>
    <row r="132" spans="1:33" ht="16.5" customHeight="1">
      <c r="A132" s="1163"/>
      <c r="B132" s="1137"/>
      <c r="C132" s="1291">
        <f>SUBTOTAL(103,$D$99:D132)</f>
        <v>34</v>
      </c>
      <c r="D132" s="796" t="str">
        <f>'DG-PV Organic'!B74</f>
        <v>GMB Korea Factory 2</v>
      </c>
      <c r="E132" s="770" t="s">
        <v>2254</v>
      </c>
      <c r="F132" s="771" t="s">
        <v>2255</v>
      </c>
      <c r="G132" s="771"/>
      <c r="H132" s="771"/>
      <c r="I132" s="771"/>
      <c r="J132" s="772" t="s">
        <v>2256</v>
      </c>
      <c r="K132" s="1026" t="str">
        <f>'DG-PV Organic'!X74</f>
        <v>Gyeongsangnam-do</v>
      </c>
      <c r="L132" s="791">
        <f>'DG-PV Organic'!K121</f>
        <v>1311.2</v>
      </c>
      <c r="M132" s="799" t="str">
        <f>'DG-PV Organic'!G74</f>
        <v>A-</v>
      </c>
      <c r="N132" s="799" t="s">
        <v>515</v>
      </c>
      <c r="O132" s="1224">
        <f>'DG-PV Organic'!O74</f>
        <v>1537.97</v>
      </c>
      <c r="P132" s="793">
        <f>'DG-PV Organic'!L74</f>
        <v>1389</v>
      </c>
      <c r="Q132" s="783">
        <f t="shared" si="40"/>
        <v>3.8054794520547945</v>
      </c>
      <c r="R132" s="793" t="str">
        <f>'DG-PV Organic'!H74</f>
        <v>TBD</v>
      </c>
      <c r="S132" s="1286" t="str">
        <f>'DG-PV Organic'!Q74</f>
        <v>TBD</v>
      </c>
      <c r="T132" s="806" t="e">
        <f t="shared" si="41"/>
        <v>#VALUE!</v>
      </c>
      <c r="U132" s="1118">
        <f>'DG-PV Organic'!AJ74/1000*1.1</f>
        <v>0</v>
      </c>
      <c r="V132" s="1076">
        <f>'DG-PV Organic'!AK74/1000*1.1</f>
        <v>0</v>
      </c>
      <c r="W132" s="1076">
        <f t="shared" si="42"/>
        <v>0</v>
      </c>
      <c r="X132" s="1076">
        <f t="shared" si="43"/>
        <v>0</v>
      </c>
      <c r="Y132" s="1076">
        <f>'DG-PV Organic'!AL74/1000*1.1</f>
        <v>0</v>
      </c>
      <c r="Z132" s="1124">
        <v>65000</v>
      </c>
      <c r="AA132" s="492">
        <f>'DG-PV Organic'!AI121</f>
        <v>153911999.99999997</v>
      </c>
      <c r="AB132" s="272"/>
      <c r="AC132" s="272"/>
      <c r="AD132" s="272"/>
      <c r="AE132" s="272"/>
      <c r="AF132" s="272"/>
      <c r="AG132" s="272"/>
    </row>
    <row r="133" spans="1:33" ht="16.5" customHeight="1">
      <c r="A133" s="1163"/>
      <c r="B133" s="1137"/>
      <c r="C133" s="1291">
        <f>SUBTOTAL(103,$D$99:D133)</f>
        <v>35</v>
      </c>
      <c r="D133" s="796" t="str">
        <f>'DG-PV Organic'!B75</f>
        <v>GMB Korea Headquarters</v>
      </c>
      <c r="E133" s="770" t="s">
        <v>2236</v>
      </c>
      <c r="F133" s="771" t="s">
        <v>2237</v>
      </c>
      <c r="G133" s="771"/>
      <c r="H133" s="771"/>
      <c r="I133" s="771"/>
      <c r="J133" s="772" t="s">
        <v>2238</v>
      </c>
      <c r="K133" s="1026" t="str">
        <f>'DG-PV Organic'!X75</f>
        <v>Gyeongsangnam-do</v>
      </c>
      <c r="L133" s="791">
        <f>'DG-PV Organic'!K122</f>
        <v>1071.7</v>
      </c>
      <c r="M133" s="799" t="str">
        <f>'DG-PV Organic'!G75</f>
        <v>A-</v>
      </c>
      <c r="N133" s="799" t="s">
        <v>515</v>
      </c>
      <c r="O133" s="1224">
        <f>'DG-PV Organic'!O75</f>
        <v>1645.92</v>
      </c>
      <c r="P133" s="793">
        <f>'DG-PV Organic'!L75</f>
        <v>1400</v>
      </c>
      <c r="Q133" s="783">
        <f t="shared" si="40"/>
        <v>3.8356164383561642</v>
      </c>
      <c r="R133" s="793" t="str">
        <f>'DG-PV Organic'!H75</f>
        <v>TBD</v>
      </c>
      <c r="S133" s="1286" t="str">
        <f>'DG-PV Organic'!Q75</f>
        <v>TBD</v>
      </c>
      <c r="T133" s="806" t="e">
        <f t="shared" si="41"/>
        <v>#VALUE!</v>
      </c>
      <c r="U133" s="1118">
        <f>'DG-PV Organic'!AJ75/1000*1.1</f>
        <v>0</v>
      </c>
      <c r="V133" s="1076">
        <f>'DG-PV Organic'!AK75/1000*1.1</f>
        <v>0</v>
      </c>
      <c r="W133" s="1076">
        <f t="shared" ref="W133:W136" si="44">SUM(U133:V133)</f>
        <v>0</v>
      </c>
      <c r="X133" s="1076">
        <f t="shared" ref="X133:X136" si="45">W133/O133</f>
        <v>0</v>
      </c>
      <c r="Y133" s="1076">
        <f>'DG-PV Organic'!AL75/1000*1.1</f>
        <v>0</v>
      </c>
      <c r="Z133" s="1124">
        <v>65000</v>
      </c>
      <c r="AA133" s="492">
        <f>'DG-PV Organic'!AI122</f>
        <v>154700000</v>
      </c>
      <c r="AB133" s="272"/>
      <c r="AC133" s="272"/>
      <c r="AD133" s="272"/>
      <c r="AE133" s="272"/>
      <c r="AF133" s="272"/>
      <c r="AG133" s="272"/>
    </row>
    <row r="134" spans="1:33" ht="16.5" customHeight="1">
      <c r="A134" s="1163"/>
      <c r="B134" s="1137"/>
      <c r="C134" s="1291">
        <f>SUBTOTAL(103,$D$99:D134)</f>
        <v>36</v>
      </c>
      <c r="D134" s="796" t="str">
        <f>'DG-PV Organic'!B76</f>
        <v>GMB Korea Seosan</v>
      </c>
      <c r="E134" s="770" t="s">
        <v>2239</v>
      </c>
      <c r="F134" s="771" t="s">
        <v>2240</v>
      </c>
      <c r="G134" s="771"/>
      <c r="H134" s="771"/>
      <c r="I134" s="771"/>
      <c r="J134" s="772" t="s">
        <v>2241</v>
      </c>
      <c r="K134" s="1026" t="str">
        <f>'DG-PV Organic'!X76</f>
        <v>Chungcheongnam-do</v>
      </c>
      <c r="L134" s="791">
        <f>'DG-PV Organic'!K123</f>
        <v>566.62</v>
      </c>
      <c r="M134" s="799" t="str">
        <f>'DG-PV Organic'!G76</f>
        <v>A-</v>
      </c>
      <c r="N134" s="799" t="s">
        <v>515</v>
      </c>
      <c r="O134" s="1224">
        <f>'DG-PV Organic'!O76</f>
        <v>1076.325</v>
      </c>
      <c r="P134" s="793">
        <f>'DG-PV Organic'!L76</f>
        <v>1427</v>
      </c>
      <c r="Q134" s="783">
        <f t="shared" si="40"/>
        <v>3.9095890410958902</v>
      </c>
      <c r="R134" s="793" t="str">
        <f>'DG-PV Organic'!H76</f>
        <v>TBD</v>
      </c>
      <c r="S134" s="1286" t="str">
        <f>'DG-PV Organic'!Q76</f>
        <v>TBD</v>
      </c>
      <c r="T134" s="806" t="e">
        <f t="shared" si="41"/>
        <v>#VALUE!</v>
      </c>
      <c r="U134" s="1118">
        <f>'DG-PV Organic'!AJ76/1000*1.1</f>
        <v>0</v>
      </c>
      <c r="V134" s="1076">
        <f>'DG-PV Organic'!AK76/1000*1.1</f>
        <v>0</v>
      </c>
      <c r="W134" s="1076">
        <f t="shared" si="44"/>
        <v>0</v>
      </c>
      <c r="X134" s="1076">
        <f t="shared" si="45"/>
        <v>0</v>
      </c>
      <c r="Y134" s="1076">
        <f>'DG-PV Organic'!AL76/1000*1.1</f>
        <v>0</v>
      </c>
      <c r="Z134" s="1124">
        <v>65000</v>
      </c>
      <c r="AA134" s="492"/>
      <c r="AB134" s="272"/>
      <c r="AC134" s="272"/>
      <c r="AD134" s="272"/>
      <c r="AE134" s="272"/>
      <c r="AF134" s="272"/>
      <c r="AG134" s="272"/>
    </row>
    <row r="135" spans="1:33" ht="16.5" customHeight="1">
      <c r="A135" s="1163"/>
      <c r="B135" s="1137"/>
      <c r="C135" s="1291">
        <f>SUBTOTAL(103,$D$99:D135)</f>
        <v>37</v>
      </c>
      <c r="D135" s="796" t="str">
        <f>'DG-PV Organic'!B87</f>
        <v>SNT Dynamics(주차장포함)</v>
      </c>
      <c r="E135" s="770" t="s">
        <v>2242</v>
      </c>
      <c r="F135" s="771" t="s">
        <v>2243</v>
      </c>
      <c r="G135" s="771"/>
      <c r="H135" s="771"/>
      <c r="I135" s="771"/>
      <c r="J135" s="772" t="s">
        <v>2244</v>
      </c>
      <c r="K135" s="1026" t="str">
        <f>'DG-PV Organic'!X87</f>
        <v>Gyeongsangnam-do</v>
      </c>
      <c r="L135" s="791">
        <f>'DG-PV Organic'!K70</f>
        <v>5749.4939999999997</v>
      </c>
      <c r="M135" s="799" t="str">
        <f>'DG-PV Organic'!G87</f>
        <v>AA-</v>
      </c>
      <c r="N135" s="799" t="s">
        <v>515</v>
      </c>
      <c r="O135" s="1224">
        <f>'DG-PV Organic'!O87</f>
        <v>8953.5</v>
      </c>
      <c r="P135" s="793">
        <f>'DG-PV Organic'!L87</f>
        <v>1407</v>
      </c>
      <c r="Q135" s="783">
        <f t="shared" si="40"/>
        <v>3.8547945205479452</v>
      </c>
      <c r="R135" s="793" t="str">
        <f>'DG-PV Organic'!H87</f>
        <v>TBD</v>
      </c>
      <c r="S135" s="1286" t="str">
        <f>'DG-PV Organic'!Q87</f>
        <v>TBD</v>
      </c>
      <c r="T135" s="806" t="e">
        <f t="shared" si="41"/>
        <v>#VALUE!</v>
      </c>
      <c r="U135" s="1118">
        <f>'DG-PV Organic'!AJ87/1000*1.1</f>
        <v>0</v>
      </c>
      <c r="V135" s="1076">
        <f>'DG-PV Organic'!AK87/1000*1.1</f>
        <v>0</v>
      </c>
      <c r="W135" s="1076">
        <f t="shared" si="44"/>
        <v>0</v>
      </c>
      <c r="X135" s="1076">
        <f t="shared" si="45"/>
        <v>0</v>
      </c>
      <c r="Y135" s="1076">
        <f>'DG-PV Organic'!AL87/1000*1.1</f>
        <v>0</v>
      </c>
      <c r="Z135" s="1124">
        <v>65000</v>
      </c>
      <c r="AA135" s="492"/>
      <c r="AB135" s="272"/>
      <c r="AC135" s="272"/>
      <c r="AD135" s="272"/>
      <c r="AE135" s="272"/>
      <c r="AF135" s="272"/>
      <c r="AG135" s="272"/>
    </row>
    <row r="136" spans="1:33" ht="16.5" customHeight="1">
      <c r="A136" s="1163"/>
      <c r="B136" s="1137"/>
      <c r="C136" s="1291">
        <f>SUBTOTAL(103,$D$99:D136)</f>
        <v>38</v>
      </c>
      <c r="D136" s="796" t="str">
        <f>'DG-PV Organic'!B88</f>
        <v>STX Engine</v>
      </c>
      <c r="E136" s="770" t="s">
        <v>2236</v>
      </c>
      <c r="F136" s="771" t="s">
        <v>2237</v>
      </c>
      <c r="G136" s="771"/>
      <c r="H136" s="771"/>
      <c r="I136" s="771"/>
      <c r="J136" s="772" t="s">
        <v>2238</v>
      </c>
      <c r="K136" s="1026" t="str">
        <f>'DG-PV Organic'!X88</f>
        <v>Gyeongsangnam-do</v>
      </c>
      <c r="L136" s="791">
        <f>'DG-PV Organic'!K71</f>
        <v>275.73</v>
      </c>
      <c r="M136" s="799" t="str">
        <f>'DG-PV Organic'!G88</f>
        <v>BB+</v>
      </c>
      <c r="N136" s="799" t="s">
        <v>515</v>
      </c>
      <c r="O136" s="1224">
        <f>'DG-PV Organic'!O88</f>
        <v>3794.125</v>
      </c>
      <c r="P136" s="793">
        <f>'DG-PV Organic'!L88</f>
        <v>1388</v>
      </c>
      <c r="Q136" s="783">
        <f t="shared" si="40"/>
        <v>3.8027397260273972</v>
      </c>
      <c r="R136" s="793" t="str">
        <f>'DG-PV Organic'!H88</f>
        <v>TBD</v>
      </c>
      <c r="S136" s="1286" t="str">
        <f>'DG-PV Organic'!Q88</f>
        <v>TBD</v>
      </c>
      <c r="T136" s="806" t="e">
        <f t="shared" si="41"/>
        <v>#VALUE!</v>
      </c>
      <c r="U136" s="1118">
        <f>'DG-PV Organic'!AJ88/1000*1.1</f>
        <v>0</v>
      </c>
      <c r="V136" s="1076">
        <f>'DG-PV Organic'!AK88/1000*1.1</f>
        <v>0</v>
      </c>
      <c r="W136" s="1076">
        <f t="shared" si="44"/>
        <v>0</v>
      </c>
      <c r="X136" s="1076">
        <f t="shared" si="45"/>
        <v>0</v>
      </c>
      <c r="Y136" s="1076">
        <f>'DG-PV Organic'!AL88/1000*1.1</f>
        <v>0</v>
      </c>
      <c r="Z136" s="1124">
        <v>65000</v>
      </c>
      <c r="AA136" s="492"/>
      <c r="AB136" s="272"/>
      <c r="AC136" s="272"/>
      <c r="AD136" s="272"/>
      <c r="AE136" s="272"/>
      <c r="AF136" s="272"/>
      <c r="AG136" s="272"/>
    </row>
    <row r="137" spans="1:33" ht="16.5" customHeight="1">
      <c r="A137" s="1163"/>
      <c r="B137" s="1137"/>
      <c r="C137" s="1291">
        <f>SUBTOTAL(103,$D$99:D137)</f>
        <v>39</v>
      </c>
      <c r="D137" s="796" t="str">
        <f>'DG-PV Organic'!B89</f>
        <v>Kunhwa Changwon</v>
      </c>
      <c r="E137" s="770" t="s">
        <v>2239</v>
      </c>
      <c r="F137" s="771" t="s">
        <v>2240</v>
      </c>
      <c r="G137" s="771"/>
      <c r="H137" s="771"/>
      <c r="I137" s="771"/>
      <c r="J137" s="772" t="s">
        <v>2241</v>
      </c>
      <c r="K137" s="1026" t="str">
        <f>'DG-PV Organic'!X89</f>
        <v>Gyeongsangnam-do</v>
      </c>
      <c r="L137" s="791">
        <f>'DG-PV Organic'!K72</f>
        <v>1765.8648000000001</v>
      </c>
      <c r="M137" s="799" t="str">
        <f>'DG-PV Organic'!G89</f>
        <v>BBB</v>
      </c>
      <c r="N137" s="799" t="s">
        <v>515</v>
      </c>
      <c r="O137" s="1224">
        <f>'DG-PV Organic'!O89</f>
        <v>9240.52</v>
      </c>
      <c r="P137" s="793">
        <f>'DG-PV Organic'!L89</f>
        <v>1410</v>
      </c>
      <c r="Q137" s="783">
        <f t="shared" si="40"/>
        <v>3.8630136986301369</v>
      </c>
      <c r="R137" s="793" t="str">
        <f>'DG-PV Organic'!H89</f>
        <v>TBD</v>
      </c>
      <c r="S137" s="1286" t="str">
        <f>'DG-PV Organic'!Q89</f>
        <v>TBD</v>
      </c>
      <c r="T137" s="806" t="e">
        <f t="shared" si="41"/>
        <v>#VALUE!</v>
      </c>
      <c r="U137" s="1118">
        <f>'DG-PV Organic'!AJ137/1000*1.1</f>
        <v>0</v>
      </c>
      <c r="V137" s="1076">
        <f>'DG-PV Organic'!AK137/1000*1.1</f>
        <v>0</v>
      </c>
      <c r="W137" s="1076">
        <f t="shared" si="35"/>
        <v>0</v>
      </c>
      <c r="X137" s="1076">
        <f t="shared" si="36"/>
        <v>0</v>
      </c>
      <c r="Y137" s="1076">
        <f>'DG-PV Organic'!AL137/1000*1.1</f>
        <v>0</v>
      </c>
      <c r="Z137" s="1124">
        <v>65000</v>
      </c>
      <c r="AA137" s="492">
        <f>'DG-PV Organic'!AI123</f>
        <v>82824000</v>
      </c>
      <c r="AB137" s="272"/>
      <c r="AC137" s="272"/>
      <c r="AD137" s="272"/>
      <c r="AE137" s="272"/>
      <c r="AF137" s="272"/>
      <c r="AG137" s="272"/>
    </row>
    <row r="138" spans="1:33" ht="17.25" thickBot="1">
      <c r="A138" s="1138"/>
      <c r="B138" s="1308"/>
      <c r="C138" s="1309">
        <f>SUBTOTAL(103,$D$99:D138)</f>
        <v>40</v>
      </c>
      <c r="D138" s="1310" t="str">
        <f>'DG-PV Organic'!B90</f>
        <v>Taekwang</v>
      </c>
      <c r="E138" s="1142"/>
      <c r="F138" s="1143" t="s">
        <v>2257</v>
      </c>
      <c r="G138" s="1143"/>
      <c r="H138" s="1143"/>
      <c r="I138" s="1143"/>
      <c r="J138" s="1144" t="s">
        <v>2258</v>
      </c>
      <c r="K138" s="1287" t="str">
        <f>'DG-PV Organic'!X90</f>
        <v>Gyeongsangnam-do</v>
      </c>
      <c r="L138" s="1146">
        <f>'DG-PV Organic'!K70</f>
        <v>5749.4939999999997</v>
      </c>
      <c r="M138" s="1290" t="str">
        <f>'DG-PV Organic'!G90</f>
        <v>BB</v>
      </c>
      <c r="N138" s="1147" t="s">
        <v>575</v>
      </c>
      <c r="O138" s="1225">
        <f>'DG-PV Organic'!O90</f>
        <v>179.9</v>
      </c>
      <c r="P138" s="1288">
        <f>'DG-PV Organic'!L90</f>
        <v>1433</v>
      </c>
      <c r="Q138" s="1149">
        <f t="shared" si="37"/>
        <v>3.9260273972602739</v>
      </c>
      <c r="R138" s="1288" t="str">
        <f>'DG-PV Organic'!H90</f>
        <v>TBD</v>
      </c>
      <c r="S138" s="1289" t="str">
        <f>'DG-PV Organic'!Q90</f>
        <v>TBD</v>
      </c>
      <c r="T138" s="1307" t="e">
        <f t="shared" si="29"/>
        <v>#VALUE!</v>
      </c>
      <c r="U138" s="1152">
        <f>'DG-PV Organic'!AJ138/1000*1.1</f>
        <v>0</v>
      </c>
      <c r="V138" s="1153">
        <f>'DG-PV Organic'!AK138/1000*1.1</f>
        <v>0</v>
      </c>
      <c r="W138" s="1153">
        <f t="shared" si="35"/>
        <v>0</v>
      </c>
      <c r="X138" s="1153">
        <f t="shared" si="36"/>
        <v>0</v>
      </c>
      <c r="Y138" s="1153">
        <f>'DG-PV Organic'!AL138/1000*1.1</f>
        <v>0</v>
      </c>
      <c r="Z138" s="1154">
        <v>65000</v>
      </c>
      <c r="AA138" s="573">
        <f>'DG-PV Organic'!AI70</f>
        <v>819600000</v>
      </c>
      <c r="AB138" s="846"/>
      <c r="AC138" s="1082"/>
      <c r="AD138" s="272"/>
      <c r="AE138" s="1084"/>
      <c r="AF138" s="272"/>
      <c r="AG138" s="272"/>
    </row>
    <row r="139" spans="1:33" ht="17.25" thickTop="1">
      <c r="A139" s="272"/>
      <c r="B139" s="272"/>
      <c r="C139" s="273"/>
      <c r="D139" s="361"/>
      <c r="E139" s="272"/>
      <c r="F139" s="365"/>
      <c r="G139" s="365"/>
      <c r="H139" s="365"/>
      <c r="I139" s="365"/>
      <c r="J139" s="272"/>
      <c r="K139" s="577"/>
      <c r="L139" s="582"/>
      <c r="M139" s="273"/>
      <c r="N139" s="273"/>
      <c r="O139" s="582"/>
      <c r="R139" s="572"/>
      <c r="S139" s="363"/>
      <c r="T139" s="363"/>
      <c r="U139" s="364"/>
      <c r="V139" s="364"/>
      <c r="W139" s="364"/>
      <c r="X139" s="364"/>
      <c r="Y139" s="1077"/>
      <c r="Z139" s="364"/>
      <c r="AA139" s="364"/>
      <c r="AB139" s="272"/>
      <c r="AC139" s="272"/>
      <c r="AD139" s="272"/>
      <c r="AE139" s="272"/>
      <c r="AF139" s="272"/>
      <c r="AG139" s="272"/>
    </row>
    <row r="140" spans="1:33">
      <c r="A140" s="272"/>
      <c r="B140" s="272"/>
      <c r="C140" s="273"/>
      <c r="D140" s="272"/>
      <c r="E140" s="272"/>
      <c r="F140" s="365"/>
      <c r="G140" s="365"/>
      <c r="H140" s="365"/>
      <c r="I140" s="365"/>
      <c r="J140" s="272"/>
      <c r="K140" s="577"/>
      <c r="L140" s="582"/>
      <c r="M140" s="273"/>
      <c r="N140" s="273"/>
      <c r="O140" s="582"/>
      <c r="R140" s="572"/>
      <c r="S140" s="363"/>
      <c r="T140" s="363"/>
      <c r="U140" s="364"/>
      <c r="V140" s="364"/>
      <c r="W140" s="364"/>
      <c r="X140" s="364"/>
      <c r="Y140" s="1077"/>
      <c r="Z140" s="364"/>
      <c r="AA140" s="364"/>
      <c r="AB140" s="272"/>
      <c r="AC140" s="272"/>
      <c r="AD140" s="272"/>
      <c r="AE140" s="272"/>
      <c r="AF140" s="272"/>
      <c r="AG140" s="272"/>
    </row>
    <row r="141" spans="1:33">
      <c r="A141" s="272"/>
      <c r="B141" s="272"/>
      <c r="C141" s="273"/>
      <c r="D141" s="361"/>
      <c r="E141" s="272"/>
      <c r="F141" s="273"/>
      <c r="G141" s="273"/>
      <c r="H141" s="273"/>
      <c r="I141" s="273"/>
      <c r="J141" s="273"/>
      <c r="K141" s="577"/>
      <c r="L141" s="582"/>
      <c r="M141" s="273"/>
      <c r="N141" s="273"/>
      <c r="O141" s="582"/>
      <c r="P141" s="364"/>
      <c r="Q141" s="273"/>
      <c r="R141" s="273"/>
      <c r="S141" s="273"/>
      <c r="T141" s="273"/>
      <c r="U141" s="364"/>
      <c r="V141" s="364"/>
      <c r="W141" s="364"/>
      <c r="X141" s="364"/>
      <c r="Y141" s="1077"/>
      <c r="Z141" s="364"/>
      <c r="AA141" s="364"/>
      <c r="AB141" s="272"/>
      <c r="AC141" s="272"/>
      <c r="AD141" s="272"/>
      <c r="AE141" s="272"/>
      <c r="AF141" s="272"/>
      <c r="AG141" s="272"/>
    </row>
    <row r="142" spans="1:33">
      <c r="A142" s="272"/>
      <c r="B142" s="272"/>
      <c r="C142" s="273"/>
      <c r="D142" s="361"/>
      <c r="E142" s="272"/>
      <c r="F142" s="273"/>
      <c r="G142" s="273"/>
      <c r="H142" s="273"/>
      <c r="I142" s="273"/>
      <c r="J142" s="273"/>
      <c r="K142" s="577"/>
      <c r="L142" s="582"/>
      <c r="M142" s="273"/>
      <c r="N142" s="273"/>
      <c r="O142" s="582"/>
      <c r="P142" s="364"/>
      <c r="Q142" s="273"/>
      <c r="R142" s="273"/>
      <c r="S142" s="273"/>
      <c r="T142" s="273"/>
      <c r="U142" s="364"/>
      <c r="V142" s="364"/>
      <c r="W142" s="364"/>
      <c r="X142" s="364"/>
      <c r="Y142" s="1077"/>
      <c r="Z142" s="364"/>
      <c r="AA142" s="364"/>
      <c r="AB142" s="272"/>
      <c r="AC142" s="272"/>
      <c r="AD142" s="272"/>
      <c r="AE142" s="272"/>
      <c r="AF142" s="272"/>
      <c r="AG142" s="272"/>
    </row>
    <row r="143" spans="1:33">
      <c r="A143" s="272"/>
      <c r="B143" s="272"/>
      <c r="C143" s="273"/>
      <c r="D143" s="361"/>
      <c r="E143" s="272"/>
      <c r="F143" s="273"/>
      <c r="G143" s="273"/>
      <c r="H143" s="273"/>
      <c r="I143" s="273"/>
      <c r="J143" s="273"/>
      <c r="K143" s="577"/>
      <c r="L143" s="582"/>
      <c r="M143" s="273"/>
      <c r="N143" s="273"/>
      <c r="O143" s="582"/>
      <c r="P143" s="364"/>
      <c r="Q143" s="273"/>
      <c r="R143" s="273"/>
      <c r="S143" s="273"/>
      <c r="T143" s="273"/>
      <c r="U143" s="364"/>
      <c r="V143" s="364"/>
      <c r="W143" s="364"/>
      <c r="X143" s="364"/>
      <c r="Y143" s="1077"/>
      <c r="Z143" s="364"/>
      <c r="AA143" s="364"/>
      <c r="AB143" s="272"/>
      <c r="AC143" s="272"/>
      <c r="AD143" s="272"/>
      <c r="AE143" s="272"/>
      <c r="AF143" s="272"/>
      <c r="AG143" s="272"/>
    </row>
    <row r="144" spans="1:33" ht="16.5" hidden="1" customHeight="1">
      <c r="A144" s="2954" t="str">
        <f>"PAST DG Batch 2
 - 12 PJT"</f>
        <v>PAST DG Batch 2
 - 12 PJT</v>
      </c>
      <c r="B144" s="2955"/>
      <c r="C144" s="832">
        <f>SUBTOTAL(103,$D$144:D144)</f>
        <v>0</v>
      </c>
      <c r="D144" s="833" t="s">
        <v>2020</v>
      </c>
      <c r="E144" s="834" t="s">
        <v>873</v>
      </c>
      <c r="F144" s="835" t="s">
        <v>2259</v>
      </c>
      <c r="G144" s="835"/>
      <c r="H144" s="835"/>
      <c r="I144" s="835"/>
      <c r="J144" s="836" t="s">
        <v>2108</v>
      </c>
      <c r="K144" s="1029" t="s">
        <v>2260</v>
      </c>
      <c r="L144" s="837">
        <f>'DG-PV Organic'!K139</f>
        <v>0</v>
      </c>
      <c r="M144" s="838" t="s">
        <v>698</v>
      </c>
      <c r="N144" s="838" t="s">
        <v>575</v>
      </c>
      <c r="O144" s="839">
        <v>342.9</v>
      </c>
      <c r="P144" s="840">
        <v>1438</v>
      </c>
      <c r="Q144" s="841">
        <v>3.9397260273972603</v>
      </c>
      <c r="R144" s="842" t="s">
        <v>742</v>
      </c>
      <c r="S144" s="843" t="s">
        <v>742</v>
      </c>
      <c r="T144" s="843" t="s">
        <v>742</v>
      </c>
      <c r="U144" s="844">
        <v>68579.999999999985</v>
      </c>
      <c r="V144" s="845">
        <v>102870</v>
      </c>
      <c r="W144" s="845">
        <v>171450</v>
      </c>
      <c r="X144" s="1073"/>
      <c r="Y144" s="1078">
        <v>360045</v>
      </c>
      <c r="Z144" s="1030"/>
      <c r="AA144" s="364"/>
      <c r="AB144" s="272"/>
      <c r="AC144" s="272"/>
      <c r="AD144" s="272"/>
      <c r="AE144" s="272"/>
      <c r="AF144" s="272"/>
      <c r="AG144" s="272"/>
    </row>
    <row r="145" spans="1:33" s="340" customFormat="1" hidden="1">
      <c r="A145" s="2956"/>
      <c r="B145" s="2957"/>
      <c r="C145" s="794">
        <f>SUBTOTAL(103,$D$144:D145)</f>
        <v>0</v>
      </c>
      <c r="D145" s="797" t="s">
        <v>2021</v>
      </c>
      <c r="E145" s="770" t="s">
        <v>2109</v>
      </c>
      <c r="F145" s="771" t="s">
        <v>2110</v>
      </c>
      <c r="G145" s="771"/>
      <c r="H145" s="771"/>
      <c r="I145" s="771"/>
      <c r="J145" s="772" t="s">
        <v>2111</v>
      </c>
      <c r="K145" s="1027" t="s">
        <v>2260</v>
      </c>
      <c r="L145" s="791">
        <f>'DG-PV Organic'!K140</f>
        <v>0</v>
      </c>
      <c r="M145" s="800" t="s">
        <v>742</v>
      </c>
      <c r="N145" s="800" t="s">
        <v>575</v>
      </c>
      <c r="O145" s="802">
        <v>499.75</v>
      </c>
      <c r="P145" s="794">
        <v>1528</v>
      </c>
      <c r="Q145" s="773">
        <v>4.1863013698630134</v>
      </c>
      <c r="R145" s="804" t="s">
        <v>742</v>
      </c>
      <c r="S145" s="807" t="s">
        <v>742</v>
      </c>
      <c r="T145" s="807" t="s">
        <v>742</v>
      </c>
      <c r="U145" s="809">
        <v>99950</v>
      </c>
      <c r="V145" s="811">
        <v>149925</v>
      </c>
      <c r="W145" s="811">
        <v>249875</v>
      </c>
      <c r="X145" s="1071"/>
      <c r="Y145" s="1079">
        <v>524737.5</v>
      </c>
      <c r="Z145" s="1030"/>
      <c r="AA145" s="364"/>
      <c r="AB145" s="363"/>
      <c r="AC145" s="363"/>
      <c r="AD145" s="363"/>
      <c r="AE145" s="363"/>
      <c r="AF145" s="363"/>
      <c r="AG145" s="363"/>
    </row>
    <row r="146" spans="1:33" s="340" customFormat="1" hidden="1">
      <c r="A146" s="2956"/>
      <c r="B146" s="2957"/>
      <c r="C146" s="794">
        <f>SUBTOTAL(103,$D$144:D146)</f>
        <v>0</v>
      </c>
      <c r="D146" s="797" t="s">
        <v>1887</v>
      </c>
      <c r="E146" s="770" t="s">
        <v>2112</v>
      </c>
      <c r="F146" s="771" t="s">
        <v>2113</v>
      </c>
      <c r="G146" s="771"/>
      <c r="H146" s="771"/>
      <c r="I146" s="771"/>
      <c r="J146" s="772" t="s">
        <v>2114</v>
      </c>
      <c r="K146" s="1027" t="s">
        <v>2261</v>
      </c>
      <c r="L146" s="791">
        <f>'DG-PV Organic'!K141</f>
        <v>0</v>
      </c>
      <c r="M146" s="800" t="s">
        <v>742</v>
      </c>
      <c r="N146" s="800" t="s">
        <v>515</v>
      </c>
      <c r="O146" s="802">
        <v>1099.3499999999999</v>
      </c>
      <c r="P146" s="794">
        <v>1324</v>
      </c>
      <c r="Q146" s="773">
        <f t="shared" ref="Q146:Q148" si="46">P146/365</f>
        <v>3.6273972602739728</v>
      </c>
      <c r="R146" s="804">
        <v>9.2999999999999999E-2</v>
      </c>
      <c r="S146" s="807" t="s">
        <v>742</v>
      </c>
      <c r="T146" s="807" t="s">
        <v>742</v>
      </c>
      <c r="U146" s="809">
        <v>241857</v>
      </c>
      <c r="V146" s="811">
        <v>362785.50000000006</v>
      </c>
      <c r="W146" s="811">
        <v>604642.5</v>
      </c>
      <c r="X146" s="1071"/>
      <c r="Y146" s="1079">
        <v>1269749.25</v>
      </c>
      <c r="Z146" s="1030"/>
      <c r="AA146" s="364"/>
      <c r="AB146" s="363"/>
      <c r="AC146" s="363"/>
      <c r="AD146" s="363"/>
      <c r="AE146" s="363"/>
      <c r="AF146" s="363"/>
      <c r="AG146" s="363"/>
    </row>
    <row r="147" spans="1:33" s="340" customFormat="1" hidden="1">
      <c r="A147" s="2956"/>
      <c r="B147" s="2957"/>
      <c r="C147" s="794">
        <f>SUBTOTAL(103,$D$144:D147)</f>
        <v>0</v>
      </c>
      <c r="D147" s="797" t="s">
        <v>1889</v>
      </c>
      <c r="E147" s="770" t="s">
        <v>2115</v>
      </c>
      <c r="F147" s="771" t="s">
        <v>2116</v>
      </c>
      <c r="G147" s="771"/>
      <c r="H147" s="771"/>
      <c r="I147" s="771"/>
      <c r="J147" s="772" t="s">
        <v>2117</v>
      </c>
      <c r="K147" s="1027" t="s">
        <v>2261</v>
      </c>
      <c r="L147" s="791">
        <f>'DG-PV Organic'!K142</f>
        <v>0</v>
      </c>
      <c r="M147" s="800" t="s">
        <v>742</v>
      </c>
      <c r="N147" s="800" t="s">
        <v>515</v>
      </c>
      <c r="O147" s="802">
        <v>1322.37</v>
      </c>
      <c r="P147" s="794">
        <v>1318</v>
      </c>
      <c r="Q147" s="773">
        <f t="shared" si="46"/>
        <v>3.6109589041095891</v>
      </c>
      <c r="R147" s="804">
        <v>9.2999999999999999E-2</v>
      </c>
      <c r="S147" s="807" t="s">
        <v>742</v>
      </c>
      <c r="T147" s="807" t="s">
        <v>742</v>
      </c>
      <c r="U147" s="809">
        <v>290921.39999999997</v>
      </c>
      <c r="V147" s="811">
        <v>436382.1</v>
      </c>
      <c r="W147" s="811">
        <v>727303.5</v>
      </c>
      <c r="X147" s="1071"/>
      <c r="Y147" s="1079">
        <v>1527337.35</v>
      </c>
      <c r="Z147" s="1030"/>
      <c r="AA147" s="364"/>
      <c r="AB147" s="363"/>
      <c r="AC147" s="363"/>
      <c r="AD147" s="363"/>
      <c r="AE147" s="363"/>
      <c r="AF147" s="363"/>
      <c r="AG147" s="363"/>
    </row>
    <row r="148" spans="1:33" s="340" customFormat="1" hidden="1">
      <c r="A148" s="2956"/>
      <c r="B148" s="2957"/>
      <c r="C148" s="794">
        <f>SUBTOTAL(103,$D$144:D148)</f>
        <v>0</v>
      </c>
      <c r="D148" s="797" t="s">
        <v>2019</v>
      </c>
      <c r="E148" s="770" t="s">
        <v>2118</v>
      </c>
      <c r="F148" s="771" t="s">
        <v>2119</v>
      </c>
      <c r="G148" s="771"/>
      <c r="H148" s="771"/>
      <c r="I148" s="771"/>
      <c r="J148" s="772" t="s">
        <v>2120</v>
      </c>
      <c r="K148" s="1027" t="s">
        <v>2262</v>
      </c>
      <c r="L148" s="791">
        <f>'DG-PV Organic'!K143</f>
        <v>0</v>
      </c>
      <c r="M148" s="800" t="s">
        <v>742</v>
      </c>
      <c r="N148" s="800" t="s">
        <v>515</v>
      </c>
      <c r="O148" s="802">
        <v>1111.32</v>
      </c>
      <c r="P148" s="794">
        <v>1309</v>
      </c>
      <c r="Q148" s="773">
        <f t="shared" si="46"/>
        <v>3.5863013698630137</v>
      </c>
      <c r="R148" s="804">
        <v>9.2999999999999999E-2</v>
      </c>
      <c r="S148" s="807" t="s">
        <v>742</v>
      </c>
      <c r="T148" s="807" t="s">
        <v>742</v>
      </c>
      <c r="U148" s="809">
        <v>244490.40000000002</v>
      </c>
      <c r="V148" s="811">
        <v>366735.60000000003</v>
      </c>
      <c r="W148" s="811">
        <v>611226</v>
      </c>
      <c r="X148" s="1071"/>
      <c r="Y148" s="1079">
        <v>1283574.6000000001</v>
      </c>
      <c r="Z148" s="1030"/>
      <c r="AA148" s="364"/>
      <c r="AB148" s="363"/>
      <c r="AC148" s="363"/>
      <c r="AD148" s="363"/>
      <c r="AE148" s="363"/>
      <c r="AF148" s="363"/>
      <c r="AG148" s="363"/>
    </row>
    <row r="149" spans="1:33" s="340" customFormat="1" hidden="1">
      <c r="A149" s="2956"/>
      <c r="B149" s="2957"/>
      <c r="C149" s="794">
        <f>SUBTOTAL(103,$D$144:D149)</f>
        <v>0</v>
      </c>
      <c r="D149" s="797" t="s">
        <v>1903</v>
      </c>
      <c r="E149" s="770" t="s">
        <v>2263</v>
      </c>
      <c r="F149" s="771" t="s">
        <v>2264</v>
      </c>
      <c r="G149" s="771"/>
      <c r="H149" s="771"/>
      <c r="I149" s="771"/>
      <c r="J149" s="772" t="s">
        <v>804</v>
      </c>
      <c r="K149" s="1027" t="s">
        <v>556</v>
      </c>
      <c r="L149" s="791">
        <v>385.73</v>
      </c>
      <c r="M149" s="800" t="s">
        <v>742</v>
      </c>
      <c r="N149" s="800" t="s">
        <v>515</v>
      </c>
      <c r="O149" s="802">
        <v>275.88</v>
      </c>
      <c r="P149" s="794">
        <v>1398</v>
      </c>
      <c r="Q149" s="773">
        <v>3.8301369863013699</v>
      </c>
      <c r="R149" s="804" t="s">
        <v>742</v>
      </c>
      <c r="S149" s="807" t="s">
        <v>742</v>
      </c>
      <c r="T149" s="807" t="s">
        <v>742</v>
      </c>
      <c r="U149" s="809">
        <v>55176</v>
      </c>
      <c r="V149" s="811">
        <v>82764</v>
      </c>
      <c r="W149" s="811">
        <v>137940</v>
      </c>
      <c r="X149" s="1071"/>
      <c r="Y149" s="1079">
        <v>289674</v>
      </c>
      <c r="Z149" s="1030"/>
      <c r="AA149" s="364"/>
      <c r="AB149" s="363"/>
      <c r="AC149" s="363"/>
      <c r="AD149" s="363"/>
      <c r="AE149" s="363"/>
      <c r="AF149" s="363"/>
      <c r="AG149" s="363"/>
    </row>
    <row r="150" spans="1:33" s="340" customFormat="1" hidden="1">
      <c r="A150" s="2933">
        <f>ROUND(SUM(O144:O155),1)</f>
        <v>15416.2</v>
      </c>
      <c r="B150" s="2934"/>
      <c r="C150" s="794">
        <f>SUBTOTAL(103,$D$144:D150)</f>
        <v>0</v>
      </c>
      <c r="D150" s="797" t="s">
        <v>1904</v>
      </c>
      <c r="E150" s="770" t="s">
        <v>2265</v>
      </c>
      <c r="F150" s="771" t="s">
        <v>2266</v>
      </c>
      <c r="G150" s="771"/>
      <c r="H150" s="771"/>
      <c r="I150" s="771"/>
      <c r="J150" s="772" t="s">
        <v>809</v>
      </c>
      <c r="K150" s="1027" t="s">
        <v>556</v>
      </c>
      <c r="L150" s="791">
        <v>6344.3</v>
      </c>
      <c r="M150" s="800" t="s">
        <v>742</v>
      </c>
      <c r="N150" s="800" t="s">
        <v>515</v>
      </c>
      <c r="O150" s="802">
        <v>4535.5200000000004</v>
      </c>
      <c r="P150" s="794">
        <v>1399</v>
      </c>
      <c r="Q150" s="773">
        <v>3.8328767123287673</v>
      </c>
      <c r="R150" s="804" t="s">
        <v>742</v>
      </c>
      <c r="S150" s="807" t="s">
        <v>742</v>
      </c>
      <c r="T150" s="807" t="s">
        <v>742</v>
      </c>
      <c r="U150" s="809">
        <v>907104.00000000012</v>
      </c>
      <c r="V150" s="811">
        <v>1360656.0000000002</v>
      </c>
      <c r="W150" s="811">
        <v>2267760.0000000005</v>
      </c>
      <c r="X150" s="1071"/>
      <c r="Y150" s="1079">
        <v>4762296</v>
      </c>
      <c r="Z150" s="1030"/>
      <c r="AA150" s="364"/>
      <c r="AB150" s="363"/>
      <c r="AC150" s="363"/>
      <c r="AD150" s="363"/>
      <c r="AE150" s="363"/>
      <c r="AF150" s="363"/>
      <c r="AG150" s="363"/>
    </row>
    <row r="151" spans="1:33" s="340" customFormat="1" hidden="1">
      <c r="A151" s="2933"/>
      <c r="B151" s="2934"/>
      <c r="C151" s="794">
        <f>SUBTOTAL(103,$D$144:D151)</f>
        <v>0</v>
      </c>
      <c r="D151" s="797" t="s">
        <v>1905</v>
      </c>
      <c r="E151" s="770" t="s">
        <v>2267</v>
      </c>
      <c r="F151" s="771" t="s">
        <v>2268</v>
      </c>
      <c r="G151" s="771"/>
      <c r="H151" s="771"/>
      <c r="I151" s="771"/>
      <c r="J151" s="772" t="s">
        <v>814</v>
      </c>
      <c r="K151" s="1027" t="s">
        <v>2260</v>
      </c>
      <c r="L151" s="791">
        <v>5445</v>
      </c>
      <c r="M151" s="800" t="s">
        <v>742</v>
      </c>
      <c r="N151" s="800" t="s">
        <v>515</v>
      </c>
      <c r="O151" s="802">
        <v>3818.5</v>
      </c>
      <c r="P151" s="794">
        <v>1426</v>
      </c>
      <c r="Q151" s="773">
        <v>3.9068493150684933</v>
      </c>
      <c r="R151" s="804" t="s">
        <v>742</v>
      </c>
      <c r="S151" s="807" t="s">
        <v>742</v>
      </c>
      <c r="T151" s="807" t="s">
        <v>742</v>
      </c>
      <c r="U151" s="809">
        <v>763700</v>
      </c>
      <c r="V151" s="811">
        <v>1145550</v>
      </c>
      <c r="W151" s="811">
        <v>1909250</v>
      </c>
      <c r="X151" s="1071"/>
      <c r="Y151" s="1079">
        <v>4009425</v>
      </c>
      <c r="Z151" s="1030"/>
      <c r="AA151" s="364"/>
      <c r="AB151" s="363"/>
      <c r="AC151" s="363"/>
      <c r="AD151" s="363"/>
      <c r="AE151" s="363"/>
      <c r="AF151" s="363"/>
      <c r="AG151" s="363"/>
    </row>
    <row r="152" spans="1:33" s="340" customFormat="1" hidden="1">
      <c r="A152" s="2933"/>
      <c r="B152" s="2934"/>
      <c r="C152" s="794">
        <f>SUBTOTAL(103,$D$144:D152)</f>
        <v>0</v>
      </c>
      <c r="D152" s="797" t="s">
        <v>1906</v>
      </c>
      <c r="E152" s="770" t="s">
        <v>2269</v>
      </c>
      <c r="F152" s="771" t="s">
        <v>2270</v>
      </c>
      <c r="G152" s="771"/>
      <c r="H152" s="771"/>
      <c r="I152" s="771"/>
      <c r="J152" s="772" t="s">
        <v>819</v>
      </c>
      <c r="K152" s="1027" t="s">
        <v>556</v>
      </c>
      <c r="L152" s="791">
        <v>645.89</v>
      </c>
      <c r="M152" s="800" t="s">
        <v>742</v>
      </c>
      <c r="N152" s="800" t="s">
        <v>515</v>
      </c>
      <c r="O152" s="802">
        <v>453.42</v>
      </c>
      <c r="P152" s="794">
        <v>1422</v>
      </c>
      <c r="Q152" s="773">
        <v>3.8958904109589043</v>
      </c>
      <c r="R152" s="804" t="s">
        <v>742</v>
      </c>
      <c r="S152" s="807" t="s">
        <v>742</v>
      </c>
      <c r="T152" s="807" t="s">
        <v>742</v>
      </c>
      <c r="U152" s="809">
        <v>90684</v>
      </c>
      <c r="V152" s="811">
        <v>136026</v>
      </c>
      <c r="W152" s="811">
        <v>226710</v>
      </c>
      <c r="X152" s="1071"/>
      <c r="Y152" s="1079">
        <v>476091</v>
      </c>
      <c r="Z152" s="1030"/>
      <c r="AA152" s="364"/>
      <c r="AB152" s="363"/>
      <c r="AC152" s="363"/>
      <c r="AD152" s="363"/>
      <c r="AE152" s="363"/>
      <c r="AF152" s="363"/>
      <c r="AG152" s="363"/>
    </row>
    <row r="153" spans="1:33" s="340" customFormat="1" hidden="1">
      <c r="A153" s="2933"/>
      <c r="B153" s="2934"/>
      <c r="C153" s="794">
        <f>SUBTOTAL(103,$D$144:D153)</f>
        <v>0</v>
      </c>
      <c r="D153" s="797" t="s">
        <v>1907</v>
      </c>
      <c r="E153" s="770" t="s">
        <v>2271</v>
      </c>
      <c r="F153" s="771" t="s">
        <v>2272</v>
      </c>
      <c r="G153" s="771"/>
      <c r="H153" s="771"/>
      <c r="I153" s="771"/>
      <c r="J153" s="772" t="s">
        <v>1137</v>
      </c>
      <c r="K153" s="1027" t="s">
        <v>2260</v>
      </c>
      <c r="L153" s="791">
        <v>1311.2</v>
      </c>
      <c r="M153" s="800" t="s">
        <v>742</v>
      </c>
      <c r="N153" s="800" t="s">
        <v>515</v>
      </c>
      <c r="O153" s="802">
        <v>769.56</v>
      </c>
      <c r="P153" s="794">
        <v>1467</v>
      </c>
      <c r="Q153" s="773">
        <v>4.0191780821917806</v>
      </c>
      <c r="R153" s="804" t="s">
        <v>742</v>
      </c>
      <c r="S153" s="807" t="s">
        <v>742</v>
      </c>
      <c r="T153" s="807" t="s">
        <v>742</v>
      </c>
      <c r="U153" s="809">
        <v>153912</v>
      </c>
      <c r="V153" s="811">
        <v>230867.99999999997</v>
      </c>
      <c r="W153" s="811">
        <v>384780</v>
      </c>
      <c r="X153" s="1071"/>
      <c r="Y153" s="1079">
        <v>808038</v>
      </c>
      <c r="Z153" s="1030"/>
      <c r="AA153" s="364"/>
      <c r="AB153" s="363"/>
      <c r="AC153" s="363"/>
      <c r="AD153" s="363"/>
      <c r="AE153" s="363"/>
      <c r="AF153" s="363"/>
      <c r="AG153" s="363"/>
    </row>
    <row r="154" spans="1:33" s="340" customFormat="1" hidden="1">
      <c r="A154" s="2933"/>
      <c r="B154" s="2934"/>
      <c r="C154" s="794">
        <f>SUBTOTAL(103,$D$144:D154)</f>
        <v>0</v>
      </c>
      <c r="D154" s="797" t="s">
        <v>1908</v>
      </c>
      <c r="E154" s="770" t="s">
        <v>2273</v>
      </c>
      <c r="F154" s="771" t="s">
        <v>2274</v>
      </c>
      <c r="G154" s="771"/>
      <c r="H154" s="771"/>
      <c r="I154" s="771"/>
      <c r="J154" s="772" t="s">
        <v>1142</v>
      </c>
      <c r="K154" s="1027" t="s">
        <v>743</v>
      </c>
      <c r="L154" s="791">
        <v>1071.7</v>
      </c>
      <c r="M154" s="800" t="s">
        <v>742</v>
      </c>
      <c r="N154" s="800" t="s">
        <v>515</v>
      </c>
      <c r="O154" s="802">
        <v>773.5</v>
      </c>
      <c r="P154" s="794">
        <v>1386</v>
      </c>
      <c r="Q154" s="773">
        <v>3.7972602739726029</v>
      </c>
      <c r="R154" s="804" t="s">
        <v>742</v>
      </c>
      <c r="S154" s="807" t="s">
        <v>742</v>
      </c>
      <c r="T154" s="807" t="s">
        <v>742</v>
      </c>
      <c r="U154" s="809">
        <v>154700</v>
      </c>
      <c r="V154" s="811">
        <v>232050</v>
      </c>
      <c r="W154" s="811">
        <v>386750</v>
      </c>
      <c r="X154" s="1071"/>
      <c r="Y154" s="1079">
        <v>812175</v>
      </c>
      <c r="Z154" s="1030"/>
      <c r="AA154" s="364"/>
      <c r="AB154" s="363"/>
      <c r="AC154" s="363"/>
      <c r="AD154" s="363"/>
      <c r="AE154" s="363"/>
      <c r="AF154" s="363"/>
      <c r="AG154" s="363"/>
    </row>
    <row r="155" spans="1:33" s="340" customFormat="1" hidden="1">
      <c r="A155" s="2935"/>
      <c r="B155" s="2936"/>
      <c r="C155" s="831">
        <f>SUBTOTAL(103,$D$144:D155)</f>
        <v>0</v>
      </c>
      <c r="D155" s="798" t="s">
        <v>1909</v>
      </c>
      <c r="E155" s="775" t="s">
        <v>2275</v>
      </c>
      <c r="F155" s="776" t="s">
        <v>2276</v>
      </c>
      <c r="G155" s="776"/>
      <c r="H155" s="776"/>
      <c r="I155" s="776"/>
      <c r="J155" s="777" t="s">
        <v>1147</v>
      </c>
      <c r="K155" s="1028" t="s">
        <v>584</v>
      </c>
      <c r="L155" s="792">
        <v>533270.6</v>
      </c>
      <c r="M155" s="801" t="s">
        <v>742</v>
      </c>
      <c r="N155" s="801" t="s">
        <v>515</v>
      </c>
      <c r="O155" s="801">
        <v>414.12</v>
      </c>
      <c r="P155" s="795" t="s">
        <v>793</v>
      </c>
      <c r="Q155" s="778" t="s">
        <v>793</v>
      </c>
      <c r="R155" s="805" t="s">
        <v>742</v>
      </c>
      <c r="S155" s="808" t="s">
        <v>742</v>
      </c>
      <c r="T155" s="808" t="s">
        <v>742</v>
      </c>
      <c r="U155" s="810">
        <v>82824</v>
      </c>
      <c r="V155" s="812">
        <v>124236</v>
      </c>
      <c r="W155" s="812">
        <v>207060</v>
      </c>
      <c r="X155" s="1072"/>
      <c r="Y155" s="1080">
        <v>434826</v>
      </c>
      <c r="Z155" s="1030"/>
      <c r="AA155" s="363"/>
      <c r="AB155" s="363"/>
      <c r="AC155" s="363"/>
      <c r="AD155" s="363"/>
      <c r="AE155" s="363"/>
      <c r="AF155" s="363"/>
      <c r="AG155" s="363"/>
    </row>
    <row r="156" spans="1:33" s="340" customFormat="1" hidden="1">
      <c r="A156" s="363"/>
      <c r="B156" s="272"/>
      <c r="C156" s="273"/>
      <c r="D156" s="366"/>
      <c r="E156" s="272"/>
      <c r="F156" s="365"/>
      <c r="G156" s="365"/>
      <c r="H156" s="365"/>
      <c r="I156" s="365"/>
      <c r="J156" s="272"/>
      <c r="K156" s="578"/>
      <c r="L156" s="582"/>
      <c r="M156" s="273"/>
      <c r="N156" s="273"/>
      <c r="O156" s="582"/>
      <c r="P156" s="36"/>
      <c r="Q156" s="32"/>
      <c r="R156" s="572"/>
      <c r="S156" s="363"/>
      <c r="T156" s="363"/>
      <c r="U156" s="364"/>
      <c r="V156" s="364"/>
      <c r="W156" s="364"/>
      <c r="X156" s="364"/>
      <c r="Y156" s="1077"/>
      <c r="Z156" s="364"/>
      <c r="AA156" s="363"/>
      <c r="AB156" s="363"/>
      <c r="AC156" s="363"/>
      <c r="AD156" s="363"/>
      <c r="AE156" s="363"/>
      <c r="AF156" s="363"/>
      <c r="AG156" s="363"/>
    </row>
    <row r="157" spans="1:33" s="340" customFormat="1">
      <c r="A157" s="363"/>
      <c r="B157" s="272"/>
      <c r="C157" s="273"/>
      <c r="D157" s="366"/>
      <c r="E157" s="272"/>
      <c r="F157" s="365"/>
      <c r="G157" s="365"/>
      <c r="H157" s="365"/>
      <c r="I157" s="365"/>
      <c r="J157" s="272"/>
      <c r="K157" s="578"/>
      <c r="L157" s="582"/>
      <c r="M157" s="273"/>
      <c r="N157" s="273"/>
      <c r="O157" s="582"/>
      <c r="P157" s="36"/>
      <c r="Q157" s="32"/>
      <c r="R157" s="273"/>
      <c r="S157" s="363"/>
      <c r="T157" s="363"/>
      <c r="U157" s="364"/>
      <c r="V157" s="364"/>
      <c r="W157" s="364"/>
      <c r="X157" s="364"/>
      <c r="Y157" s="1077"/>
      <c r="Z157" s="364"/>
      <c r="AA157" s="363"/>
      <c r="AB157" s="363"/>
      <c r="AC157" s="363"/>
      <c r="AD157" s="363"/>
      <c r="AE157" s="363"/>
      <c r="AF157" s="363"/>
      <c r="AG157" s="363"/>
    </row>
    <row r="158" spans="1:33" s="340" customFormat="1">
      <c r="A158" s="363"/>
      <c r="B158" s="272"/>
      <c r="C158" s="273"/>
      <c r="D158" s="366"/>
      <c r="E158" s="272"/>
      <c r="F158" s="365"/>
      <c r="G158" s="365"/>
      <c r="H158" s="365"/>
      <c r="I158" s="365"/>
      <c r="J158" s="272"/>
      <c r="K158" s="578"/>
      <c r="L158" s="582"/>
      <c r="M158" s="273"/>
      <c r="N158" s="273"/>
      <c r="O158" s="582"/>
      <c r="P158" s="36"/>
      <c r="Q158" s="32"/>
      <c r="R158" s="273"/>
      <c r="S158" s="363"/>
      <c r="T158" s="363"/>
      <c r="U158" s="364"/>
      <c r="V158" s="364"/>
      <c r="W158" s="364"/>
      <c r="X158" s="364"/>
      <c r="Y158" s="1077"/>
      <c r="Z158" s="364"/>
      <c r="AA158" s="363"/>
      <c r="AB158" s="363"/>
      <c r="AC158" s="363"/>
      <c r="AD158" s="363"/>
      <c r="AE158" s="363"/>
      <c r="AF158" s="363"/>
      <c r="AG158" s="363"/>
    </row>
    <row r="159" spans="1:33" s="340" customFormat="1">
      <c r="A159" s="363"/>
      <c r="B159" s="272"/>
      <c r="C159" s="273"/>
      <c r="D159" s="366"/>
      <c r="E159" s="272"/>
      <c r="F159" s="365"/>
      <c r="G159" s="365"/>
      <c r="H159" s="365"/>
      <c r="I159" s="365"/>
      <c r="J159" s="272"/>
      <c r="K159" s="578"/>
      <c r="L159" s="582"/>
      <c r="M159" s="273"/>
      <c r="N159" s="273"/>
      <c r="O159" s="582"/>
      <c r="P159" s="36"/>
      <c r="Q159" s="32"/>
      <c r="R159" s="273"/>
      <c r="S159" s="363"/>
      <c r="T159" s="363"/>
      <c r="U159" s="364"/>
      <c r="V159" s="364"/>
      <c r="W159" s="364"/>
      <c r="X159" s="364"/>
      <c r="Y159" s="1077"/>
      <c r="Z159" s="364"/>
      <c r="AA159" s="363"/>
      <c r="AB159" s="363"/>
      <c r="AC159" s="363"/>
      <c r="AD159" s="363"/>
      <c r="AE159" s="363"/>
      <c r="AF159" s="363"/>
      <c r="AG159" s="363"/>
    </row>
    <row r="160" spans="1:33" s="340" customFormat="1">
      <c r="A160" s="363"/>
      <c r="B160" s="272"/>
      <c r="C160" s="273"/>
      <c r="D160" s="366"/>
      <c r="E160" s="272"/>
      <c r="F160" s="365"/>
      <c r="G160" s="365"/>
      <c r="H160" s="365"/>
      <c r="I160" s="365"/>
      <c r="J160" s="272"/>
      <c r="K160" s="578"/>
      <c r="L160" s="582"/>
      <c r="M160" s="273"/>
      <c r="N160" s="273"/>
      <c r="O160" s="582"/>
      <c r="P160" s="36"/>
      <c r="Q160" s="32"/>
      <c r="R160" s="273"/>
      <c r="S160" s="363"/>
      <c r="T160" s="363"/>
      <c r="U160" s="364"/>
      <c r="V160" s="364"/>
      <c r="W160" s="364"/>
      <c r="X160" s="364"/>
      <c r="Y160" s="1077"/>
      <c r="Z160" s="364"/>
      <c r="AA160" s="363"/>
      <c r="AB160" s="363"/>
      <c r="AC160" s="363"/>
      <c r="AD160" s="363"/>
      <c r="AE160" s="363"/>
      <c r="AF160" s="363"/>
      <c r="AG160" s="363"/>
    </row>
    <row r="161" spans="1:33" s="340" customFormat="1">
      <c r="A161" s="363"/>
      <c r="B161" s="272"/>
      <c r="C161" s="273"/>
      <c r="D161" s="366"/>
      <c r="E161" s="272"/>
      <c r="F161" s="365"/>
      <c r="G161" s="365"/>
      <c r="H161" s="365"/>
      <c r="I161" s="365"/>
      <c r="J161" s="272"/>
      <c r="K161" s="578"/>
      <c r="L161" s="582"/>
      <c r="M161" s="273"/>
      <c r="N161" s="273"/>
      <c r="O161" s="582"/>
      <c r="P161" s="36"/>
      <c r="Q161" s="32"/>
      <c r="R161" s="273"/>
      <c r="S161" s="363"/>
      <c r="T161" s="363"/>
      <c r="U161" s="364"/>
      <c r="V161" s="364"/>
      <c r="W161" s="364"/>
      <c r="X161" s="364"/>
      <c r="Y161" s="1077"/>
      <c r="Z161" s="364"/>
      <c r="AA161" s="363"/>
      <c r="AB161" s="363"/>
      <c r="AC161" s="363"/>
      <c r="AD161" s="363"/>
      <c r="AE161" s="363"/>
      <c r="AF161" s="363"/>
      <c r="AG161" s="363"/>
    </row>
    <row r="162" spans="1:33" s="340" customFormat="1">
      <c r="A162" s="363"/>
      <c r="B162" s="272"/>
      <c r="C162" s="273"/>
      <c r="D162" s="366"/>
      <c r="E162" s="272"/>
      <c r="F162" s="365"/>
      <c r="G162" s="365"/>
      <c r="H162" s="365"/>
      <c r="I162" s="365"/>
      <c r="J162" s="272"/>
      <c r="K162" s="578"/>
      <c r="L162" s="582"/>
      <c r="M162" s="273"/>
      <c r="N162" s="273"/>
      <c r="O162" s="582"/>
      <c r="P162" s="36"/>
      <c r="Q162" s="32"/>
      <c r="R162" s="273"/>
      <c r="S162" s="363"/>
      <c r="T162" s="363"/>
      <c r="U162" s="364"/>
      <c r="V162" s="364"/>
      <c r="W162" s="364"/>
      <c r="X162" s="364"/>
      <c r="Y162" s="1077"/>
      <c r="Z162" s="364"/>
      <c r="AA162" s="363"/>
      <c r="AB162" s="363"/>
      <c r="AC162" s="363"/>
      <c r="AD162" s="363"/>
      <c r="AE162" s="363"/>
      <c r="AF162" s="363"/>
      <c r="AG162" s="363"/>
    </row>
    <row r="163" spans="1:33" s="340" customFormat="1">
      <c r="A163" s="363"/>
      <c r="B163" s="272"/>
      <c r="C163" s="273"/>
      <c r="D163" s="366"/>
      <c r="E163" s="272"/>
      <c r="F163" s="365"/>
      <c r="G163" s="365"/>
      <c r="H163" s="365"/>
      <c r="I163" s="365"/>
      <c r="J163" s="272"/>
      <c r="K163" s="578"/>
      <c r="L163" s="582"/>
      <c r="M163" s="273"/>
      <c r="N163" s="273"/>
      <c r="O163" s="582"/>
      <c r="P163" s="36"/>
      <c r="Q163" s="32"/>
      <c r="R163" s="273"/>
      <c r="S163" s="363"/>
      <c r="T163" s="363"/>
      <c r="U163" s="364"/>
      <c r="V163" s="364"/>
      <c r="W163" s="364"/>
      <c r="X163" s="364"/>
      <c r="Y163" s="1077"/>
      <c r="Z163" s="364"/>
      <c r="AA163" s="363"/>
      <c r="AB163" s="363"/>
      <c r="AC163" s="363"/>
      <c r="AD163" s="363"/>
      <c r="AE163" s="363"/>
      <c r="AF163" s="363"/>
      <c r="AG163" s="363"/>
    </row>
    <row r="164" spans="1:33" s="340" customFormat="1">
      <c r="A164" s="363"/>
      <c r="B164" s="272"/>
      <c r="C164" s="273"/>
      <c r="D164" s="366"/>
      <c r="E164" s="272"/>
      <c r="F164" s="365"/>
      <c r="G164" s="365"/>
      <c r="H164" s="365"/>
      <c r="I164" s="365"/>
      <c r="J164" s="272"/>
      <c r="K164" s="578"/>
      <c r="L164" s="582"/>
      <c r="M164" s="273"/>
      <c r="N164" s="273"/>
      <c r="O164" s="582"/>
      <c r="P164" s="36"/>
      <c r="Q164" s="32"/>
      <c r="R164" s="273"/>
      <c r="S164" s="363"/>
      <c r="T164" s="363"/>
      <c r="U164" s="364"/>
      <c r="V164" s="364"/>
      <c r="W164" s="364"/>
      <c r="X164" s="364"/>
      <c r="Y164" s="1077"/>
      <c r="Z164" s="364"/>
      <c r="AA164" s="363"/>
      <c r="AB164" s="363"/>
      <c r="AC164" s="363"/>
      <c r="AD164" s="363"/>
      <c r="AE164" s="363"/>
      <c r="AF164" s="363"/>
      <c r="AG164" s="363"/>
    </row>
    <row r="165" spans="1:33" s="340" customFormat="1">
      <c r="A165" s="363"/>
      <c r="B165" s="272"/>
      <c r="C165" s="273"/>
      <c r="D165" s="366"/>
      <c r="E165" s="272"/>
      <c r="F165" s="365"/>
      <c r="G165" s="365"/>
      <c r="H165" s="365"/>
      <c r="I165" s="365"/>
      <c r="J165" s="272"/>
      <c r="K165" s="578"/>
      <c r="L165" s="582"/>
      <c r="M165" s="273"/>
      <c r="N165" s="273"/>
      <c r="O165" s="582"/>
      <c r="P165" s="36"/>
      <c r="Q165" s="32"/>
      <c r="R165" s="273"/>
      <c r="S165" s="363"/>
      <c r="T165" s="363"/>
      <c r="U165" s="364"/>
      <c r="V165" s="364"/>
      <c r="W165" s="364"/>
      <c r="X165" s="364"/>
      <c r="Y165" s="1077"/>
      <c r="Z165" s="364"/>
      <c r="AA165" s="363"/>
      <c r="AB165" s="363"/>
      <c r="AC165" s="363"/>
      <c r="AD165" s="363"/>
      <c r="AE165" s="363"/>
      <c r="AF165" s="363"/>
      <c r="AG165" s="363"/>
    </row>
    <row r="166" spans="1:33" s="340" customFormat="1">
      <c r="A166" s="363"/>
      <c r="B166" s="272"/>
      <c r="C166" s="273"/>
      <c r="D166" s="366"/>
      <c r="E166" s="272"/>
      <c r="F166" s="365"/>
      <c r="G166" s="365"/>
      <c r="H166" s="365"/>
      <c r="I166" s="365"/>
      <c r="J166" s="272"/>
      <c r="K166" s="578"/>
      <c r="L166" s="582"/>
      <c r="M166" s="273"/>
      <c r="N166" s="273"/>
      <c r="O166" s="582"/>
      <c r="P166" s="36"/>
      <c r="Q166" s="32"/>
      <c r="R166" s="273"/>
      <c r="S166" s="363"/>
      <c r="T166" s="363"/>
      <c r="U166" s="364"/>
      <c r="V166" s="364"/>
      <c r="W166" s="364"/>
      <c r="X166" s="364"/>
      <c r="Y166" s="1077"/>
      <c r="Z166" s="364"/>
      <c r="AA166" s="363"/>
      <c r="AB166" s="363"/>
      <c r="AC166" s="363"/>
      <c r="AD166" s="363"/>
      <c r="AE166" s="363"/>
      <c r="AF166" s="363"/>
      <c r="AG166" s="363"/>
    </row>
    <row r="167" spans="1:33" s="340" customFormat="1">
      <c r="A167" s="363"/>
      <c r="B167" s="272"/>
      <c r="C167" s="273"/>
      <c r="D167" s="366"/>
      <c r="E167" s="272"/>
      <c r="F167" s="365"/>
      <c r="G167" s="365"/>
      <c r="H167" s="365"/>
      <c r="I167" s="365"/>
      <c r="J167" s="272"/>
      <c r="K167" s="578"/>
      <c r="L167" s="582"/>
      <c r="M167" s="273"/>
      <c r="N167" s="273"/>
      <c r="O167" s="582"/>
      <c r="P167" s="36"/>
      <c r="Q167" s="32"/>
      <c r="R167" s="273"/>
      <c r="S167" s="363"/>
      <c r="T167" s="363"/>
      <c r="U167" s="364"/>
      <c r="V167" s="364"/>
      <c r="W167" s="364"/>
      <c r="X167" s="364"/>
      <c r="Y167" s="1077"/>
      <c r="Z167" s="364"/>
      <c r="AA167" s="363"/>
      <c r="AB167" s="363"/>
      <c r="AC167" s="363"/>
      <c r="AD167" s="363"/>
      <c r="AE167" s="363"/>
      <c r="AF167" s="363"/>
      <c r="AG167" s="363"/>
    </row>
    <row r="168" spans="1:33" s="340" customFormat="1">
      <c r="A168" s="363"/>
      <c r="B168" s="272"/>
      <c r="C168" s="273"/>
      <c r="D168" s="366"/>
      <c r="E168" s="272"/>
      <c r="F168" s="365"/>
      <c r="G168" s="365"/>
      <c r="H168" s="365"/>
      <c r="I168" s="365"/>
      <c r="J168" s="272"/>
      <c r="K168" s="578"/>
      <c r="L168" s="582"/>
      <c r="M168" s="273"/>
      <c r="N168" s="273"/>
      <c r="O168" s="582"/>
      <c r="P168" s="36"/>
      <c r="Q168" s="32"/>
      <c r="R168" s="273"/>
      <c r="S168" s="363"/>
      <c r="T168" s="363"/>
      <c r="U168" s="364"/>
      <c r="V168" s="364"/>
      <c r="W168" s="364"/>
      <c r="X168" s="364"/>
      <c r="Y168" s="1077"/>
      <c r="Z168" s="364"/>
      <c r="AA168" s="363"/>
      <c r="AB168" s="363"/>
      <c r="AC168" s="363"/>
      <c r="AD168" s="363"/>
      <c r="AE168" s="363"/>
      <c r="AF168" s="363"/>
      <c r="AG168" s="363"/>
    </row>
    <row r="169" spans="1:33" s="340" customFormat="1">
      <c r="A169" s="363"/>
      <c r="B169" s="272"/>
      <c r="C169" s="273"/>
      <c r="D169" s="366"/>
      <c r="E169" s="272"/>
      <c r="F169" s="365"/>
      <c r="G169" s="365"/>
      <c r="H169" s="365"/>
      <c r="I169" s="365"/>
      <c r="J169" s="272"/>
      <c r="K169" s="578"/>
      <c r="L169" s="582"/>
      <c r="M169" s="273"/>
      <c r="N169" s="273"/>
      <c r="O169" s="582"/>
      <c r="P169" s="36"/>
      <c r="Q169" s="32"/>
      <c r="R169" s="273"/>
      <c r="S169" s="363"/>
      <c r="T169" s="363"/>
      <c r="U169" s="364"/>
      <c r="V169" s="364"/>
      <c r="W169" s="364"/>
      <c r="X169" s="364"/>
      <c r="Y169" s="1077"/>
      <c r="Z169" s="364"/>
      <c r="AA169" s="363"/>
      <c r="AB169" s="363"/>
      <c r="AC169" s="363"/>
      <c r="AD169" s="363"/>
      <c r="AE169" s="363"/>
      <c r="AF169" s="363"/>
      <c r="AG169" s="363"/>
    </row>
    <row r="170" spans="1:33" s="340" customFormat="1">
      <c r="A170" s="363"/>
      <c r="B170" s="272"/>
      <c r="C170" s="273"/>
      <c r="D170" s="366"/>
      <c r="E170" s="272"/>
      <c r="F170" s="365"/>
      <c r="G170" s="365"/>
      <c r="H170" s="365"/>
      <c r="I170" s="365"/>
      <c r="J170" s="272"/>
      <c r="K170" s="578"/>
      <c r="L170" s="582"/>
      <c r="M170" s="273"/>
      <c r="N170" s="273"/>
      <c r="O170" s="582"/>
      <c r="P170" s="36"/>
      <c r="Q170" s="32"/>
      <c r="R170" s="273"/>
      <c r="S170" s="363"/>
      <c r="T170" s="363"/>
      <c r="U170" s="364"/>
      <c r="V170" s="364"/>
      <c r="W170" s="364"/>
      <c r="X170" s="364"/>
      <c r="Y170" s="1077"/>
      <c r="Z170" s="364"/>
      <c r="AA170" s="363"/>
      <c r="AB170" s="363"/>
      <c r="AC170" s="363"/>
      <c r="AD170" s="363"/>
      <c r="AE170" s="363"/>
      <c r="AF170" s="363"/>
      <c r="AG170" s="363"/>
    </row>
    <row r="171" spans="1:33" s="340" customFormat="1">
      <c r="A171" s="363"/>
      <c r="B171" s="272"/>
      <c r="C171" s="273"/>
      <c r="D171" s="366"/>
      <c r="E171" s="272"/>
      <c r="F171" s="365"/>
      <c r="G171" s="365"/>
      <c r="H171" s="365"/>
      <c r="I171" s="365"/>
      <c r="J171" s="272"/>
      <c r="K171" s="578"/>
      <c r="L171" s="582"/>
      <c r="M171" s="273"/>
      <c r="N171" s="273"/>
      <c r="O171" s="582"/>
      <c r="P171" s="36"/>
      <c r="Q171" s="32"/>
      <c r="R171" s="273"/>
      <c r="S171" s="363"/>
      <c r="T171" s="363"/>
      <c r="U171" s="364"/>
      <c r="V171" s="364"/>
      <c r="W171" s="364"/>
      <c r="X171" s="364"/>
      <c r="Y171" s="1077"/>
      <c r="Z171" s="364"/>
      <c r="AA171" s="363"/>
      <c r="AB171" s="363"/>
      <c r="AC171" s="363"/>
      <c r="AD171" s="363"/>
      <c r="AE171" s="363"/>
      <c r="AF171" s="363"/>
      <c r="AG171" s="363"/>
    </row>
    <row r="172" spans="1:33" s="340" customFormat="1">
      <c r="A172" s="363"/>
      <c r="B172" s="272"/>
      <c r="C172" s="273"/>
      <c r="D172" s="361"/>
      <c r="E172" s="272"/>
      <c r="F172" s="365"/>
      <c r="G172" s="365"/>
      <c r="H172" s="365"/>
      <c r="I172" s="365"/>
      <c r="J172" s="272"/>
      <c r="K172" s="578"/>
      <c r="L172" s="582"/>
      <c r="M172" s="273"/>
      <c r="N172" s="273"/>
      <c r="O172" s="582"/>
      <c r="P172" s="36"/>
      <c r="Q172" s="32"/>
      <c r="R172" s="273"/>
      <c r="S172" s="363"/>
      <c r="T172" s="363"/>
      <c r="U172" s="364"/>
      <c r="V172" s="364"/>
      <c r="W172" s="364"/>
      <c r="X172" s="364"/>
      <c r="Y172" s="1077"/>
      <c r="Z172" s="364"/>
      <c r="AA172" s="363"/>
      <c r="AB172" s="363"/>
      <c r="AC172" s="363"/>
      <c r="AD172" s="363"/>
      <c r="AE172" s="363"/>
      <c r="AF172" s="363"/>
      <c r="AG172" s="363"/>
    </row>
    <row r="173" spans="1:33" s="340" customFormat="1">
      <c r="A173" s="363"/>
      <c r="B173" s="272"/>
      <c r="C173" s="273"/>
      <c r="D173" s="361"/>
      <c r="E173" s="272"/>
      <c r="F173" s="365"/>
      <c r="G173" s="365"/>
      <c r="H173" s="365"/>
      <c r="I173" s="365"/>
      <c r="J173" s="272"/>
      <c r="K173" s="578"/>
      <c r="L173" s="582"/>
      <c r="M173" s="273"/>
      <c r="N173" s="273"/>
      <c r="O173" s="582"/>
      <c r="P173" s="36"/>
      <c r="Q173" s="32"/>
      <c r="R173" s="273"/>
      <c r="S173" s="363"/>
      <c r="T173" s="363"/>
      <c r="U173" s="364"/>
      <c r="V173" s="364"/>
      <c r="W173" s="364"/>
      <c r="X173" s="364"/>
      <c r="Y173" s="1077"/>
      <c r="Z173" s="364"/>
      <c r="AA173" s="363"/>
      <c r="AB173" s="363"/>
      <c r="AC173" s="363"/>
      <c r="AD173" s="363"/>
      <c r="AE173" s="363"/>
      <c r="AF173" s="363"/>
      <c r="AG173" s="363"/>
    </row>
    <row r="174" spans="1:33" s="340" customFormat="1">
      <c r="A174" s="363"/>
      <c r="B174" s="272"/>
      <c r="C174" s="273"/>
      <c r="D174" s="361"/>
      <c r="E174" s="272"/>
      <c r="F174" s="365"/>
      <c r="G174" s="365"/>
      <c r="H174" s="365"/>
      <c r="I174" s="365"/>
      <c r="J174" s="272"/>
      <c r="K174" s="578"/>
      <c r="L174" s="582"/>
      <c r="M174" s="273"/>
      <c r="N174" s="273"/>
      <c r="O174" s="582"/>
      <c r="P174" s="36"/>
      <c r="Q174" s="32"/>
      <c r="R174" s="273"/>
      <c r="S174" s="363"/>
      <c r="T174" s="363"/>
      <c r="U174" s="364"/>
      <c r="V174" s="364"/>
      <c r="W174" s="364"/>
      <c r="X174" s="364"/>
      <c r="Y174" s="1077"/>
      <c r="Z174" s="364"/>
      <c r="AA174" s="363"/>
      <c r="AB174" s="363"/>
      <c r="AC174" s="363"/>
      <c r="AD174" s="363"/>
      <c r="AE174" s="363"/>
      <c r="AF174" s="363"/>
      <c r="AG174" s="363"/>
    </row>
    <row r="175" spans="1:33" s="340" customFormat="1">
      <c r="A175" s="363"/>
      <c r="B175" s="272"/>
      <c r="C175" s="273"/>
      <c r="D175" s="361"/>
      <c r="E175" s="272"/>
      <c r="F175" s="365"/>
      <c r="G175" s="365"/>
      <c r="H175" s="365"/>
      <c r="I175" s="365"/>
      <c r="J175" s="272"/>
      <c r="K175" s="578"/>
      <c r="L175" s="582"/>
      <c r="M175" s="273"/>
      <c r="N175" s="273"/>
      <c r="O175" s="582"/>
      <c r="P175" s="36"/>
      <c r="Q175" s="32"/>
      <c r="R175" s="273"/>
      <c r="S175" s="363"/>
      <c r="T175" s="363"/>
      <c r="U175" s="364"/>
      <c r="V175" s="364"/>
      <c r="W175" s="364"/>
      <c r="X175" s="364"/>
      <c r="Y175" s="1077"/>
      <c r="Z175" s="364"/>
      <c r="AA175" s="363"/>
      <c r="AB175" s="363"/>
      <c r="AC175" s="363"/>
      <c r="AD175" s="363"/>
      <c r="AE175" s="363"/>
      <c r="AF175" s="363"/>
      <c r="AG175" s="363"/>
    </row>
    <row r="176" spans="1:33" s="340" customFormat="1">
      <c r="A176" s="363"/>
      <c r="B176" s="272"/>
      <c r="C176" s="273"/>
      <c r="D176" s="361"/>
      <c r="E176" s="272"/>
      <c r="F176" s="365"/>
      <c r="G176" s="365"/>
      <c r="H176" s="365"/>
      <c r="I176" s="365"/>
      <c r="J176" s="272"/>
      <c r="K176" s="578"/>
      <c r="L176" s="582"/>
      <c r="M176" s="273"/>
      <c r="N176" s="273"/>
      <c r="O176" s="582"/>
      <c r="P176" s="36"/>
      <c r="Q176" s="32"/>
      <c r="R176" s="273"/>
      <c r="S176" s="363"/>
      <c r="T176" s="363"/>
      <c r="U176" s="364"/>
      <c r="V176" s="364"/>
      <c r="W176" s="364"/>
      <c r="X176" s="364"/>
      <c r="Y176" s="1077"/>
      <c r="Z176" s="364"/>
      <c r="AA176" s="363"/>
      <c r="AB176" s="363"/>
      <c r="AC176" s="363"/>
      <c r="AD176" s="363"/>
      <c r="AE176" s="363"/>
      <c r="AF176" s="363"/>
      <c r="AG176" s="363"/>
    </row>
    <row r="177" spans="1:33" s="340" customFormat="1">
      <c r="A177" s="363"/>
      <c r="B177" s="272"/>
      <c r="C177" s="273"/>
      <c r="D177" s="361"/>
      <c r="E177" s="272"/>
      <c r="F177" s="365"/>
      <c r="G177" s="365"/>
      <c r="H177" s="365"/>
      <c r="I177" s="365"/>
      <c r="J177" s="272"/>
      <c r="K177" s="578"/>
      <c r="L177" s="582"/>
      <c r="M177" s="273"/>
      <c r="N177" s="273"/>
      <c r="O177" s="582"/>
      <c r="P177" s="36"/>
      <c r="Q177" s="32"/>
      <c r="R177" s="273"/>
      <c r="S177" s="363"/>
      <c r="T177" s="363"/>
      <c r="U177" s="364"/>
      <c r="V177" s="364"/>
      <c r="W177" s="364"/>
      <c r="X177" s="364"/>
      <c r="Y177" s="1077"/>
      <c r="Z177" s="364"/>
      <c r="AA177" s="363"/>
      <c r="AB177" s="363"/>
      <c r="AC177" s="363"/>
      <c r="AD177" s="363"/>
      <c r="AE177" s="363"/>
      <c r="AF177" s="363"/>
      <c r="AG177" s="363"/>
    </row>
    <row r="178" spans="1:33" s="340" customFormat="1">
      <c r="A178" s="363"/>
      <c r="B178" s="272"/>
      <c r="C178" s="273"/>
      <c r="D178" s="361"/>
      <c r="E178" s="272"/>
      <c r="F178" s="365"/>
      <c r="G178" s="365"/>
      <c r="H178" s="365"/>
      <c r="I178" s="365"/>
      <c r="J178" s="272"/>
      <c r="K178" s="578"/>
      <c r="L178" s="582"/>
      <c r="M178" s="273"/>
      <c r="N178" s="273"/>
      <c r="O178" s="582"/>
      <c r="P178" s="36"/>
      <c r="Q178" s="32"/>
      <c r="R178" s="273"/>
      <c r="S178" s="363"/>
      <c r="T178" s="363"/>
      <c r="U178" s="364"/>
      <c r="V178" s="364"/>
      <c r="W178" s="364"/>
      <c r="X178" s="364"/>
      <c r="Y178" s="1077"/>
      <c r="Z178" s="364"/>
      <c r="AA178" s="363"/>
      <c r="AB178" s="363"/>
      <c r="AC178" s="363"/>
      <c r="AD178" s="363"/>
      <c r="AE178" s="363"/>
      <c r="AF178" s="363"/>
      <c r="AG178" s="363"/>
    </row>
    <row r="179" spans="1:33" s="340" customFormat="1">
      <c r="A179" s="363"/>
      <c r="B179" s="272"/>
      <c r="C179" s="273"/>
      <c r="D179" s="361"/>
      <c r="E179" s="272"/>
      <c r="F179" s="365"/>
      <c r="G179" s="365"/>
      <c r="H179" s="365"/>
      <c r="I179" s="365"/>
      <c r="J179" s="272"/>
      <c r="K179" s="578"/>
      <c r="L179" s="582"/>
      <c r="M179" s="273"/>
      <c r="N179" s="273"/>
      <c r="O179" s="582"/>
      <c r="P179" s="36"/>
      <c r="Q179" s="32"/>
      <c r="R179" s="273"/>
      <c r="S179" s="363"/>
      <c r="T179" s="363"/>
      <c r="U179" s="364"/>
      <c r="V179" s="364"/>
      <c r="W179" s="364"/>
      <c r="X179" s="364"/>
      <c r="Y179" s="1077"/>
      <c r="Z179" s="364"/>
      <c r="AA179" s="363"/>
      <c r="AB179" s="363"/>
      <c r="AC179" s="363"/>
      <c r="AD179" s="363"/>
      <c r="AE179" s="363"/>
      <c r="AF179" s="363"/>
      <c r="AG179" s="363"/>
    </row>
    <row r="180" spans="1:33" s="340" customFormat="1">
      <c r="A180" s="363"/>
      <c r="B180" s="272"/>
      <c r="C180" s="273"/>
      <c r="D180" s="361"/>
      <c r="E180" s="272"/>
      <c r="F180" s="365"/>
      <c r="G180" s="365"/>
      <c r="H180" s="365"/>
      <c r="I180" s="365"/>
      <c r="J180" s="272"/>
      <c r="K180" s="578"/>
      <c r="L180" s="582"/>
      <c r="M180" s="273"/>
      <c r="N180" s="273"/>
      <c r="O180" s="582"/>
      <c r="P180" s="36"/>
      <c r="Q180" s="32"/>
      <c r="R180" s="273"/>
      <c r="S180" s="363"/>
      <c r="T180" s="363"/>
      <c r="U180" s="364"/>
      <c r="V180" s="364"/>
      <c r="W180" s="364"/>
      <c r="X180" s="364"/>
      <c r="Y180" s="1077"/>
      <c r="Z180" s="364"/>
      <c r="AA180" s="363"/>
      <c r="AB180" s="363"/>
      <c r="AC180" s="363"/>
      <c r="AD180" s="363"/>
      <c r="AE180" s="363"/>
      <c r="AF180" s="363"/>
      <c r="AG180" s="363"/>
    </row>
    <row r="181" spans="1:33" s="340" customFormat="1">
      <c r="A181" s="363"/>
      <c r="B181" s="272"/>
      <c r="C181" s="273"/>
      <c r="D181" s="361"/>
      <c r="E181" s="272"/>
      <c r="F181" s="365"/>
      <c r="G181" s="365"/>
      <c r="H181" s="365"/>
      <c r="I181" s="365"/>
      <c r="J181" s="272"/>
      <c r="K181" s="578"/>
      <c r="L181" s="582"/>
      <c r="M181" s="273"/>
      <c r="N181" s="273"/>
      <c r="O181" s="582"/>
      <c r="P181" s="36"/>
      <c r="Q181" s="32"/>
      <c r="R181" s="273"/>
      <c r="S181" s="363"/>
      <c r="T181" s="363"/>
      <c r="U181" s="364"/>
      <c r="V181" s="364"/>
      <c r="W181" s="364"/>
      <c r="X181" s="364"/>
      <c r="Y181" s="1077"/>
      <c r="Z181" s="364"/>
      <c r="AA181" s="363"/>
      <c r="AB181" s="363"/>
      <c r="AC181" s="363"/>
      <c r="AD181" s="363"/>
      <c r="AE181" s="363"/>
      <c r="AF181" s="363"/>
      <c r="AG181" s="363"/>
    </row>
    <row r="182" spans="1:33" s="340" customFormat="1">
      <c r="A182" s="363"/>
      <c r="B182" s="272"/>
      <c r="C182" s="273"/>
      <c r="D182" s="361"/>
      <c r="E182" s="272"/>
      <c r="F182" s="365"/>
      <c r="G182" s="365"/>
      <c r="H182" s="365"/>
      <c r="I182" s="365"/>
      <c r="J182" s="272"/>
      <c r="K182" s="578"/>
      <c r="L182" s="582"/>
      <c r="M182" s="273"/>
      <c r="N182" s="273"/>
      <c r="O182" s="582"/>
      <c r="P182" s="36"/>
      <c r="Q182" s="32"/>
      <c r="R182" s="273"/>
      <c r="S182" s="363"/>
      <c r="T182" s="363"/>
      <c r="U182" s="364"/>
      <c r="V182" s="364"/>
      <c r="W182" s="364"/>
      <c r="X182" s="364"/>
      <c r="Y182" s="1077"/>
      <c r="Z182" s="364"/>
      <c r="AA182" s="363"/>
      <c r="AB182" s="363"/>
      <c r="AC182" s="363"/>
      <c r="AD182" s="363"/>
      <c r="AE182" s="363"/>
      <c r="AF182" s="363"/>
      <c r="AG182" s="363"/>
    </row>
    <row r="183" spans="1:33" s="340" customFormat="1">
      <c r="A183" s="363"/>
      <c r="B183" s="272"/>
      <c r="C183" s="273"/>
      <c r="D183" s="361"/>
      <c r="E183" s="272"/>
      <c r="F183" s="365"/>
      <c r="G183" s="365"/>
      <c r="H183" s="365"/>
      <c r="I183" s="365"/>
      <c r="J183" s="272"/>
      <c r="K183" s="578"/>
      <c r="L183" s="582"/>
      <c r="M183" s="273"/>
      <c r="N183" s="273"/>
      <c r="O183" s="582"/>
      <c r="P183" s="36"/>
      <c r="Q183" s="32"/>
      <c r="R183" s="273"/>
      <c r="S183" s="363"/>
      <c r="T183" s="363"/>
      <c r="U183" s="364"/>
      <c r="V183" s="364"/>
      <c r="W183" s="364"/>
      <c r="X183" s="364"/>
      <c r="Y183" s="1077"/>
      <c r="Z183" s="364"/>
      <c r="AA183" s="363"/>
      <c r="AB183" s="363"/>
      <c r="AC183" s="363"/>
      <c r="AD183" s="363"/>
      <c r="AE183" s="363"/>
      <c r="AF183" s="363"/>
      <c r="AG183" s="363"/>
    </row>
    <row r="184" spans="1:33" s="340" customFormat="1">
      <c r="A184" s="363"/>
      <c r="B184" s="272"/>
      <c r="C184" s="273"/>
      <c r="D184" s="361"/>
      <c r="E184" s="272"/>
      <c r="F184" s="365"/>
      <c r="G184" s="365"/>
      <c r="H184" s="365"/>
      <c r="I184" s="365"/>
      <c r="J184" s="272"/>
      <c r="K184" s="578"/>
      <c r="L184" s="582"/>
      <c r="M184" s="273"/>
      <c r="N184" s="273"/>
      <c r="O184" s="582"/>
      <c r="P184" s="36"/>
      <c r="Q184" s="32"/>
      <c r="R184" s="273"/>
      <c r="S184" s="363"/>
      <c r="T184" s="363"/>
      <c r="U184" s="364"/>
      <c r="V184" s="364"/>
      <c r="W184" s="364"/>
      <c r="X184" s="364"/>
      <c r="Y184" s="1077"/>
      <c r="Z184" s="364"/>
      <c r="AA184" s="363"/>
      <c r="AB184" s="363"/>
      <c r="AC184" s="363"/>
      <c r="AD184" s="363"/>
      <c r="AE184" s="363"/>
      <c r="AF184" s="363"/>
      <c r="AG184" s="363"/>
    </row>
    <row r="185" spans="1:33" s="340" customFormat="1">
      <c r="A185" s="363"/>
      <c r="B185" s="272"/>
      <c r="C185" s="273"/>
      <c r="D185" s="361"/>
      <c r="E185" s="272"/>
      <c r="F185" s="365"/>
      <c r="G185" s="365"/>
      <c r="H185" s="365"/>
      <c r="I185" s="365"/>
      <c r="J185" s="272"/>
      <c r="K185" s="578"/>
      <c r="L185" s="582"/>
      <c r="M185" s="273"/>
      <c r="N185" s="273"/>
      <c r="O185" s="582"/>
      <c r="P185" s="36"/>
      <c r="Q185" s="32"/>
      <c r="R185" s="273"/>
      <c r="S185" s="363"/>
      <c r="T185" s="363"/>
      <c r="U185" s="364"/>
      <c r="V185" s="364"/>
      <c r="W185" s="364"/>
      <c r="X185" s="364"/>
      <c r="Y185" s="1077"/>
      <c r="Z185" s="364"/>
      <c r="AA185" s="363"/>
      <c r="AB185" s="363"/>
      <c r="AC185" s="363"/>
      <c r="AD185" s="363"/>
      <c r="AE185" s="363"/>
      <c r="AF185" s="363"/>
      <c r="AG185" s="363"/>
    </row>
    <row r="186" spans="1:33" s="340" customFormat="1">
      <c r="A186" s="363"/>
      <c r="B186" s="272"/>
      <c r="C186" s="273"/>
      <c r="D186" s="361"/>
      <c r="E186" s="272"/>
      <c r="F186" s="365"/>
      <c r="G186" s="365"/>
      <c r="H186" s="365"/>
      <c r="I186" s="365"/>
      <c r="J186" s="272"/>
      <c r="K186" s="578"/>
      <c r="L186" s="582"/>
      <c r="M186" s="273"/>
      <c r="N186" s="273"/>
      <c r="O186" s="582"/>
      <c r="P186" s="36"/>
      <c r="Q186" s="32"/>
      <c r="R186" s="273"/>
      <c r="S186" s="363"/>
      <c r="T186" s="363"/>
      <c r="U186" s="364"/>
      <c r="V186" s="364"/>
      <c r="W186" s="364"/>
      <c r="X186" s="364"/>
      <c r="Y186" s="1077"/>
      <c r="Z186" s="364"/>
      <c r="AA186" s="363"/>
      <c r="AB186" s="363"/>
      <c r="AC186" s="363"/>
      <c r="AD186" s="363"/>
      <c r="AE186" s="363"/>
      <c r="AF186" s="363"/>
      <c r="AG186" s="363"/>
    </row>
    <row r="187" spans="1:33" s="340" customFormat="1">
      <c r="A187" s="363"/>
      <c r="B187" s="272"/>
      <c r="C187" s="273"/>
      <c r="D187" s="361"/>
      <c r="E187" s="272"/>
      <c r="F187" s="365"/>
      <c r="G187" s="365"/>
      <c r="H187" s="365"/>
      <c r="I187" s="365"/>
      <c r="J187" s="272"/>
      <c r="K187" s="578"/>
      <c r="L187" s="582"/>
      <c r="M187" s="273"/>
      <c r="N187" s="273"/>
      <c r="O187" s="582"/>
      <c r="P187" s="36"/>
      <c r="Q187" s="32"/>
      <c r="R187" s="273"/>
      <c r="S187" s="363"/>
      <c r="T187" s="363"/>
      <c r="U187" s="364"/>
      <c r="V187" s="364"/>
      <c r="W187" s="364"/>
      <c r="X187" s="364"/>
      <c r="Y187" s="1077"/>
      <c r="Z187" s="364"/>
      <c r="AA187" s="363"/>
      <c r="AB187" s="363"/>
      <c r="AC187" s="363"/>
      <c r="AD187" s="363"/>
      <c r="AE187" s="363"/>
      <c r="AF187" s="363"/>
      <c r="AG187" s="363"/>
    </row>
    <row r="188" spans="1:33" s="340" customFormat="1">
      <c r="A188" s="363"/>
      <c r="B188" s="272"/>
      <c r="C188" s="273"/>
      <c r="D188" s="361"/>
      <c r="E188" s="272"/>
      <c r="F188" s="365"/>
      <c r="G188" s="365"/>
      <c r="H188" s="365"/>
      <c r="I188" s="365"/>
      <c r="J188" s="272"/>
      <c r="K188" s="578"/>
      <c r="L188" s="582"/>
      <c r="M188" s="273"/>
      <c r="N188" s="273"/>
      <c r="O188" s="582"/>
      <c r="P188" s="36"/>
      <c r="Q188" s="32"/>
      <c r="R188" s="273"/>
      <c r="S188" s="363"/>
      <c r="T188" s="363"/>
      <c r="U188" s="364"/>
      <c r="V188" s="364"/>
      <c r="W188" s="364"/>
      <c r="X188" s="364"/>
      <c r="Y188" s="1077"/>
      <c r="Z188" s="364"/>
      <c r="AA188" s="363"/>
      <c r="AB188" s="363"/>
      <c r="AC188" s="363"/>
      <c r="AD188" s="363"/>
      <c r="AE188" s="363"/>
      <c r="AF188" s="363"/>
      <c r="AG188" s="363"/>
    </row>
    <row r="189" spans="1:33" s="340" customFormat="1">
      <c r="A189" s="363"/>
      <c r="B189" s="272"/>
      <c r="C189" s="273"/>
      <c r="D189" s="361"/>
      <c r="E189" s="272"/>
      <c r="F189" s="365"/>
      <c r="G189" s="365"/>
      <c r="H189" s="365"/>
      <c r="I189" s="365"/>
      <c r="J189" s="272"/>
      <c r="K189" s="578"/>
      <c r="L189" s="582"/>
      <c r="M189" s="273"/>
      <c r="N189" s="273"/>
      <c r="O189" s="582"/>
      <c r="P189" s="36"/>
      <c r="Q189" s="32"/>
      <c r="R189" s="273"/>
      <c r="S189" s="363"/>
      <c r="T189" s="363"/>
      <c r="U189" s="364"/>
      <c r="V189" s="364"/>
      <c r="W189" s="364"/>
      <c r="X189" s="364"/>
      <c r="Y189" s="1077"/>
      <c r="Z189" s="364"/>
      <c r="AA189" s="363"/>
      <c r="AB189" s="363"/>
      <c r="AC189" s="363"/>
      <c r="AD189" s="363"/>
      <c r="AE189" s="363"/>
      <c r="AF189" s="363"/>
      <c r="AG189" s="363"/>
    </row>
    <row r="190" spans="1:33" s="340" customFormat="1">
      <c r="A190" s="363"/>
      <c r="B190" s="272"/>
      <c r="C190" s="273"/>
      <c r="D190" s="361"/>
      <c r="E190" s="272"/>
      <c r="F190" s="365"/>
      <c r="G190" s="365"/>
      <c r="H190" s="365"/>
      <c r="I190" s="365"/>
      <c r="J190" s="272"/>
      <c r="K190" s="578"/>
      <c r="L190" s="582"/>
      <c r="M190" s="273"/>
      <c r="N190" s="273"/>
      <c r="O190" s="582"/>
      <c r="P190" s="36"/>
      <c r="Q190" s="32"/>
      <c r="R190" s="273"/>
      <c r="S190" s="363"/>
      <c r="T190" s="363"/>
      <c r="U190" s="364"/>
      <c r="V190" s="364"/>
      <c r="W190" s="364"/>
      <c r="X190" s="364"/>
      <c r="Y190" s="1077"/>
      <c r="Z190" s="364"/>
      <c r="AA190" s="363"/>
      <c r="AB190" s="363"/>
      <c r="AC190" s="363"/>
      <c r="AD190" s="363"/>
      <c r="AE190" s="363"/>
      <c r="AF190" s="363"/>
      <c r="AG190" s="363"/>
    </row>
    <row r="191" spans="1:33" s="340" customFormat="1">
      <c r="A191" s="363"/>
      <c r="B191" s="272"/>
      <c r="C191" s="273"/>
      <c r="D191" s="361"/>
      <c r="E191" s="272"/>
      <c r="F191" s="365"/>
      <c r="G191" s="365"/>
      <c r="H191" s="365"/>
      <c r="I191" s="365"/>
      <c r="J191" s="272"/>
      <c r="K191" s="578"/>
      <c r="L191" s="582"/>
      <c r="M191" s="273"/>
      <c r="N191" s="273"/>
      <c r="O191" s="582"/>
      <c r="P191" s="36"/>
      <c r="Q191" s="32"/>
      <c r="R191" s="273"/>
      <c r="S191" s="363"/>
      <c r="T191" s="363"/>
      <c r="U191" s="364"/>
      <c r="V191" s="364"/>
      <c r="W191" s="364"/>
      <c r="X191" s="364"/>
      <c r="Y191" s="1077"/>
      <c r="Z191" s="364"/>
      <c r="AA191" s="363"/>
      <c r="AB191" s="363"/>
      <c r="AC191" s="363"/>
      <c r="AD191" s="363"/>
      <c r="AE191" s="363"/>
      <c r="AF191" s="363"/>
      <c r="AG191" s="363"/>
    </row>
    <row r="192" spans="1:33" s="340" customFormat="1">
      <c r="A192" s="363"/>
      <c r="B192" s="272"/>
      <c r="C192" s="273"/>
      <c r="D192" s="361"/>
      <c r="E192" s="272"/>
      <c r="F192" s="365"/>
      <c r="G192" s="365"/>
      <c r="H192" s="365"/>
      <c r="I192" s="365"/>
      <c r="J192" s="272"/>
      <c r="K192" s="578"/>
      <c r="L192" s="582"/>
      <c r="M192" s="273"/>
      <c r="N192" s="273"/>
      <c r="O192" s="582"/>
      <c r="P192" s="36"/>
      <c r="Q192" s="32"/>
      <c r="R192" s="273"/>
      <c r="S192" s="363"/>
      <c r="T192" s="363"/>
      <c r="U192" s="364"/>
      <c r="V192" s="364"/>
      <c r="W192" s="364"/>
      <c r="X192" s="364"/>
      <c r="Y192" s="1077"/>
      <c r="Z192" s="364"/>
      <c r="AA192" s="363"/>
      <c r="AB192" s="363"/>
      <c r="AC192" s="363"/>
      <c r="AD192" s="363"/>
      <c r="AE192" s="363"/>
      <c r="AF192" s="363"/>
      <c r="AG192" s="363"/>
    </row>
    <row r="193" spans="1:33" s="340" customFormat="1">
      <c r="A193" s="363"/>
      <c r="B193" s="272"/>
      <c r="C193" s="273"/>
      <c r="D193" s="361"/>
      <c r="E193" s="272"/>
      <c r="F193" s="365"/>
      <c r="G193" s="365"/>
      <c r="H193" s="365"/>
      <c r="I193" s="365"/>
      <c r="J193" s="272"/>
      <c r="K193" s="578"/>
      <c r="L193" s="582"/>
      <c r="M193" s="273"/>
      <c r="N193" s="273"/>
      <c r="O193" s="582"/>
      <c r="P193" s="36"/>
      <c r="Q193" s="32"/>
      <c r="R193" s="273"/>
      <c r="S193" s="363"/>
      <c r="T193" s="363"/>
      <c r="U193" s="364"/>
      <c r="V193" s="364"/>
      <c r="W193" s="364"/>
      <c r="X193" s="364"/>
      <c r="Y193" s="1077"/>
      <c r="Z193" s="364"/>
      <c r="AA193" s="363"/>
      <c r="AB193" s="363"/>
      <c r="AC193" s="363"/>
      <c r="AD193" s="363"/>
      <c r="AE193" s="363"/>
      <c r="AF193" s="363"/>
      <c r="AG193" s="363"/>
    </row>
    <row r="194" spans="1:33" s="340" customFormat="1">
      <c r="A194" s="363"/>
      <c r="B194" s="272"/>
      <c r="C194" s="273"/>
      <c r="D194" s="361"/>
      <c r="E194" s="272"/>
      <c r="F194" s="365"/>
      <c r="G194" s="365"/>
      <c r="H194" s="365"/>
      <c r="I194" s="365"/>
      <c r="J194" s="272"/>
      <c r="K194" s="578"/>
      <c r="L194" s="582"/>
      <c r="M194" s="273"/>
      <c r="N194" s="273"/>
      <c r="O194" s="582"/>
      <c r="P194" s="36"/>
      <c r="Q194" s="32"/>
      <c r="R194" s="273"/>
      <c r="S194" s="363"/>
      <c r="T194" s="363"/>
      <c r="U194" s="364"/>
      <c r="V194" s="364"/>
      <c r="W194" s="364"/>
      <c r="X194" s="364"/>
      <c r="Y194" s="1077"/>
      <c r="Z194" s="364"/>
      <c r="AA194" s="363"/>
      <c r="AB194" s="363"/>
      <c r="AC194" s="363"/>
      <c r="AD194" s="363"/>
      <c r="AE194" s="363"/>
      <c r="AF194" s="363"/>
      <c r="AG194" s="363"/>
    </row>
    <row r="195" spans="1:33" s="340" customFormat="1">
      <c r="A195" s="363"/>
      <c r="B195" s="272"/>
      <c r="C195" s="273"/>
      <c r="D195" s="361"/>
      <c r="E195" s="272"/>
      <c r="F195" s="365"/>
      <c r="G195" s="365"/>
      <c r="H195" s="365"/>
      <c r="I195" s="365"/>
      <c r="J195" s="272"/>
      <c r="K195" s="578"/>
      <c r="L195" s="582"/>
      <c r="M195" s="273"/>
      <c r="N195" s="273"/>
      <c r="O195" s="582"/>
      <c r="P195" s="36"/>
      <c r="Q195" s="32"/>
      <c r="R195" s="273"/>
      <c r="S195" s="363"/>
      <c r="T195" s="363"/>
      <c r="U195" s="364"/>
      <c r="V195" s="364"/>
      <c r="W195" s="364"/>
      <c r="X195" s="364"/>
      <c r="Y195" s="1077"/>
      <c r="Z195" s="364"/>
      <c r="AA195" s="363"/>
      <c r="AB195" s="363"/>
      <c r="AC195" s="363"/>
      <c r="AD195" s="363"/>
      <c r="AE195" s="363"/>
      <c r="AF195" s="363"/>
      <c r="AG195" s="363"/>
    </row>
    <row r="196" spans="1:33" s="340" customFormat="1">
      <c r="A196" s="363"/>
      <c r="B196" s="272"/>
      <c r="C196" s="273"/>
      <c r="D196" s="361"/>
      <c r="E196" s="272"/>
      <c r="F196" s="365"/>
      <c r="G196" s="365"/>
      <c r="H196" s="365"/>
      <c r="I196" s="365"/>
      <c r="J196" s="272"/>
      <c r="K196" s="578"/>
      <c r="L196" s="582"/>
      <c r="M196" s="273"/>
      <c r="N196" s="273"/>
      <c r="O196" s="582"/>
      <c r="P196" s="36"/>
      <c r="Q196" s="32"/>
      <c r="R196" s="273"/>
      <c r="S196" s="363"/>
      <c r="T196" s="363"/>
      <c r="U196" s="364"/>
      <c r="V196" s="364"/>
      <c r="W196" s="364"/>
      <c r="X196" s="364"/>
      <c r="Y196" s="1077"/>
      <c r="Z196" s="364"/>
      <c r="AA196" s="363"/>
      <c r="AB196" s="363"/>
      <c r="AC196" s="363"/>
      <c r="AD196" s="363"/>
      <c r="AE196" s="363"/>
      <c r="AF196" s="363"/>
      <c r="AG196" s="363"/>
    </row>
    <row r="197" spans="1:33" s="340" customFormat="1">
      <c r="A197" s="363"/>
      <c r="B197" s="272"/>
      <c r="C197" s="273"/>
      <c r="D197" s="361"/>
      <c r="E197" s="272"/>
      <c r="F197" s="365"/>
      <c r="G197" s="365"/>
      <c r="H197" s="365"/>
      <c r="I197" s="365"/>
      <c r="J197" s="272"/>
      <c r="K197" s="578"/>
      <c r="L197" s="582"/>
      <c r="M197" s="273"/>
      <c r="N197" s="273"/>
      <c r="O197" s="582"/>
      <c r="P197" s="36"/>
      <c r="Q197" s="32"/>
      <c r="R197" s="273"/>
      <c r="S197" s="363"/>
      <c r="T197" s="363"/>
      <c r="U197" s="364"/>
      <c r="V197" s="364"/>
      <c r="W197" s="364"/>
      <c r="X197" s="364"/>
      <c r="Y197" s="1077"/>
      <c r="Z197" s="364"/>
      <c r="AA197" s="363"/>
      <c r="AB197" s="363"/>
      <c r="AC197" s="363"/>
      <c r="AD197" s="363"/>
      <c r="AE197" s="363"/>
      <c r="AF197" s="363"/>
      <c r="AG197" s="363"/>
    </row>
    <row r="198" spans="1:33" s="340" customFormat="1">
      <c r="A198" s="363"/>
      <c r="B198" s="272"/>
      <c r="C198" s="273"/>
      <c r="D198" s="361"/>
      <c r="E198" s="272"/>
      <c r="F198" s="365"/>
      <c r="G198" s="365"/>
      <c r="H198" s="365"/>
      <c r="I198" s="365"/>
      <c r="J198" s="272"/>
      <c r="K198" s="578"/>
      <c r="L198" s="582"/>
      <c r="M198" s="273"/>
      <c r="N198" s="273"/>
      <c r="O198" s="582"/>
      <c r="P198" s="36"/>
      <c r="Q198" s="32"/>
      <c r="R198" s="273"/>
      <c r="S198" s="363"/>
      <c r="T198" s="363"/>
      <c r="U198" s="364"/>
      <c r="V198" s="364"/>
      <c r="W198" s="364"/>
      <c r="X198" s="364"/>
      <c r="Y198" s="1077"/>
      <c r="Z198" s="364"/>
      <c r="AA198" s="363"/>
      <c r="AB198" s="363"/>
      <c r="AC198" s="363"/>
      <c r="AD198" s="363"/>
      <c r="AE198" s="363"/>
      <c r="AF198" s="363"/>
      <c r="AG198" s="363"/>
    </row>
    <row r="199" spans="1:33" s="340" customFormat="1">
      <c r="A199" s="363"/>
      <c r="B199" s="272"/>
      <c r="C199" s="273"/>
      <c r="D199" s="361"/>
      <c r="E199" s="272"/>
      <c r="F199" s="365"/>
      <c r="G199" s="365"/>
      <c r="H199" s="365"/>
      <c r="I199" s="365"/>
      <c r="J199" s="272"/>
      <c r="K199" s="578"/>
      <c r="L199" s="582"/>
      <c r="M199" s="273"/>
      <c r="N199" s="273"/>
      <c r="O199" s="582"/>
      <c r="P199" s="36"/>
      <c r="Q199" s="32"/>
      <c r="R199" s="273"/>
      <c r="S199" s="363"/>
      <c r="T199" s="363"/>
      <c r="U199" s="364"/>
      <c r="V199" s="364"/>
      <c r="W199" s="364"/>
      <c r="X199" s="364"/>
      <c r="Y199" s="1077"/>
      <c r="Z199" s="364"/>
      <c r="AA199" s="363"/>
      <c r="AB199" s="363"/>
      <c r="AC199" s="363"/>
      <c r="AD199" s="363"/>
      <c r="AE199" s="363"/>
      <c r="AF199" s="363"/>
      <c r="AG199" s="363"/>
    </row>
    <row r="200" spans="1:33" s="340" customFormat="1">
      <c r="A200" s="363"/>
      <c r="B200" s="272"/>
      <c r="C200" s="273"/>
      <c r="D200" s="361"/>
      <c r="E200" s="272"/>
      <c r="F200" s="365"/>
      <c r="G200" s="365"/>
      <c r="H200" s="365"/>
      <c r="I200" s="365"/>
      <c r="J200" s="272"/>
      <c r="K200" s="578"/>
      <c r="L200" s="582"/>
      <c r="M200" s="273"/>
      <c r="N200" s="273"/>
      <c r="O200" s="582"/>
      <c r="P200" s="36"/>
      <c r="Q200" s="32"/>
      <c r="R200" s="273"/>
      <c r="S200" s="363"/>
      <c r="T200" s="363"/>
      <c r="U200" s="364"/>
      <c r="V200" s="364"/>
      <c r="W200" s="364"/>
      <c r="X200" s="364"/>
      <c r="Y200" s="1077"/>
      <c r="Z200" s="364"/>
      <c r="AA200" s="363"/>
      <c r="AB200" s="363"/>
      <c r="AC200" s="363"/>
      <c r="AD200" s="363"/>
      <c r="AE200" s="363"/>
      <c r="AF200" s="363"/>
      <c r="AG200" s="363"/>
    </row>
    <row r="201" spans="1:33" s="340" customFormat="1">
      <c r="A201" s="363"/>
      <c r="B201" s="272"/>
      <c r="C201" s="273"/>
      <c r="D201" s="361"/>
      <c r="E201" s="272"/>
      <c r="F201" s="365"/>
      <c r="G201" s="365"/>
      <c r="H201" s="365"/>
      <c r="I201" s="365"/>
      <c r="J201" s="272"/>
      <c r="K201" s="578"/>
      <c r="L201" s="582"/>
      <c r="M201" s="273"/>
      <c r="N201" s="273"/>
      <c r="O201" s="582"/>
      <c r="P201" s="36"/>
      <c r="Q201" s="32"/>
      <c r="R201" s="273"/>
      <c r="S201" s="363"/>
      <c r="T201" s="363"/>
      <c r="U201" s="364"/>
      <c r="V201" s="364"/>
      <c r="W201" s="364"/>
      <c r="X201" s="364"/>
      <c r="Y201" s="1077"/>
      <c r="Z201" s="364"/>
      <c r="AA201" s="363"/>
      <c r="AB201" s="363"/>
      <c r="AC201" s="363"/>
      <c r="AD201" s="363"/>
      <c r="AE201" s="363"/>
      <c r="AF201" s="363"/>
      <c r="AG201" s="363"/>
    </row>
    <row r="202" spans="1:33" s="340" customFormat="1">
      <c r="A202" s="363"/>
      <c r="B202" s="272"/>
      <c r="C202" s="273"/>
      <c r="D202" s="361"/>
      <c r="E202" s="272"/>
      <c r="F202" s="365"/>
      <c r="G202" s="365"/>
      <c r="H202" s="365"/>
      <c r="I202" s="365"/>
      <c r="J202" s="272"/>
      <c r="K202" s="578"/>
      <c r="L202" s="582"/>
      <c r="M202" s="273"/>
      <c r="N202" s="273"/>
      <c r="O202" s="582"/>
      <c r="P202" s="36"/>
      <c r="Q202" s="32"/>
      <c r="R202" s="273"/>
      <c r="S202" s="363"/>
      <c r="T202" s="363"/>
      <c r="U202" s="364"/>
      <c r="V202" s="364"/>
      <c r="W202" s="364"/>
      <c r="X202" s="364"/>
      <c r="Y202" s="1077"/>
      <c r="Z202" s="364"/>
      <c r="AA202" s="363"/>
      <c r="AB202" s="363"/>
      <c r="AC202" s="363"/>
      <c r="AD202" s="363"/>
      <c r="AE202" s="363"/>
      <c r="AF202" s="363"/>
      <c r="AG202" s="363"/>
    </row>
    <row r="203" spans="1:33" s="340" customFormat="1">
      <c r="A203" s="363"/>
      <c r="B203" s="272"/>
      <c r="C203" s="273"/>
      <c r="D203" s="361"/>
      <c r="E203" s="272"/>
      <c r="F203" s="365"/>
      <c r="G203" s="365"/>
      <c r="H203" s="365"/>
      <c r="I203" s="365"/>
      <c r="J203" s="272"/>
      <c r="K203" s="578"/>
      <c r="L203" s="582"/>
      <c r="M203" s="273"/>
      <c r="N203" s="273"/>
      <c r="O203" s="582"/>
      <c r="P203" s="36"/>
      <c r="Q203" s="32"/>
      <c r="R203" s="273"/>
      <c r="S203" s="363"/>
      <c r="T203" s="363"/>
      <c r="U203" s="364"/>
      <c r="V203" s="364"/>
      <c r="W203" s="364"/>
      <c r="X203" s="364"/>
      <c r="Y203" s="1077"/>
      <c r="Z203" s="364"/>
      <c r="AA203" s="363"/>
      <c r="AB203" s="363"/>
      <c r="AC203" s="363"/>
      <c r="AD203" s="363"/>
      <c r="AE203" s="363"/>
      <c r="AF203" s="363"/>
      <c r="AG203" s="363"/>
    </row>
    <row r="204" spans="1:33" s="340" customFormat="1">
      <c r="A204" s="363"/>
      <c r="B204" s="272"/>
      <c r="C204" s="273"/>
      <c r="D204" s="361"/>
      <c r="E204" s="272"/>
      <c r="F204" s="365"/>
      <c r="G204" s="365"/>
      <c r="H204" s="365"/>
      <c r="I204" s="365"/>
      <c r="J204" s="272"/>
      <c r="K204" s="578"/>
      <c r="L204" s="582"/>
      <c r="M204" s="273"/>
      <c r="N204" s="273"/>
      <c r="O204" s="582"/>
      <c r="P204" s="36"/>
      <c r="Q204" s="32"/>
      <c r="R204" s="273"/>
      <c r="S204" s="363"/>
      <c r="T204" s="363"/>
      <c r="U204" s="364"/>
      <c r="V204" s="364"/>
      <c r="W204" s="364"/>
      <c r="X204" s="364"/>
      <c r="Y204" s="1077"/>
      <c r="Z204" s="364"/>
      <c r="AA204" s="363"/>
      <c r="AB204" s="363"/>
      <c r="AC204" s="363"/>
      <c r="AD204" s="363"/>
      <c r="AE204" s="363"/>
      <c r="AF204" s="363"/>
      <c r="AG204" s="363"/>
    </row>
    <row r="205" spans="1:33" s="340" customFormat="1">
      <c r="A205" s="363"/>
      <c r="B205" s="272"/>
      <c r="C205" s="273"/>
      <c r="D205" s="361"/>
      <c r="E205" s="272"/>
      <c r="F205" s="365"/>
      <c r="G205" s="365"/>
      <c r="H205" s="365"/>
      <c r="I205" s="365"/>
      <c r="J205" s="272"/>
      <c r="K205" s="578"/>
      <c r="L205" s="582"/>
      <c r="M205" s="273"/>
      <c r="N205" s="273"/>
      <c r="O205" s="582"/>
      <c r="P205" s="36"/>
      <c r="Q205" s="32"/>
      <c r="R205" s="273"/>
      <c r="S205" s="363"/>
      <c r="T205" s="363"/>
      <c r="U205" s="364"/>
      <c r="V205" s="364"/>
      <c r="W205" s="364"/>
      <c r="X205" s="364"/>
      <c r="Y205" s="1077"/>
      <c r="Z205" s="364"/>
      <c r="AA205" s="363"/>
      <c r="AB205" s="363"/>
      <c r="AC205" s="363"/>
      <c r="AD205" s="363"/>
      <c r="AE205" s="363"/>
      <c r="AF205" s="363"/>
      <c r="AG205" s="363"/>
    </row>
    <row r="206" spans="1:33" s="340" customFormat="1">
      <c r="A206" s="363"/>
      <c r="B206" s="272"/>
      <c r="C206" s="273"/>
      <c r="D206" s="361"/>
      <c r="E206" s="272"/>
      <c r="F206" s="365"/>
      <c r="G206" s="365"/>
      <c r="H206" s="365"/>
      <c r="I206" s="365"/>
      <c r="J206" s="272"/>
      <c r="K206" s="578"/>
      <c r="L206" s="582"/>
      <c r="M206" s="273"/>
      <c r="N206" s="273"/>
      <c r="O206" s="582"/>
      <c r="P206" s="36"/>
      <c r="Q206" s="32"/>
      <c r="R206" s="273"/>
      <c r="S206" s="363"/>
      <c r="T206" s="363"/>
      <c r="U206" s="364"/>
      <c r="V206" s="364"/>
      <c r="W206" s="364"/>
      <c r="X206" s="364"/>
      <c r="Y206" s="1077"/>
      <c r="Z206" s="364"/>
      <c r="AA206" s="363"/>
      <c r="AB206" s="363"/>
      <c r="AC206" s="363"/>
      <c r="AD206" s="363"/>
      <c r="AE206" s="363"/>
      <c r="AF206" s="363"/>
      <c r="AG206" s="363"/>
    </row>
    <row r="207" spans="1:33" s="340" customFormat="1">
      <c r="A207" s="363"/>
      <c r="B207" s="272"/>
      <c r="C207" s="273"/>
      <c r="D207" s="361"/>
      <c r="E207" s="272"/>
      <c r="F207" s="365"/>
      <c r="G207" s="365"/>
      <c r="H207" s="365"/>
      <c r="I207" s="365"/>
      <c r="J207" s="272"/>
      <c r="K207" s="578"/>
      <c r="L207" s="582"/>
      <c r="M207" s="273"/>
      <c r="N207" s="273"/>
      <c r="O207" s="582"/>
      <c r="P207" s="36"/>
      <c r="Q207" s="32"/>
      <c r="R207" s="273"/>
      <c r="S207" s="363"/>
      <c r="T207" s="363"/>
      <c r="U207" s="364"/>
      <c r="V207" s="364"/>
      <c r="W207" s="364"/>
      <c r="X207" s="364"/>
      <c r="Y207" s="1077"/>
      <c r="Z207" s="364"/>
      <c r="AA207" s="363"/>
      <c r="AB207" s="363"/>
      <c r="AC207" s="363"/>
      <c r="AD207" s="363"/>
      <c r="AE207" s="363"/>
      <c r="AF207" s="363"/>
      <c r="AG207" s="363"/>
    </row>
    <row r="208" spans="1:33" s="340" customFormat="1">
      <c r="A208" s="363"/>
      <c r="B208" s="272"/>
      <c r="C208" s="273"/>
      <c r="D208" s="361"/>
      <c r="E208" s="272"/>
      <c r="F208" s="365"/>
      <c r="G208" s="365"/>
      <c r="H208" s="365"/>
      <c r="I208" s="365"/>
      <c r="J208" s="272"/>
      <c r="K208" s="578"/>
      <c r="L208" s="582"/>
      <c r="M208" s="273"/>
      <c r="N208" s="273"/>
      <c r="O208" s="582"/>
      <c r="P208" s="36"/>
      <c r="Q208" s="32"/>
      <c r="R208" s="273"/>
      <c r="S208" s="363"/>
      <c r="T208" s="363"/>
      <c r="U208" s="364"/>
      <c r="V208" s="364"/>
      <c r="W208" s="364"/>
      <c r="X208" s="364"/>
      <c r="Y208" s="1077"/>
      <c r="Z208" s="364"/>
      <c r="AA208" s="363"/>
      <c r="AB208" s="363"/>
      <c r="AC208" s="363"/>
      <c r="AD208" s="363"/>
      <c r="AE208" s="363"/>
      <c r="AF208" s="363"/>
      <c r="AG208" s="363"/>
    </row>
    <row r="209" spans="2:33" s="340" customFormat="1">
      <c r="B209" s="272"/>
      <c r="C209" s="273"/>
      <c r="D209" s="361"/>
      <c r="E209" s="272"/>
      <c r="F209" s="365"/>
      <c r="G209" s="365"/>
      <c r="H209" s="365"/>
      <c r="I209" s="365"/>
      <c r="J209" s="272"/>
      <c r="K209" s="578"/>
      <c r="L209" s="582"/>
      <c r="M209" s="273"/>
      <c r="N209" s="273"/>
      <c r="O209" s="582"/>
      <c r="P209" s="36"/>
      <c r="Q209" s="32"/>
      <c r="R209" s="273"/>
      <c r="S209" s="363"/>
      <c r="T209" s="363"/>
      <c r="U209" s="364"/>
      <c r="V209" s="364"/>
      <c r="W209" s="364"/>
      <c r="X209" s="364"/>
      <c r="Y209" s="1077"/>
      <c r="Z209" s="364"/>
      <c r="AA209" s="363"/>
      <c r="AB209" s="363"/>
      <c r="AC209" s="363"/>
      <c r="AD209" s="363"/>
      <c r="AE209" s="363"/>
      <c r="AF209" s="363"/>
      <c r="AG209" s="363"/>
    </row>
    <row r="210" spans="2:33" s="340" customFormat="1">
      <c r="B210" s="272"/>
      <c r="C210" s="273"/>
      <c r="D210" s="361"/>
      <c r="E210" s="272"/>
      <c r="F210" s="365"/>
      <c r="G210" s="365"/>
      <c r="H210" s="365"/>
      <c r="I210" s="365"/>
      <c r="J210" s="272"/>
      <c r="K210" s="578"/>
      <c r="L210" s="582"/>
      <c r="M210" s="273"/>
      <c r="N210" s="273"/>
      <c r="O210" s="582"/>
      <c r="P210" s="36"/>
      <c r="Q210" s="32"/>
      <c r="R210" s="273"/>
      <c r="S210" s="363"/>
      <c r="T210" s="363"/>
      <c r="U210" s="364"/>
      <c r="V210" s="364"/>
      <c r="W210" s="364"/>
      <c r="X210" s="364"/>
      <c r="Y210" s="1077"/>
      <c r="Z210" s="364"/>
      <c r="AA210" s="363"/>
      <c r="AB210" s="363"/>
      <c r="AC210" s="363"/>
      <c r="AD210" s="363"/>
      <c r="AE210" s="363"/>
      <c r="AF210" s="363"/>
      <c r="AG210" s="363"/>
    </row>
    <row r="211" spans="2:33" s="340" customFormat="1">
      <c r="B211" s="272"/>
      <c r="C211" s="273"/>
      <c r="D211" s="361"/>
      <c r="E211" s="272"/>
      <c r="F211" s="365"/>
      <c r="G211" s="365"/>
      <c r="H211" s="365"/>
      <c r="I211" s="365"/>
      <c r="J211" s="272"/>
      <c r="K211" s="578"/>
      <c r="L211" s="582"/>
      <c r="M211" s="273"/>
      <c r="N211" s="273"/>
      <c r="O211" s="582"/>
      <c r="P211" s="36"/>
      <c r="Q211" s="32"/>
      <c r="R211" s="273"/>
      <c r="S211" s="363"/>
      <c r="T211" s="363"/>
      <c r="U211" s="364"/>
      <c r="V211" s="364"/>
      <c r="W211" s="364"/>
      <c r="X211" s="364"/>
      <c r="Y211" s="1077"/>
      <c r="Z211" s="364"/>
      <c r="AA211" s="363"/>
      <c r="AB211" s="363"/>
      <c r="AC211" s="363"/>
      <c r="AD211" s="363"/>
      <c r="AE211" s="363"/>
      <c r="AF211" s="363"/>
      <c r="AG211" s="363"/>
    </row>
    <row r="212" spans="2:33" s="340" customFormat="1">
      <c r="B212" s="272"/>
      <c r="C212" s="273"/>
      <c r="D212" s="361"/>
      <c r="E212" s="272"/>
      <c r="F212" s="365"/>
      <c r="G212" s="365"/>
      <c r="H212" s="365"/>
      <c r="I212" s="365"/>
      <c r="J212" s="272"/>
      <c r="K212" s="578"/>
      <c r="L212" s="582"/>
      <c r="M212" s="273"/>
      <c r="N212" s="273"/>
      <c r="O212" s="582"/>
      <c r="P212" s="36"/>
      <c r="Q212" s="32"/>
      <c r="R212" s="273"/>
      <c r="S212" s="363"/>
      <c r="T212" s="363"/>
      <c r="U212" s="364"/>
      <c r="V212" s="364"/>
      <c r="W212" s="364"/>
      <c r="X212" s="364"/>
      <c r="Y212" s="1077"/>
      <c r="Z212" s="364"/>
      <c r="AA212" s="363"/>
      <c r="AB212" s="363"/>
      <c r="AC212" s="363"/>
      <c r="AD212" s="363"/>
      <c r="AE212" s="363"/>
      <c r="AF212" s="363"/>
      <c r="AG212" s="363"/>
    </row>
    <row r="213" spans="2:33" s="340" customFormat="1">
      <c r="B213" s="272"/>
      <c r="C213" s="273"/>
      <c r="D213" s="361"/>
      <c r="E213" s="272"/>
      <c r="F213" s="365"/>
      <c r="G213" s="365"/>
      <c r="H213" s="365"/>
      <c r="I213" s="365"/>
      <c r="J213" s="272"/>
      <c r="K213" s="578"/>
      <c r="L213" s="582"/>
      <c r="M213" s="273"/>
      <c r="N213" s="273"/>
      <c r="O213" s="582"/>
      <c r="P213" s="36"/>
      <c r="Q213" s="32"/>
      <c r="R213" s="273"/>
      <c r="S213" s="363"/>
      <c r="T213" s="363"/>
      <c r="U213" s="364"/>
      <c r="V213" s="364"/>
      <c r="W213" s="364"/>
      <c r="X213" s="364"/>
      <c r="Y213" s="1077"/>
      <c r="Z213" s="364"/>
      <c r="AA213" s="363"/>
      <c r="AB213" s="363"/>
      <c r="AC213" s="363"/>
      <c r="AD213" s="363"/>
      <c r="AE213" s="363"/>
      <c r="AF213" s="363"/>
      <c r="AG213" s="363"/>
    </row>
    <row r="214" spans="2:33" s="340" customFormat="1">
      <c r="B214" s="272"/>
      <c r="C214" s="273"/>
      <c r="D214" s="361"/>
      <c r="E214" s="272"/>
      <c r="F214" s="365"/>
      <c r="G214" s="365"/>
      <c r="H214" s="365"/>
      <c r="I214" s="365"/>
      <c r="J214" s="272"/>
      <c r="K214" s="578"/>
      <c r="L214" s="582"/>
      <c r="M214" s="273"/>
      <c r="N214" s="273"/>
      <c r="O214" s="582"/>
      <c r="P214" s="36"/>
      <c r="Q214" s="32"/>
      <c r="R214" s="273"/>
      <c r="S214" s="363"/>
      <c r="T214" s="363"/>
      <c r="U214" s="364"/>
      <c r="V214" s="364"/>
      <c r="W214" s="364"/>
      <c r="X214" s="364"/>
      <c r="Y214" s="1077"/>
      <c r="Z214" s="364"/>
      <c r="AA214" s="363"/>
      <c r="AB214" s="363"/>
      <c r="AC214" s="363"/>
      <c r="AD214" s="363"/>
      <c r="AE214" s="363"/>
      <c r="AF214" s="363"/>
      <c r="AG214" s="363"/>
    </row>
    <row r="215" spans="2:33" s="340" customFormat="1">
      <c r="B215" s="272"/>
      <c r="C215" s="273"/>
      <c r="D215" s="361"/>
      <c r="E215" s="272"/>
      <c r="F215" s="365"/>
      <c r="G215" s="365"/>
      <c r="H215" s="365"/>
      <c r="I215" s="365"/>
      <c r="J215" s="272"/>
      <c r="K215" s="578"/>
      <c r="L215" s="582"/>
      <c r="M215" s="273"/>
      <c r="N215" s="273"/>
      <c r="O215" s="582"/>
      <c r="P215" s="36"/>
      <c r="Q215" s="32"/>
      <c r="R215" s="273"/>
      <c r="S215" s="363"/>
      <c r="T215" s="363"/>
      <c r="U215" s="364"/>
      <c r="V215" s="364"/>
      <c r="W215" s="364"/>
      <c r="X215" s="364"/>
      <c r="Y215" s="1077"/>
      <c r="Z215" s="364"/>
      <c r="AA215" s="363"/>
      <c r="AB215" s="363"/>
      <c r="AC215" s="363"/>
      <c r="AD215" s="363"/>
      <c r="AE215" s="363"/>
      <c r="AF215" s="363"/>
      <c r="AG215" s="363"/>
    </row>
    <row r="216" spans="2:33" s="340" customFormat="1">
      <c r="B216" s="272"/>
      <c r="C216" s="273"/>
      <c r="D216" s="361"/>
      <c r="E216" s="272"/>
      <c r="F216" s="365"/>
      <c r="G216" s="365"/>
      <c r="H216" s="365"/>
      <c r="I216" s="365"/>
      <c r="J216" s="272"/>
      <c r="K216" s="578"/>
      <c r="L216" s="582"/>
      <c r="M216" s="273"/>
      <c r="N216" s="273"/>
      <c r="O216" s="582"/>
      <c r="P216" s="36"/>
      <c r="Q216" s="32"/>
      <c r="R216" s="273"/>
      <c r="S216" s="363"/>
      <c r="T216" s="363"/>
      <c r="U216" s="364"/>
      <c r="V216" s="364"/>
      <c r="W216" s="364"/>
      <c r="X216" s="364"/>
      <c r="Y216" s="1077"/>
      <c r="Z216" s="364"/>
      <c r="AA216" s="363"/>
      <c r="AB216" s="363"/>
      <c r="AC216" s="363"/>
      <c r="AD216" s="363"/>
      <c r="AE216" s="363"/>
      <c r="AF216" s="363"/>
      <c r="AG216" s="363"/>
    </row>
    <row r="217" spans="2:33" s="340" customFormat="1">
      <c r="B217" s="272"/>
      <c r="C217" s="273"/>
      <c r="D217" s="361"/>
      <c r="E217" s="272"/>
      <c r="F217" s="365"/>
      <c r="G217" s="365"/>
      <c r="H217" s="365"/>
      <c r="I217" s="365"/>
      <c r="J217" s="272"/>
      <c r="K217" s="578"/>
      <c r="L217" s="582"/>
      <c r="M217" s="273"/>
      <c r="N217" s="273"/>
      <c r="O217" s="582"/>
      <c r="P217" s="36"/>
      <c r="Q217" s="32"/>
      <c r="R217" s="273"/>
      <c r="S217" s="363"/>
      <c r="T217" s="363"/>
      <c r="U217" s="364"/>
      <c r="V217" s="364"/>
      <c r="W217" s="364"/>
      <c r="X217" s="364"/>
      <c r="Y217" s="1077"/>
      <c r="Z217" s="364"/>
      <c r="AA217" s="363"/>
      <c r="AB217" s="363"/>
      <c r="AC217" s="363"/>
      <c r="AD217" s="363"/>
      <c r="AE217" s="363"/>
      <c r="AF217" s="363"/>
      <c r="AG217" s="363"/>
    </row>
    <row r="218" spans="2:33" s="340" customFormat="1">
      <c r="B218" s="272"/>
      <c r="C218" s="273"/>
      <c r="D218" s="361"/>
      <c r="E218" s="272"/>
      <c r="F218" s="365"/>
      <c r="G218" s="365"/>
      <c r="H218" s="365"/>
      <c r="I218" s="365"/>
      <c r="J218" s="272"/>
      <c r="K218" s="578"/>
      <c r="L218" s="582"/>
      <c r="M218" s="273"/>
      <c r="N218" s="273"/>
      <c r="O218" s="582"/>
      <c r="P218" s="36"/>
      <c r="Q218" s="32"/>
      <c r="R218" s="273"/>
      <c r="S218" s="363"/>
      <c r="T218" s="363"/>
      <c r="U218" s="364"/>
      <c r="V218" s="364"/>
      <c r="W218" s="364"/>
      <c r="X218" s="364"/>
      <c r="Y218" s="1077"/>
      <c r="Z218" s="364"/>
      <c r="AA218" s="363"/>
      <c r="AB218" s="363"/>
      <c r="AC218" s="363"/>
      <c r="AD218" s="363"/>
      <c r="AE218" s="363"/>
      <c r="AF218" s="363"/>
      <c r="AG218" s="363"/>
    </row>
    <row r="219" spans="2:33" s="340" customFormat="1">
      <c r="B219" s="272"/>
      <c r="C219" s="273"/>
      <c r="D219" s="361"/>
      <c r="E219" s="272"/>
      <c r="F219" s="365"/>
      <c r="G219" s="365"/>
      <c r="H219" s="365"/>
      <c r="I219" s="365"/>
      <c r="J219" s="272"/>
      <c r="K219" s="578"/>
      <c r="L219" s="582"/>
      <c r="M219" s="273"/>
      <c r="N219" s="273"/>
      <c r="O219" s="582"/>
      <c r="P219" s="36"/>
      <c r="Q219" s="32"/>
      <c r="R219" s="273"/>
      <c r="S219" s="363"/>
      <c r="T219" s="363"/>
      <c r="U219" s="364"/>
      <c r="V219" s="364"/>
      <c r="W219" s="364"/>
      <c r="X219" s="364"/>
      <c r="Y219" s="1077"/>
      <c r="Z219" s="364"/>
      <c r="AA219" s="363"/>
      <c r="AB219" s="363"/>
      <c r="AC219" s="363"/>
      <c r="AD219" s="363"/>
      <c r="AE219" s="363"/>
      <c r="AF219" s="363"/>
      <c r="AG219" s="363"/>
    </row>
    <row r="220" spans="2:33" s="340" customFormat="1">
      <c r="B220" s="272"/>
      <c r="C220" s="273"/>
      <c r="D220" s="361"/>
      <c r="E220" s="272"/>
      <c r="F220" s="365"/>
      <c r="G220" s="365"/>
      <c r="H220" s="365"/>
      <c r="I220" s="365"/>
      <c r="J220" s="272"/>
      <c r="K220" s="578"/>
      <c r="L220" s="582"/>
      <c r="M220" s="273"/>
      <c r="N220" s="273"/>
      <c r="O220" s="582"/>
      <c r="P220" s="36"/>
      <c r="Q220" s="32"/>
      <c r="R220" s="273"/>
      <c r="S220" s="363"/>
      <c r="T220" s="363"/>
      <c r="U220" s="364"/>
      <c r="V220" s="364"/>
      <c r="W220" s="364"/>
      <c r="X220" s="364"/>
      <c r="Y220" s="1077"/>
      <c r="Z220" s="364"/>
      <c r="AA220" s="363"/>
      <c r="AB220" s="363"/>
      <c r="AC220" s="363"/>
      <c r="AD220" s="363"/>
      <c r="AE220" s="363"/>
      <c r="AF220" s="363"/>
      <c r="AG220" s="363"/>
    </row>
    <row r="221" spans="2:33" s="340" customFormat="1">
      <c r="B221" s="272"/>
      <c r="C221" s="273"/>
      <c r="D221" s="361"/>
      <c r="E221" s="272"/>
      <c r="F221" s="365"/>
      <c r="G221" s="365"/>
      <c r="H221" s="365"/>
      <c r="I221" s="365"/>
      <c r="J221" s="272"/>
      <c r="K221" s="578"/>
      <c r="L221" s="582"/>
      <c r="M221" s="273"/>
      <c r="N221" s="273"/>
      <c r="O221" s="582"/>
      <c r="P221" s="36"/>
      <c r="Q221" s="32"/>
      <c r="R221" s="273"/>
      <c r="S221" s="363"/>
      <c r="T221" s="363"/>
      <c r="U221" s="364"/>
      <c r="V221" s="364"/>
      <c r="W221" s="364"/>
      <c r="X221" s="364"/>
      <c r="Y221" s="1077"/>
      <c r="Z221" s="364"/>
      <c r="AA221" s="363"/>
      <c r="AB221" s="363"/>
      <c r="AC221" s="363"/>
      <c r="AD221" s="363"/>
      <c r="AE221" s="363"/>
      <c r="AF221" s="363"/>
      <c r="AG221" s="363"/>
    </row>
    <row r="222" spans="2:33" s="340" customFormat="1">
      <c r="B222" s="272"/>
      <c r="C222" s="273"/>
      <c r="D222" s="361"/>
      <c r="E222" s="272"/>
      <c r="F222" s="365"/>
      <c r="G222" s="365"/>
      <c r="H222" s="365"/>
      <c r="I222" s="365"/>
      <c r="J222" s="272"/>
      <c r="K222" s="578"/>
      <c r="L222" s="582"/>
      <c r="M222" s="273"/>
      <c r="N222" s="273"/>
      <c r="O222" s="582"/>
      <c r="P222" s="36"/>
      <c r="Q222" s="32"/>
      <c r="R222" s="273"/>
      <c r="S222" s="363"/>
      <c r="T222" s="363"/>
      <c r="U222" s="364"/>
      <c r="V222" s="364"/>
      <c r="W222" s="364"/>
      <c r="X222" s="364"/>
      <c r="Y222" s="1077"/>
      <c r="Z222" s="364"/>
      <c r="AA222" s="363"/>
      <c r="AB222" s="363"/>
      <c r="AC222" s="363"/>
      <c r="AD222" s="363"/>
      <c r="AE222" s="363"/>
      <c r="AF222" s="363"/>
      <c r="AG222" s="363"/>
    </row>
    <row r="223" spans="2:33" s="340" customFormat="1">
      <c r="B223" s="272"/>
      <c r="C223" s="273"/>
      <c r="D223" s="361"/>
      <c r="E223" s="272"/>
      <c r="F223" s="365"/>
      <c r="G223" s="365"/>
      <c r="H223" s="365"/>
      <c r="I223" s="365"/>
      <c r="J223" s="272"/>
      <c r="K223" s="578"/>
      <c r="L223" s="582"/>
      <c r="M223" s="273"/>
      <c r="N223" s="273"/>
      <c r="O223" s="582"/>
      <c r="P223" s="36"/>
      <c r="Q223" s="32"/>
      <c r="R223" s="273"/>
      <c r="S223" s="363"/>
      <c r="T223" s="363"/>
      <c r="U223" s="364"/>
      <c r="V223" s="364"/>
      <c r="W223" s="364"/>
      <c r="X223" s="364"/>
      <c r="Y223" s="1077"/>
      <c r="Z223" s="364"/>
      <c r="AA223" s="363"/>
      <c r="AB223" s="363"/>
      <c r="AC223" s="363"/>
      <c r="AD223" s="363"/>
      <c r="AE223" s="363"/>
      <c r="AF223" s="363"/>
      <c r="AG223" s="363"/>
    </row>
    <row r="224" spans="2:33" s="340" customFormat="1">
      <c r="B224" s="272"/>
      <c r="C224" s="273"/>
      <c r="D224" s="361"/>
      <c r="E224" s="272"/>
      <c r="F224" s="365"/>
      <c r="G224" s="365"/>
      <c r="H224" s="365"/>
      <c r="I224" s="365"/>
      <c r="J224" s="272"/>
      <c r="K224" s="578"/>
      <c r="L224" s="582"/>
      <c r="M224" s="273"/>
      <c r="N224" s="273"/>
      <c r="O224" s="582"/>
      <c r="P224" s="36"/>
      <c r="Q224" s="32"/>
      <c r="R224" s="273"/>
      <c r="S224" s="363"/>
      <c r="T224" s="363"/>
      <c r="U224" s="364"/>
      <c r="V224" s="364"/>
      <c r="W224" s="364"/>
      <c r="X224" s="364"/>
      <c r="Y224" s="1077"/>
      <c r="Z224" s="364"/>
      <c r="AA224" s="363"/>
      <c r="AB224" s="363"/>
      <c r="AC224" s="363"/>
      <c r="AD224" s="363"/>
      <c r="AE224" s="363"/>
      <c r="AF224" s="363"/>
      <c r="AG224" s="363"/>
    </row>
    <row r="225" spans="2:33" s="340" customFormat="1">
      <c r="B225" s="272"/>
      <c r="C225" s="273"/>
      <c r="D225" s="361"/>
      <c r="E225" s="272"/>
      <c r="F225" s="365"/>
      <c r="G225" s="365"/>
      <c r="H225" s="365"/>
      <c r="I225" s="365"/>
      <c r="J225" s="272"/>
      <c r="K225" s="578"/>
      <c r="L225" s="582"/>
      <c r="M225" s="273"/>
      <c r="N225" s="273"/>
      <c r="O225" s="582"/>
      <c r="P225" s="36"/>
      <c r="Q225" s="32"/>
      <c r="R225" s="273"/>
      <c r="S225" s="363"/>
      <c r="T225" s="363"/>
      <c r="U225" s="364"/>
      <c r="V225" s="364"/>
      <c r="W225" s="364"/>
      <c r="X225" s="364"/>
      <c r="Y225" s="1077"/>
      <c r="Z225" s="364"/>
      <c r="AA225" s="363"/>
      <c r="AB225" s="363"/>
      <c r="AC225" s="363"/>
      <c r="AD225" s="363"/>
      <c r="AE225" s="363"/>
      <c r="AF225" s="363"/>
      <c r="AG225" s="363"/>
    </row>
    <row r="226" spans="2:33">
      <c r="B226" s="272"/>
      <c r="C226" s="273"/>
      <c r="D226" s="361"/>
      <c r="E226" s="272"/>
      <c r="F226" s="365"/>
      <c r="G226" s="365"/>
      <c r="H226" s="365"/>
      <c r="I226" s="365"/>
      <c r="J226" s="272"/>
      <c r="K226" s="578"/>
      <c r="L226" s="582"/>
      <c r="M226" s="273"/>
      <c r="N226" s="273"/>
      <c r="O226" s="582"/>
      <c r="R226" s="273"/>
      <c r="S226" s="363"/>
      <c r="T226" s="363"/>
      <c r="U226" s="364"/>
      <c r="V226" s="364"/>
      <c r="W226" s="364"/>
      <c r="X226" s="364"/>
      <c r="Y226" s="1077"/>
      <c r="Z226" s="364"/>
      <c r="AA226" s="273"/>
      <c r="AB226" s="272"/>
      <c r="AC226" s="272"/>
      <c r="AD226" s="272"/>
      <c r="AE226" s="272"/>
      <c r="AF226" s="272"/>
      <c r="AG226" s="272"/>
    </row>
    <row r="227" spans="2:33">
      <c r="B227" s="272"/>
      <c r="C227" s="273"/>
      <c r="D227" s="361"/>
      <c r="E227" s="272"/>
      <c r="F227" s="365"/>
      <c r="G227" s="365"/>
      <c r="H227" s="365"/>
      <c r="I227" s="365"/>
      <c r="J227" s="272"/>
      <c r="K227" s="578"/>
      <c r="L227" s="582"/>
      <c r="M227" s="273"/>
      <c r="N227" s="273"/>
      <c r="O227" s="582"/>
      <c r="R227" s="273"/>
      <c r="S227" s="363"/>
      <c r="T227" s="363"/>
      <c r="U227" s="364"/>
      <c r="V227" s="364"/>
      <c r="W227" s="364"/>
      <c r="X227" s="364"/>
      <c r="Y227" s="1077"/>
      <c r="Z227" s="364"/>
      <c r="AA227" s="273"/>
      <c r="AB227" s="272"/>
      <c r="AC227" s="272"/>
      <c r="AD227" s="272"/>
      <c r="AE227" s="272"/>
      <c r="AF227" s="272"/>
      <c r="AG227" s="272"/>
    </row>
    <row r="228" spans="2:33">
      <c r="B228" s="272"/>
      <c r="C228" s="273"/>
      <c r="D228" s="361"/>
      <c r="E228" s="272"/>
      <c r="F228" s="365"/>
      <c r="G228" s="365"/>
      <c r="H228" s="365"/>
      <c r="I228" s="365"/>
      <c r="J228" s="272"/>
      <c r="K228" s="578"/>
      <c r="L228" s="582"/>
      <c r="M228" s="273"/>
      <c r="N228" s="273"/>
      <c r="O228" s="582"/>
      <c r="R228" s="273"/>
      <c r="S228" s="363"/>
      <c r="T228" s="363"/>
      <c r="U228" s="364"/>
      <c r="V228" s="364"/>
      <c r="W228" s="364"/>
      <c r="X228" s="364"/>
      <c r="Y228" s="1077"/>
      <c r="Z228" s="364"/>
      <c r="AA228" s="273"/>
      <c r="AB228" s="272"/>
      <c r="AC228" s="272"/>
      <c r="AD228" s="272"/>
      <c r="AE228" s="272"/>
      <c r="AF228" s="272"/>
      <c r="AG228" s="272"/>
    </row>
    <row r="229" spans="2:33">
      <c r="B229" s="272"/>
      <c r="C229" s="273"/>
      <c r="D229" s="361"/>
      <c r="E229" s="272"/>
      <c r="F229" s="365"/>
      <c r="G229" s="365"/>
      <c r="H229" s="365"/>
      <c r="I229" s="365"/>
      <c r="J229" s="272"/>
      <c r="K229" s="578"/>
      <c r="L229" s="582"/>
      <c r="M229" s="273"/>
      <c r="N229" s="273"/>
      <c r="O229" s="582"/>
      <c r="R229" s="273"/>
      <c r="S229" s="363"/>
      <c r="T229" s="363"/>
      <c r="U229" s="364"/>
      <c r="V229" s="364"/>
      <c r="W229" s="364"/>
      <c r="X229" s="364"/>
      <c r="Y229" s="1077"/>
      <c r="Z229" s="364"/>
      <c r="AA229" s="273"/>
      <c r="AB229" s="272"/>
      <c r="AC229" s="272"/>
      <c r="AD229" s="272"/>
      <c r="AE229" s="272"/>
      <c r="AF229" s="272"/>
      <c r="AG229" s="272"/>
    </row>
    <row r="230" spans="2:33">
      <c r="B230" s="272"/>
      <c r="C230" s="273"/>
      <c r="D230" s="361"/>
      <c r="E230" s="272"/>
      <c r="F230" s="365"/>
      <c r="G230" s="365"/>
      <c r="H230" s="365"/>
      <c r="I230" s="365"/>
      <c r="J230" s="272"/>
      <c r="K230" s="578"/>
      <c r="L230" s="582"/>
      <c r="M230" s="273"/>
      <c r="N230" s="273"/>
      <c r="O230" s="582"/>
      <c r="R230" s="273"/>
      <c r="S230" s="363"/>
      <c r="T230" s="363"/>
      <c r="U230" s="364"/>
      <c r="V230" s="364"/>
      <c r="W230" s="364"/>
      <c r="X230" s="364"/>
      <c r="Y230" s="1077"/>
      <c r="Z230" s="364"/>
      <c r="AA230" s="273"/>
      <c r="AB230" s="272"/>
      <c r="AC230" s="272"/>
      <c r="AD230" s="272"/>
      <c r="AE230" s="272"/>
      <c r="AF230" s="272"/>
      <c r="AG230" s="272"/>
    </row>
    <row r="231" spans="2:33">
      <c r="B231" s="272"/>
      <c r="C231" s="273"/>
      <c r="D231" s="361"/>
      <c r="E231" s="272"/>
      <c r="F231" s="365"/>
      <c r="G231" s="365"/>
      <c r="H231" s="365"/>
      <c r="I231" s="365"/>
      <c r="J231" s="272"/>
      <c r="K231" s="578"/>
      <c r="L231" s="582"/>
      <c r="M231" s="273"/>
      <c r="N231" s="273"/>
      <c r="O231" s="582"/>
      <c r="R231" s="273"/>
      <c r="S231" s="363"/>
      <c r="T231" s="363"/>
      <c r="U231" s="364"/>
      <c r="V231" s="364"/>
      <c r="W231" s="364"/>
      <c r="X231" s="364"/>
      <c r="Y231" s="1077"/>
      <c r="Z231" s="364"/>
      <c r="AA231" s="273"/>
      <c r="AB231" s="272"/>
      <c r="AC231" s="272"/>
      <c r="AD231" s="272"/>
      <c r="AE231" s="272"/>
      <c r="AF231" s="272"/>
      <c r="AG231" s="272"/>
    </row>
    <row r="232" spans="2:33">
      <c r="B232" s="272"/>
      <c r="C232" s="273"/>
      <c r="D232" s="361"/>
      <c r="E232" s="272"/>
      <c r="F232" s="365"/>
      <c r="G232" s="365"/>
      <c r="H232" s="365"/>
      <c r="I232" s="365"/>
      <c r="J232" s="272"/>
      <c r="K232" s="578"/>
      <c r="L232" s="582"/>
      <c r="M232" s="273"/>
      <c r="N232" s="273"/>
      <c r="O232" s="582"/>
      <c r="R232" s="273"/>
      <c r="S232" s="363"/>
      <c r="T232" s="363"/>
      <c r="U232" s="364"/>
      <c r="V232" s="364"/>
      <c r="W232" s="364"/>
      <c r="X232" s="364"/>
      <c r="Y232" s="1077"/>
      <c r="Z232" s="364"/>
      <c r="AA232" s="273"/>
      <c r="AB232" s="272"/>
      <c r="AC232" s="272"/>
      <c r="AD232" s="272"/>
      <c r="AE232" s="272"/>
      <c r="AF232" s="272"/>
      <c r="AG232" s="272"/>
    </row>
  </sheetData>
  <autoFilter ref="B4:S137" xr:uid="{6E147DCE-A6F4-47F7-9F8B-7CFC47C10580}"/>
  <mergeCells count="42">
    <mergeCell ref="AF12:AF13"/>
    <mergeCell ref="A144:B149"/>
    <mergeCell ref="A71:B71"/>
    <mergeCell ref="A70:B70"/>
    <mergeCell ref="AC12:AC13"/>
    <mergeCell ref="Z11:Z12"/>
    <mergeCell ref="B29:B30"/>
    <mergeCell ref="A22:B22"/>
    <mergeCell ref="A20:B20"/>
    <mergeCell ref="A21:B21"/>
    <mergeCell ref="W22:Y22"/>
    <mergeCell ref="A96:B96"/>
    <mergeCell ref="A97:B97"/>
    <mergeCell ref="A98:B98"/>
    <mergeCell ref="W98:Y98"/>
    <mergeCell ref="A72:A95"/>
    <mergeCell ref="A150:B155"/>
    <mergeCell ref="A1:L1"/>
    <mergeCell ref="N11:N12"/>
    <mergeCell ref="AA11:AA12"/>
    <mergeCell ref="O11:O12"/>
    <mergeCell ref="A4:B4"/>
    <mergeCell ref="V11:V12"/>
    <mergeCell ref="W11:W12"/>
    <mergeCell ref="C11:C12"/>
    <mergeCell ref="K11:K12"/>
    <mergeCell ref="M11:M12"/>
    <mergeCell ref="U11:U12"/>
    <mergeCell ref="D11:D12"/>
    <mergeCell ref="A69:B69"/>
    <mergeCell ref="U3:Y3"/>
    <mergeCell ref="X11:X12"/>
    <mergeCell ref="B72:B83"/>
    <mergeCell ref="B84:B95"/>
    <mergeCell ref="V2:Y2"/>
    <mergeCell ref="Y11:Y12"/>
    <mergeCell ref="A41:B41"/>
    <mergeCell ref="A42:B42"/>
    <mergeCell ref="A43:B43"/>
    <mergeCell ref="W43:Y43"/>
    <mergeCell ref="B8:B9"/>
    <mergeCell ref="W71:Y71"/>
  </mergeCells>
  <phoneticPr fontId="9"/>
  <printOptions horizontalCentered="1" verticalCentered="1"/>
  <pageMargins left="0.25" right="0.25" top="0.75" bottom="0.75" header="0.3" footer="0.3"/>
  <pageSetup paperSize="9" scale="35" orientation="landscape" r:id="rId1"/>
  <rowBreaks count="1" manualBreakCount="1">
    <brk id="79" max="16383" man="1"/>
  </rowBreaks>
  <ignoredErrors>
    <ignoredError sqref="W11" formula="1"/>
    <ignoredError sqref="W23" formulaRange="1"/>
    <ignoredError sqref="D106:D125 D24" unlockedFormula="1"/>
  </ignoredErrors>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934D-A963-401B-9A22-7B4B58FFF743}">
  <sheetPr codeName="Sheet15">
    <tabColor theme="9" tint="-0.249977111117893"/>
  </sheetPr>
  <dimension ref="A1:BB2"/>
  <sheetViews>
    <sheetView showGridLines="0" zoomScaleNormal="100" workbookViewId="0">
      <pane xSplit="3" ySplit="2" topLeftCell="D3" activePane="bottomRight" state="frozen"/>
      <selection pane="topRight" activeCell="S63" sqref="S63"/>
      <selection pane="bottomLeft" activeCell="S63" sqref="S63"/>
      <selection pane="bottomRight" activeCell="S63" sqref="S63"/>
    </sheetView>
  </sheetViews>
  <sheetFormatPr defaultRowHeight="16.5" outlineLevelCol="1"/>
  <cols>
    <col min="1" max="1" width="24.25" customWidth="1"/>
    <col min="2" max="2" width="15.125" bestFit="1" customWidth="1"/>
    <col min="3" max="3" width="28.75" customWidth="1" outlineLevel="1"/>
    <col min="4" max="4" width="35.5" customWidth="1" outlineLevel="1"/>
    <col min="5" max="5" width="21.375" style="305" customWidth="1"/>
    <col min="6" max="6" width="15.375" customWidth="1"/>
    <col min="7" max="7" width="8.25" bestFit="1" customWidth="1"/>
    <col min="8" max="8" width="8.875" hidden="1" customWidth="1"/>
    <col min="9" max="9" width="11.625" bestFit="1" customWidth="1"/>
    <col min="10" max="10" width="11" bestFit="1" customWidth="1"/>
    <col min="11" max="11" width="10.625" bestFit="1" customWidth="1"/>
    <col min="12" max="12" width="9.875" customWidth="1"/>
    <col min="13" max="13" width="11.25" bestFit="1" customWidth="1"/>
    <col min="14" max="14" width="13.25" style="54" bestFit="1" customWidth="1"/>
    <col min="15" max="15" width="12.625" style="522" bestFit="1" customWidth="1"/>
    <col min="16" max="16" width="11.625" customWidth="1"/>
    <col min="17" max="17" width="14.375" customWidth="1"/>
    <col min="18" max="18" width="13.375" customWidth="1"/>
    <col min="19" max="19" width="15.125" customWidth="1"/>
    <col min="20" max="20" width="14.75" customWidth="1"/>
    <col min="21" max="21" width="17.75" customWidth="1"/>
    <col min="22" max="22" width="8.125" customWidth="1"/>
    <col min="23" max="23" width="8.125" bestFit="1" customWidth="1"/>
    <col min="24" max="24" width="14.25" customWidth="1"/>
    <col min="25" max="25" width="15.875" hidden="1" customWidth="1" outlineLevel="1"/>
    <col min="26" max="26" width="12.125" hidden="1" customWidth="1" outlineLevel="1"/>
    <col min="27" max="27" width="17.875" hidden="1" customWidth="1" outlineLevel="1"/>
    <col min="28" max="28" width="14" hidden="1" customWidth="1" outlineLevel="1"/>
    <col min="29" max="29" width="15.875" hidden="1" customWidth="1" outlineLevel="1"/>
    <col min="30" max="30" width="14.875" hidden="1" customWidth="1" outlineLevel="1"/>
    <col min="31" max="31" width="9.125" hidden="1" customWidth="1" outlineLevel="1"/>
    <col min="32" max="32" width="19.625" hidden="1" customWidth="1" outlineLevel="1"/>
    <col min="33" max="33" width="9.25" customWidth="1" collapsed="1"/>
    <col min="34" max="34" width="8.75" bestFit="1" customWidth="1"/>
    <col min="35" max="35" width="8.625" customWidth="1"/>
    <col min="36" max="36" width="15" customWidth="1"/>
    <col min="37" max="37" width="11.875" customWidth="1"/>
    <col min="38" max="38" width="14.125" customWidth="1"/>
    <col min="39" max="39" width="14.375" customWidth="1"/>
    <col min="40" max="40" width="10.75" customWidth="1"/>
    <col min="41" max="41" width="7.875" customWidth="1"/>
    <col min="42" max="42" width="11.125" customWidth="1"/>
    <col min="43" max="43" width="13" bestFit="1" customWidth="1"/>
    <col min="44" max="45" width="0" hidden="1" customWidth="1" outlineLevel="1"/>
    <col min="46" max="46" width="10.125" hidden="1" customWidth="1" outlineLevel="1"/>
    <col min="47" max="47" width="8.125" hidden="1" customWidth="1" outlineLevel="1"/>
    <col min="48" max="48" width="0" hidden="1" customWidth="1" outlineLevel="1"/>
    <col min="49" max="49" width="13.375" customWidth="1" collapsed="1"/>
    <col min="50" max="50" width="18.375" customWidth="1"/>
    <col min="51" max="51" width="14.125" bestFit="1" customWidth="1"/>
    <col min="52" max="52" width="12.75" bestFit="1" customWidth="1"/>
    <col min="53" max="53" width="14.125" customWidth="1"/>
    <col min="54" max="54" width="43" customWidth="1"/>
  </cols>
  <sheetData>
    <row r="1" spans="1:54" s="105" customFormat="1" ht="33.75" customHeight="1">
      <c r="A1" s="332" t="s">
        <v>2277</v>
      </c>
      <c r="B1" s="148"/>
      <c r="C1" s="3"/>
      <c r="D1" s="3"/>
      <c r="E1" s="2"/>
      <c r="F1" s="3" t="s">
        <v>454</v>
      </c>
      <c r="G1" s="3"/>
      <c r="H1" s="32"/>
      <c r="I1" s="4"/>
      <c r="J1" s="4"/>
      <c r="K1" s="4"/>
      <c r="L1" s="19"/>
      <c r="M1" s="53"/>
      <c r="N1" s="2"/>
      <c r="O1" s="494" t="s">
        <v>455</v>
      </c>
      <c r="P1" s="48"/>
      <c r="Q1" s="48"/>
      <c r="R1" s="48"/>
      <c r="S1" s="48"/>
      <c r="T1" s="279"/>
      <c r="U1" s="48"/>
      <c r="V1" s="48"/>
      <c r="W1" s="48"/>
      <c r="X1" s="48"/>
      <c r="Y1" s="41" t="s">
        <v>1340</v>
      </c>
      <c r="Z1" s="42"/>
      <c r="AA1" s="280"/>
      <c r="AB1" s="42"/>
      <c r="AC1" s="42"/>
      <c r="AD1" s="42"/>
      <c r="AE1" s="42"/>
      <c r="AF1" s="281"/>
      <c r="AG1" s="466" t="s">
        <v>1341</v>
      </c>
      <c r="AH1" s="467" t="s">
        <v>458</v>
      </c>
      <c r="AI1" s="46"/>
      <c r="AJ1" s="46"/>
      <c r="AK1" s="46"/>
      <c r="AL1" s="46"/>
      <c r="AM1" s="47"/>
      <c r="AN1" s="467" t="s">
        <v>1784</v>
      </c>
      <c r="AO1" s="46"/>
      <c r="AP1" s="46"/>
      <c r="AQ1" s="46"/>
      <c r="AR1" s="46"/>
      <c r="AS1" s="46"/>
      <c r="AT1" s="46"/>
      <c r="AU1" s="46"/>
      <c r="AV1" s="47"/>
      <c r="AW1" s="467" t="s">
        <v>1343</v>
      </c>
      <c r="AX1" s="46"/>
      <c r="AY1" s="46"/>
      <c r="AZ1" s="46"/>
      <c r="BA1" s="46"/>
      <c r="BB1" s="47"/>
    </row>
    <row r="2" spans="1:54" s="106" customFormat="1" ht="44.25" customHeight="1" thickBot="1">
      <c r="A2" s="16" t="s">
        <v>2278</v>
      </c>
      <c r="B2" s="16" t="s">
        <v>2279</v>
      </c>
      <c r="C2" s="16" t="s">
        <v>462</v>
      </c>
      <c r="D2" s="16" t="s">
        <v>2280</v>
      </c>
      <c r="E2" s="16" t="s">
        <v>1693</v>
      </c>
      <c r="F2" s="17" t="s">
        <v>1694</v>
      </c>
      <c r="G2" s="33" t="s">
        <v>473</v>
      </c>
      <c r="H2" s="33" t="s">
        <v>1353</v>
      </c>
      <c r="I2" s="16" t="s">
        <v>475</v>
      </c>
      <c r="J2" s="86" t="s">
        <v>1697</v>
      </c>
      <c r="K2" s="86" t="s">
        <v>477</v>
      </c>
      <c r="L2" s="50" t="s">
        <v>1698</v>
      </c>
      <c r="M2" s="16" t="s">
        <v>478</v>
      </c>
      <c r="N2" s="16" t="s">
        <v>479</v>
      </c>
      <c r="O2" s="20" t="s">
        <v>1699</v>
      </c>
      <c r="P2" s="21" t="s">
        <v>1700</v>
      </c>
      <c r="Q2" s="21" t="s">
        <v>1701</v>
      </c>
      <c r="R2" s="21" t="s">
        <v>1702</v>
      </c>
      <c r="S2" s="21" t="s">
        <v>1703</v>
      </c>
      <c r="T2" s="21" t="s">
        <v>1704</v>
      </c>
      <c r="U2" s="21" t="s">
        <v>1705</v>
      </c>
      <c r="V2" s="21" t="s">
        <v>1706</v>
      </c>
      <c r="W2" s="50" t="s">
        <v>1707</v>
      </c>
      <c r="X2" s="21" t="s">
        <v>482</v>
      </c>
      <c r="Y2" s="20" t="s">
        <v>1708</v>
      </c>
      <c r="Z2" s="21" t="s">
        <v>1709</v>
      </c>
      <c r="AA2" s="21" t="s">
        <v>1710</v>
      </c>
      <c r="AB2" s="21" t="s">
        <v>1711</v>
      </c>
      <c r="AC2" s="21" t="s">
        <v>1712</v>
      </c>
      <c r="AD2" s="21" t="s">
        <v>1713</v>
      </c>
      <c r="AE2" s="21" t="s">
        <v>1714</v>
      </c>
      <c r="AF2" s="22" t="s">
        <v>1715</v>
      </c>
      <c r="AG2" s="87" t="s">
        <v>1716</v>
      </c>
      <c r="AH2" s="88" t="s">
        <v>1717</v>
      </c>
      <c r="AI2" s="521" t="s">
        <v>2281</v>
      </c>
      <c r="AJ2" s="521" t="s">
        <v>1719</v>
      </c>
      <c r="AK2" s="38" t="s">
        <v>1721</v>
      </c>
      <c r="AL2" s="23" t="s">
        <v>1722</v>
      </c>
      <c r="AM2" s="55" t="s">
        <v>1723</v>
      </c>
      <c r="AN2" s="34" t="s">
        <v>1724</v>
      </c>
      <c r="AO2" s="34" t="s">
        <v>1725</v>
      </c>
      <c r="AP2" s="34" t="s">
        <v>1726</v>
      </c>
      <c r="AQ2" s="34" t="s">
        <v>495</v>
      </c>
      <c r="AR2" s="51" t="s">
        <v>1727</v>
      </c>
      <c r="AS2" s="51" t="s">
        <v>1728</v>
      </c>
      <c r="AT2" s="51" t="s">
        <v>1729</v>
      </c>
      <c r="AU2" s="51" t="s">
        <v>1730</v>
      </c>
      <c r="AV2" s="51" t="s">
        <v>1731</v>
      </c>
      <c r="AW2" s="25" t="s">
        <v>1732</v>
      </c>
      <c r="AX2" s="26" t="s">
        <v>1733</v>
      </c>
      <c r="AY2" s="27" t="s">
        <v>1734</v>
      </c>
      <c r="AZ2" s="28" t="s">
        <v>1735</v>
      </c>
      <c r="BA2" s="25" t="s">
        <v>1737</v>
      </c>
      <c r="BB2" s="22" t="s">
        <v>1789</v>
      </c>
    </row>
  </sheetData>
  <autoFilter ref="A2:AP2" xr:uid="{7A1B934D-A963-401B-9A22-7B4B58FFF743}"/>
  <phoneticPr fontId="9"/>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24CE-A327-43A3-91A9-502D99491EB8}">
  <sheetPr codeName="Sheet16">
    <tabColor theme="9" tint="0.79998168889431442"/>
  </sheetPr>
  <dimension ref="A1:G11"/>
  <sheetViews>
    <sheetView zoomScaleNormal="100" workbookViewId="0">
      <pane xSplit="6" ySplit="2" topLeftCell="G3" activePane="bottomRight" state="frozen"/>
      <selection pane="topRight" activeCell="G1" sqref="G1"/>
      <selection pane="bottomLeft" activeCell="A3" sqref="A3"/>
      <selection pane="bottomRight" activeCell="F14" sqref="F14"/>
    </sheetView>
  </sheetViews>
  <sheetFormatPr defaultColWidth="14.25" defaultRowHeight="15"/>
  <cols>
    <col min="1" max="2" width="3.25" style="105" customWidth="1"/>
    <col min="3" max="3" width="17.125" style="107" customWidth="1"/>
    <col min="4" max="5" width="5.875" style="108" customWidth="1"/>
    <col min="6" max="6" width="54.625" style="105" customWidth="1"/>
    <col min="7" max="7" width="81.375" style="105" customWidth="1"/>
    <col min="8" max="57" width="9" style="105" bestFit="1" customWidth="1"/>
    <col min="58" max="16384" width="14.25" style="105"/>
  </cols>
  <sheetData>
    <row r="1" spans="1:7">
      <c r="A1" s="3"/>
      <c r="B1" s="3"/>
      <c r="C1" s="1"/>
      <c r="D1" s="2"/>
      <c r="E1" s="2"/>
      <c r="F1" s="3"/>
      <c r="G1" s="47" t="s">
        <v>1691</v>
      </c>
    </row>
    <row r="2" spans="1:7" s="106" customFormat="1" ht="24.75">
      <c r="A2" s="40" t="s">
        <v>2282</v>
      </c>
      <c r="B2" s="40" t="s">
        <v>2283</v>
      </c>
      <c r="C2" s="16" t="s">
        <v>1785</v>
      </c>
      <c r="D2" s="16" t="s">
        <v>1786</v>
      </c>
      <c r="E2" s="16" t="s">
        <v>1787</v>
      </c>
      <c r="F2" s="16" t="s">
        <v>462</v>
      </c>
      <c r="G2" s="22" t="s">
        <v>1738</v>
      </c>
    </row>
    <row r="3" spans="1:7" ht="60">
      <c r="A3" s="67"/>
      <c r="B3" s="67"/>
      <c r="C3" s="284" t="s">
        <v>2284</v>
      </c>
      <c r="D3" s="71" t="s">
        <v>2285</v>
      </c>
      <c r="E3" s="71" t="s">
        <v>2285</v>
      </c>
      <c r="F3" s="67" t="s">
        <v>2286</v>
      </c>
      <c r="G3" s="283" t="s">
        <v>2287</v>
      </c>
    </row>
    <row r="4" spans="1:7" ht="18" customHeight="1">
      <c r="A4" s="67"/>
      <c r="B4" s="67"/>
      <c r="C4" s="68"/>
      <c r="D4" s="69"/>
      <c r="E4" s="69"/>
      <c r="F4" s="67"/>
      <c r="G4" s="3"/>
    </row>
    <row r="5" spans="1:7" ht="18" customHeight="1">
      <c r="A5" s="67"/>
      <c r="B5" s="67"/>
      <c r="C5" s="68"/>
      <c r="D5" s="69"/>
      <c r="E5" s="69"/>
      <c r="F5" s="67"/>
      <c r="G5" s="3"/>
    </row>
    <row r="6" spans="1:7" ht="18" customHeight="1">
      <c r="A6" s="67"/>
      <c r="B6" s="67"/>
      <c r="C6" s="68"/>
      <c r="D6" s="69"/>
      <c r="E6" s="69"/>
      <c r="F6" s="67"/>
      <c r="G6" s="3"/>
    </row>
    <row r="7" spans="1:7" ht="18" customHeight="1">
      <c r="A7" s="67"/>
      <c r="B7" s="67"/>
      <c r="C7" s="70"/>
      <c r="D7" s="71"/>
      <c r="E7" s="71"/>
      <c r="F7" s="72"/>
      <c r="G7" s="3"/>
    </row>
    <row r="8" spans="1:7" ht="18" customHeight="1">
      <c r="A8" s="67"/>
      <c r="B8" s="67"/>
      <c r="C8" s="70"/>
      <c r="D8" s="71"/>
      <c r="E8" s="71"/>
      <c r="F8" s="67"/>
      <c r="G8" s="3"/>
    </row>
    <row r="9" spans="1:7" ht="14.25" customHeight="1">
      <c r="A9" s="3"/>
      <c r="B9" s="3"/>
      <c r="C9" s="1"/>
      <c r="D9" s="2"/>
      <c r="E9" s="2"/>
      <c r="F9" s="3"/>
      <c r="G9" s="3"/>
    </row>
    <row r="11" spans="1:7" ht="16.5" customHeight="1">
      <c r="A11" s="3"/>
      <c r="B11" s="3"/>
      <c r="C11" s="1"/>
      <c r="D11" s="2"/>
      <c r="E11" s="2"/>
      <c r="F11" s="3"/>
      <c r="G11" s="3"/>
    </row>
  </sheetData>
  <autoFilter ref="A2:F8" xr:uid="{6E147DCE-A6F4-47F7-9F8B-7CFC47C10580}"/>
  <phoneticPr fontId="19" type="noConversion"/>
  <pageMargins left="0.70866141732283472" right="0.70866141732283472" top="0.74803149606299213" bottom="0.74803149606299213" header="0.31496062992125984" footer="0.31496062992125984"/>
  <pageSetup paperSize="8" scale="70" orientation="landscape"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418FC-601E-4F3E-932B-B4BA643DC9BC}">
  <sheetPr codeName="Sheet17">
    <tabColor theme="1" tint="0.499984740745262"/>
  </sheetPr>
  <dimension ref="A1:BG110"/>
  <sheetViews>
    <sheetView zoomScaleNormal="100" workbookViewId="0">
      <pane xSplit="3" ySplit="2" topLeftCell="AZ60" activePane="bottomRight" state="frozen"/>
      <selection pane="topRight" activeCell="S63" sqref="S63"/>
      <selection pane="bottomLeft" activeCell="S63" sqref="S63"/>
      <selection pane="bottomRight" activeCell="S63" sqref="S63"/>
    </sheetView>
  </sheetViews>
  <sheetFormatPr defaultColWidth="14.25" defaultRowHeight="15"/>
  <cols>
    <col min="1" max="1" width="21.125" style="3" customWidth="1"/>
    <col min="2" max="2" width="28.125" style="1" customWidth="1"/>
    <col min="3" max="3" width="54.625" style="3" customWidth="1"/>
    <col min="4" max="4" width="30.25" style="3" bestFit="1" customWidth="1"/>
    <col min="5" max="5" width="19.875" style="3" bestFit="1" customWidth="1"/>
    <col min="6" max="6" width="15.625" style="3" bestFit="1" customWidth="1"/>
    <col min="7" max="7" width="7.75" style="3" bestFit="1" customWidth="1"/>
    <col min="8" max="8" width="6.625" style="32" customWidth="1"/>
    <col min="9" max="9" width="15.875" style="32" customWidth="1"/>
    <col min="10" max="10" width="12.75" style="4" customWidth="1"/>
    <col min="11" max="11" width="13.125" style="4" customWidth="1"/>
    <col min="12" max="12" width="12.25" style="2" customWidth="1"/>
    <col min="13" max="13" width="8.875" style="2" bestFit="1" customWidth="1"/>
    <col min="14" max="14" width="11.125" style="3" customWidth="1"/>
    <col min="15" max="15" width="9.625" style="2" customWidth="1"/>
    <col min="16" max="16" width="10.125" style="4" customWidth="1"/>
    <col min="17" max="17" width="10.875" style="4" customWidth="1"/>
    <col min="18" max="18" width="12" style="4" customWidth="1"/>
    <col min="19" max="19" width="15.25" style="11" customWidth="1"/>
    <col min="20" max="20" width="19.25" style="2" customWidth="1"/>
    <col min="21" max="22" width="12.25" style="2" customWidth="1"/>
    <col min="23" max="23" width="17.25" style="2" customWidth="1"/>
    <col min="24" max="24" width="11" style="2" customWidth="1"/>
    <col min="25" max="25" width="14.25" style="2" customWidth="1"/>
    <col min="26" max="26" width="13.375" style="11" customWidth="1"/>
    <col min="27" max="27" width="14" style="8" customWidth="1"/>
    <col min="28" max="28" width="14.375" style="8" customWidth="1"/>
    <col min="29" max="29" width="13.875" style="8" bestFit="1" customWidth="1"/>
    <col min="30" max="30" width="15.375" style="2" bestFit="1" customWidth="1"/>
    <col min="31" max="31" width="11" style="12" customWidth="1"/>
    <col min="32" max="32" width="10.75" style="2" customWidth="1"/>
    <col min="33" max="33" width="14.375" style="2" customWidth="1"/>
    <col min="34" max="34" width="7.625" style="2" customWidth="1"/>
    <col min="35" max="35" width="15" style="2" customWidth="1"/>
    <col min="36" max="36" width="12.75" style="2" bestFit="1" customWidth="1"/>
    <col min="37" max="37" width="18.875" style="2" customWidth="1"/>
    <col min="38" max="38" width="16.625" style="36" customWidth="1"/>
    <col min="39" max="41" width="11.625" style="36" customWidth="1"/>
    <col min="42" max="46" width="13.875" style="36" customWidth="1"/>
    <col min="47" max="47" width="8.125" style="36" customWidth="1"/>
    <col min="48" max="48" width="13.125" style="14" customWidth="1"/>
    <col min="49" max="49" width="17" style="14" customWidth="1"/>
    <col min="50" max="50" width="14.875" style="14" customWidth="1"/>
    <col min="51" max="51" width="16" style="14" customWidth="1"/>
    <col min="52" max="52" width="11.75" style="14" customWidth="1"/>
    <col min="53" max="53" width="11.25" style="2" bestFit="1" customWidth="1"/>
    <col min="54" max="54" width="29.75" style="3" customWidth="1"/>
    <col min="55" max="16384" width="14.25" style="3"/>
  </cols>
  <sheetData>
    <row r="1" spans="1:59">
      <c r="F1" s="3" t="s">
        <v>454</v>
      </c>
      <c r="L1" s="4"/>
      <c r="M1" s="19"/>
      <c r="N1" s="53"/>
      <c r="P1" s="48" t="s">
        <v>455</v>
      </c>
      <c r="Q1" s="48"/>
      <c r="R1" s="48"/>
      <c r="S1" s="48"/>
      <c r="T1" s="48"/>
      <c r="U1" s="49"/>
      <c r="V1" s="48"/>
      <c r="W1" s="48"/>
      <c r="X1" s="48"/>
      <c r="Y1" s="48"/>
      <c r="Z1" s="41" t="s">
        <v>1340</v>
      </c>
      <c r="AA1" s="42"/>
      <c r="AB1" s="43"/>
      <c r="AC1" s="42"/>
      <c r="AD1" s="42"/>
      <c r="AE1" s="42"/>
      <c r="AF1" s="42"/>
      <c r="AG1" s="44"/>
      <c r="AH1" s="24" t="s">
        <v>1341</v>
      </c>
      <c r="AI1" s="45" t="s">
        <v>458</v>
      </c>
      <c r="AJ1" s="46"/>
      <c r="AK1" s="46"/>
      <c r="AL1" s="46"/>
      <c r="AM1" s="46"/>
      <c r="AN1" s="46"/>
      <c r="AO1" s="47"/>
      <c r="AP1" s="45" t="s">
        <v>1690</v>
      </c>
      <c r="AQ1" s="46"/>
      <c r="AR1" s="46"/>
      <c r="AS1" s="46"/>
      <c r="AT1" s="46"/>
      <c r="AU1" s="46"/>
      <c r="AV1" s="46"/>
      <c r="AW1" s="46"/>
      <c r="AX1" s="47"/>
      <c r="AY1" s="45" t="s">
        <v>1343</v>
      </c>
      <c r="AZ1" s="46"/>
      <c r="BA1" s="46"/>
      <c r="BB1" s="46"/>
      <c r="BC1" s="46"/>
      <c r="BD1" s="46"/>
      <c r="BE1" s="47"/>
    </row>
    <row r="2" spans="1:59" s="18" customFormat="1" ht="63">
      <c r="A2" s="40"/>
      <c r="B2" s="16" t="s">
        <v>2288</v>
      </c>
      <c r="C2" s="16" t="s">
        <v>462</v>
      </c>
      <c r="D2" s="16" t="s">
        <v>463</v>
      </c>
      <c r="E2" s="16" t="s">
        <v>1693</v>
      </c>
      <c r="F2" s="17" t="s">
        <v>1694</v>
      </c>
      <c r="G2" s="33" t="s">
        <v>1695</v>
      </c>
      <c r="H2" s="33" t="s">
        <v>1696</v>
      </c>
      <c r="I2" s="33" t="s">
        <v>1353</v>
      </c>
      <c r="J2" s="16" t="s">
        <v>475</v>
      </c>
      <c r="K2" s="86" t="s">
        <v>1697</v>
      </c>
      <c r="L2" s="86" t="s">
        <v>477</v>
      </c>
      <c r="M2" s="50" t="s">
        <v>1698</v>
      </c>
      <c r="N2" s="16" t="s">
        <v>478</v>
      </c>
      <c r="O2" s="16" t="s">
        <v>479</v>
      </c>
      <c r="P2" s="20" t="s">
        <v>1699</v>
      </c>
      <c r="Q2" s="21" t="s">
        <v>1700</v>
      </c>
      <c r="R2" s="21" t="s">
        <v>1701</v>
      </c>
      <c r="S2" s="21" t="s">
        <v>1702</v>
      </c>
      <c r="T2" s="21" t="s">
        <v>1703</v>
      </c>
      <c r="U2" s="21" t="s">
        <v>1704</v>
      </c>
      <c r="V2" s="21" t="s">
        <v>1705</v>
      </c>
      <c r="W2" s="21" t="s">
        <v>1706</v>
      </c>
      <c r="X2" s="50" t="s">
        <v>1707</v>
      </c>
      <c r="Y2" s="21" t="s">
        <v>482</v>
      </c>
      <c r="Z2" s="20" t="s">
        <v>1708</v>
      </c>
      <c r="AA2" s="21" t="s">
        <v>1709</v>
      </c>
      <c r="AB2" s="21" t="s">
        <v>1710</v>
      </c>
      <c r="AC2" s="21" t="s">
        <v>1711</v>
      </c>
      <c r="AD2" s="21" t="s">
        <v>1712</v>
      </c>
      <c r="AE2" s="21" t="s">
        <v>1713</v>
      </c>
      <c r="AF2" s="21" t="s">
        <v>1714</v>
      </c>
      <c r="AG2" s="22" t="s">
        <v>1715</v>
      </c>
      <c r="AH2" s="87" t="s">
        <v>1716</v>
      </c>
      <c r="AI2" s="88" t="s">
        <v>1717</v>
      </c>
      <c r="AJ2" s="89" t="s">
        <v>1788</v>
      </c>
      <c r="AK2" s="89" t="s">
        <v>1719</v>
      </c>
      <c r="AL2" s="38" t="s">
        <v>1720</v>
      </c>
      <c r="AM2" s="38" t="s">
        <v>1721</v>
      </c>
      <c r="AN2" s="23" t="s">
        <v>1722</v>
      </c>
      <c r="AO2" s="55" t="s">
        <v>1723</v>
      </c>
      <c r="AP2" s="34" t="s">
        <v>1724</v>
      </c>
      <c r="AQ2" s="34" t="s">
        <v>1725</v>
      </c>
      <c r="AR2" s="34" t="s">
        <v>1726</v>
      </c>
      <c r="AS2" s="34" t="s">
        <v>495</v>
      </c>
      <c r="AT2" s="51" t="s">
        <v>1727</v>
      </c>
      <c r="AU2" s="51" t="s">
        <v>1728</v>
      </c>
      <c r="AV2" s="51" t="s">
        <v>1729</v>
      </c>
      <c r="AW2" s="51" t="s">
        <v>1730</v>
      </c>
      <c r="AX2" s="51" t="s">
        <v>1731</v>
      </c>
      <c r="AY2" s="25" t="s">
        <v>1732</v>
      </c>
      <c r="AZ2" s="26" t="s">
        <v>1733</v>
      </c>
      <c r="BA2" s="27" t="s">
        <v>1734</v>
      </c>
      <c r="BB2" s="28" t="s">
        <v>1735</v>
      </c>
      <c r="BC2" s="25" t="s">
        <v>1736</v>
      </c>
      <c r="BD2" s="25" t="s">
        <v>1737</v>
      </c>
      <c r="BE2" s="22" t="s">
        <v>1789</v>
      </c>
    </row>
    <row r="3" spans="1:59" s="90" customFormat="1" ht="18" customHeight="1">
      <c r="A3" s="961"/>
      <c r="B3" s="111" t="s">
        <v>2289</v>
      </c>
      <c r="C3" s="112" t="s">
        <v>2290</v>
      </c>
      <c r="D3" s="113" t="s">
        <v>2291</v>
      </c>
      <c r="E3" s="90" t="s">
        <v>2292</v>
      </c>
      <c r="F3" s="125"/>
      <c r="G3" s="125"/>
      <c r="H3" s="371"/>
      <c r="I3" s="142" t="s">
        <v>742</v>
      </c>
      <c r="J3" s="142" t="s">
        <v>742</v>
      </c>
      <c r="K3" s="142"/>
      <c r="L3" s="369"/>
      <c r="M3" s="369"/>
      <c r="O3" s="369"/>
      <c r="P3" s="142"/>
      <c r="Q3" s="142"/>
      <c r="R3" s="142"/>
      <c r="S3" s="369"/>
      <c r="T3" s="369"/>
      <c r="U3" s="374">
        <f>20000000*180</f>
        <v>3600000000</v>
      </c>
      <c r="V3" s="142"/>
      <c r="W3" s="369"/>
      <c r="X3" s="369"/>
      <c r="Y3" s="369" t="s">
        <v>574</v>
      </c>
      <c r="Z3" s="962"/>
      <c r="AA3" s="369" t="s">
        <v>2293</v>
      </c>
      <c r="AB3" s="963">
        <f t="shared" ref="AB3" si="0">(AG3/3.305)*AC3*1.8</f>
        <v>97764562.783661127</v>
      </c>
      <c r="AC3" s="964">
        <v>9800</v>
      </c>
      <c r="AD3" s="965">
        <f>42500*1470</f>
        <v>62475000</v>
      </c>
      <c r="AE3" s="964">
        <f>AD3/AG3*3.305</f>
        <v>11272.581481683683</v>
      </c>
      <c r="AF3" s="369" t="s">
        <v>2294</v>
      </c>
      <c r="AG3" s="374">
        <f>12363+5954</f>
        <v>18317</v>
      </c>
      <c r="AH3" s="369"/>
      <c r="AI3" s="369"/>
      <c r="AJ3" s="369"/>
      <c r="AK3" s="369"/>
      <c r="AL3" s="123"/>
      <c r="AM3" s="123"/>
      <c r="AN3" s="123"/>
      <c r="AO3" s="123"/>
      <c r="AP3" s="138">
        <v>89100000</v>
      </c>
      <c r="AQ3" s="285" t="s">
        <v>307</v>
      </c>
      <c r="AR3" s="138">
        <v>95400000</v>
      </c>
      <c r="AS3" s="138">
        <v>2035006182</v>
      </c>
      <c r="AT3" s="123"/>
      <c r="AU3" s="123"/>
      <c r="AV3" s="125"/>
      <c r="AW3" s="966"/>
      <c r="AX3" s="369"/>
      <c r="AY3" s="369"/>
      <c r="AZ3" s="369"/>
      <c r="BA3" s="369"/>
      <c r="BB3" s="967"/>
      <c r="BD3" s="369" t="s">
        <v>2295</v>
      </c>
    </row>
    <row r="4" spans="1:59" ht="18" customHeight="1">
      <c r="A4" s="2963" t="s">
        <v>2296</v>
      </c>
      <c r="B4" s="111" t="s">
        <v>2297</v>
      </c>
      <c r="C4" s="112" t="s">
        <v>2298</v>
      </c>
      <c r="D4" s="113" t="s">
        <v>2299</v>
      </c>
      <c r="E4" s="118" t="s">
        <v>2300</v>
      </c>
      <c r="F4" s="114"/>
      <c r="G4" s="114"/>
      <c r="H4" s="115"/>
      <c r="I4" s="98">
        <v>45754</v>
      </c>
      <c r="J4" s="98">
        <v>45783</v>
      </c>
      <c r="K4" s="98" t="s">
        <v>1395</v>
      </c>
      <c r="L4" s="98" t="s">
        <v>742</v>
      </c>
      <c r="M4" s="117"/>
      <c r="N4" s="116"/>
      <c r="O4" s="118">
        <v>1</v>
      </c>
      <c r="P4" s="112"/>
      <c r="Q4" s="118"/>
      <c r="R4" s="116"/>
      <c r="S4" s="116"/>
      <c r="T4" s="116"/>
      <c r="U4" s="119">
        <f>20000000*999.92</f>
        <v>19998400000</v>
      </c>
      <c r="V4" s="92">
        <v>5</v>
      </c>
      <c r="W4" s="116"/>
      <c r="X4" s="118"/>
      <c r="Y4" s="118" t="s">
        <v>1066</v>
      </c>
      <c r="Z4" s="118" t="s">
        <v>515</v>
      </c>
      <c r="AA4" s="118" t="s">
        <v>515</v>
      </c>
      <c r="AB4" s="120">
        <f t="shared" ref="AB4:AB11" si="1">(AH4/3.305)*AC4*1.8</f>
        <v>177788387.79623604</v>
      </c>
      <c r="AC4" s="121">
        <f>6640*3.3058*1.8</f>
        <v>39510.921600000001</v>
      </c>
      <c r="AD4" s="122">
        <f>20000000</f>
        <v>20000000</v>
      </c>
      <c r="AE4" s="121">
        <f t="shared" ref="AE4:AE11" si="2">AD4/AH4*3.3058</f>
        <v>8002.4207213749705</v>
      </c>
      <c r="AF4" s="121"/>
      <c r="AG4" s="118" t="s">
        <v>1398</v>
      </c>
      <c r="AH4" s="119">
        <v>8262</v>
      </c>
      <c r="AI4" s="118" t="s">
        <v>1399</v>
      </c>
      <c r="AJ4" s="118" t="s">
        <v>1399</v>
      </c>
      <c r="AK4" s="118" t="s">
        <v>1399</v>
      </c>
      <c r="AL4" s="118"/>
      <c r="AM4" s="118" t="s">
        <v>1399</v>
      </c>
      <c r="AN4" s="118" t="s">
        <v>1401</v>
      </c>
      <c r="AO4" s="118" t="s">
        <v>1402</v>
      </c>
      <c r="AP4" s="110">
        <v>400000000</v>
      </c>
      <c r="AQ4" s="138">
        <v>18230304</v>
      </c>
      <c r="AR4" s="285" t="s">
        <v>307</v>
      </c>
      <c r="AS4" s="274">
        <f t="shared" ref="AS4:AS11" si="3">+BA4/(SUM($BA$11:$BA$23)+SUM($BA$29:$BA$33))*2906550000</f>
        <v>492884394.43403345</v>
      </c>
      <c r="AT4" s="138">
        <v>1018668553</v>
      </c>
      <c r="AU4" s="123"/>
      <c r="AV4" s="123"/>
      <c r="AW4" s="124"/>
      <c r="AX4" s="123"/>
      <c r="AY4" s="123"/>
      <c r="AZ4" s="125"/>
      <c r="BA4" s="126">
        <v>999.92</v>
      </c>
      <c r="BB4" s="127">
        <f>3.6*365*999.92*0.98</f>
        <v>1287616.9823999999</v>
      </c>
      <c r="BC4" s="118" t="s">
        <v>2301</v>
      </c>
      <c r="BD4" s="118" t="s">
        <v>2301</v>
      </c>
      <c r="BE4" s="128"/>
      <c r="BF4" s="118" t="s">
        <v>1406</v>
      </c>
      <c r="BG4" s="90"/>
    </row>
    <row r="5" spans="1:59" ht="18" customHeight="1">
      <c r="A5" s="2963"/>
      <c r="B5" s="111" t="s">
        <v>2302</v>
      </c>
      <c r="C5" s="112" t="s">
        <v>2303</v>
      </c>
      <c r="D5" s="113" t="s">
        <v>2304</v>
      </c>
      <c r="E5" s="118" t="s">
        <v>2305</v>
      </c>
      <c r="F5" s="114"/>
      <c r="G5" s="114"/>
      <c r="H5" s="115"/>
      <c r="I5" s="98">
        <v>45754</v>
      </c>
      <c r="J5" s="98">
        <v>45783</v>
      </c>
      <c r="K5" s="98" t="s">
        <v>1395</v>
      </c>
      <c r="L5" s="98" t="s">
        <v>742</v>
      </c>
      <c r="M5" s="117"/>
      <c r="N5" s="116"/>
      <c r="O5" s="118">
        <v>2</v>
      </c>
      <c r="P5" s="112"/>
      <c r="Q5" s="118"/>
      <c r="R5" s="116"/>
      <c r="S5" s="116"/>
      <c r="T5" s="116"/>
      <c r="U5" s="119">
        <f>20000000*698.32</f>
        <v>13966400000.000002</v>
      </c>
      <c r="V5" s="92">
        <v>5</v>
      </c>
      <c r="W5" s="116"/>
      <c r="X5" s="118"/>
      <c r="Y5" s="118" t="s">
        <v>1066</v>
      </c>
      <c r="Z5" s="118" t="s">
        <v>515</v>
      </c>
      <c r="AA5" s="118" t="s">
        <v>515</v>
      </c>
      <c r="AB5" s="120">
        <f t="shared" si="1"/>
        <v>123614400.95041454</v>
      </c>
      <c r="AC5" s="121">
        <f>8560*3.3058*1.8</f>
        <v>50935.7664</v>
      </c>
      <c r="AD5" s="122">
        <v>20000000</v>
      </c>
      <c r="AE5" s="121">
        <f t="shared" si="2"/>
        <v>14837.522441651705</v>
      </c>
      <c r="AF5" s="121"/>
      <c r="AG5" s="118" t="s">
        <v>1398</v>
      </c>
      <c r="AH5" s="119">
        <v>4456</v>
      </c>
      <c r="AI5" s="118" t="s">
        <v>1399</v>
      </c>
      <c r="AJ5" s="118" t="s">
        <v>1399</v>
      </c>
      <c r="AK5" s="118" t="s">
        <v>1399</v>
      </c>
      <c r="AL5" s="118"/>
      <c r="AM5" s="118" t="s">
        <v>1399</v>
      </c>
      <c r="AN5" s="118" t="s">
        <v>1401</v>
      </c>
      <c r="AO5" s="118" t="s">
        <v>1402</v>
      </c>
      <c r="AP5" s="110">
        <v>400000000</v>
      </c>
      <c r="AQ5" s="138">
        <v>9104578</v>
      </c>
      <c r="AR5" s="285" t="s">
        <v>307</v>
      </c>
      <c r="AS5" s="274">
        <f t="shared" si="3"/>
        <v>246156301.39657936</v>
      </c>
      <c r="AT5" s="138">
        <v>508743401</v>
      </c>
      <c r="AU5" s="123"/>
      <c r="AV5" s="123"/>
      <c r="AW5" s="124"/>
      <c r="AX5" s="123"/>
      <c r="AY5" s="123"/>
      <c r="AZ5" s="125"/>
      <c r="BA5" s="126">
        <v>499.38</v>
      </c>
      <c r="BB5" s="127">
        <f>3.6*365*499.38*0.98</f>
        <v>643061.61359999992</v>
      </c>
      <c r="BC5" s="118" t="s">
        <v>2306</v>
      </c>
      <c r="BD5" s="118" t="s">
        <v>2306</v>
      </c>
      <c r="BE5" s="128"/>
      <c r="BF5" s="118" t="s">
        <v>1406</v>
      </c>
      <c r="BG5" s="90"/>
    </row>
    <row r="6" spans="1:59" ht="18" customHeight="1">
      <c r="A6" s="2963"/>
      <c r="B6" s="111" t="s">
        <v>2307</v>
      </c>
      <c r="C6" s="112" t="s">
        <v>2308</v>
      </c>
      <c r="D6" s="113" t="s">
        <v>2309</v>
      </c>
      <c r="E6" s="118" t="s">
        <v>2310</v>
      </c>
      <c r="F6" s="114"/>
      <c r="G6" s="114"/>
      <c r="H6" s="115"/>
      <c r="I6" s="98">
        <v>45754</v>
      </c>
      <c r="J6" s="98">
        <v>45783</v>
      </c>
      <c r="K6" s="98" t="s">
        <v>1395</v>
      </c>
      <c r="L6" s="98" t="s">
        <v>742</v>
      </c>
      <c r="M6" s="117"/>
      <c r="N6" s="116"/>
      <c r="O6" s="118">
        <v>7</v>
      </c>
      <c r="P6" s="112"/>
      <c r="Q6" s="118"/>
      <c r="R6" s="116"/>
      <c r="S6" s="116"/>
      <c r="T6" s="116"/>
      <c r="U6" s="119">
        <f>20000000*698.32</f>
        <v>13966400000.000002</v>
      </c>
      <c r="V6" s="92">
        <v>5</v>
      </c>
      <c r="W6" s="116"/>
      <c r="X6" s="118"/>
      <c r="Y6" s="118" t="s">
        <v>1066</v>
      </c>
      <c r="Z6" s="118" t="s">
        <v>515</v>
      </c>
      <c r="AA6" s="118" t="s">
        <v>515</v>
      </c>
      <c r="AB6" s="120">
        <f t="shared" si="1"/>
        <v>222215806.70323023</v>
      </c>
      <c r="AC6" s="121">
        <f>6356*3.3058*1.8</f>
        <v>37820.996639999998</v>
      </c>
      <c r="AD6" s="122">
        <v>20000000</v>
      </c>
      <c r="AE6" s="121">
        <f t="shared" si="2"/>
        <v>6128.6614757137559</v>
      </c>
      <c r="AF6" s="121"/>
      <c r="AG6" s="118" t="s">
        <v>1398</v>
      </c>
      <c r="AH6" s="119">
        <v>10788</v>
      </c>
      <c r="AI6" s="118" t="s">
        <v>1399</v>
      </c>
      <c r="AJ6" s="118" t="s">
        <v>1399</v>
      </c>
      <c r="AK6" s="118" t="s">
        <v>1399</v>
      </c>
      <c r="AL6" s="118"/>
      <c r="AM6" s="118" t="s">
        <v>1399</v>
      </c>
      <c r="AN6" s="118" t="s">
        <v>1401</v>
      </c>
      <c r="AO6" s="118" t="s">
        <v>1402</v>
      </c>
      <c r="AP6" s="110">
        <v>400000000</v>
      </c>
      <c r="AQ6" s="138">
        <v>12731604</v>
      </c>
      <c r="AR6" s="285" t="s">
        <v>307</v>
      </c>
      <c r="AS6" s="274">
        <f t="shared" si="3"/>
        <v>344218567.80659878</v>
      </c>
      <c r="AT6" s="138">
        <v>711413537</v>
      </c>
      <c r="AU6" s="123"/>
      <c r="AV6" s="123"/>
      <c r="AW6" s="124"/>
      <c r="AX6" s="123"/>
      <c r="AY6" s="123"/>
      <c r="AZ6" s="125"/>
      <c r="BA6" s="126">
        <v>698.32</v>
      </c>
      <c r="BB6" s="127">
        <f>3.6*365*698.32*0.98</f>
        <v>899240.63040000002</v>
      </c>
      <c r="BC6" s="118" t="s">
        <v>2311</v>
      </c>
      <c r="BD6" s="118" t="s">
        <v>2311</v>
      </c>
      <c r="BE6" s="128"/>
      <c r="BF6" s="118" t="s">
        <v>1406</v>
      </c>
      <c r="BG6" s="90"/>
    </row>
    <row r="7" spans="1:59" ht="18" customHeight="1">
      <c r="A7" s="2963"/>
      <c r="B7" s="111" t="s">
        <v>2312</v>
      </c>
      <c r="C7" s="112" t="s">
        <v>2313</v>
      </c>
      <c r="D7" s="113" t="s">
        <v>2314</v>
      </c>
      <c r="E7" s="118" t="s">
        <v>2315</v>
      </c>
      <c r="F7" s="114"/>
      <c r="G7" s="114"/>
      <c r="H7" s="115"/>
      <c r="I7" s="98">
        <v>45754</v>
      </c>
      <c r="J7" s="98">
        <v>45783</v>
      </c>
      <c r="K7" s="98" t="s">
        <v>1395</v>
      </c>
      <c r="L7" s="98" t="s">
        <v>742</v>
      </c>
      <c r="M7" s="117"/>
      <c r="N7" s="116"/>
      <c r="O7" s="118">
        <v>5</v>
      </c>
      <c r="P7" s="112"/>
      <c r="Q7" s="118"/>
      <c r="R7" s="116"/>
      <c r="S7" s="116"/>
      <c r="T7" s="116"/>
      <c r="U7" s="119">
        <f>20000000*469.04</f>
        <v>9380800000</v>
      </c>
      <c r="V7" s="92">
        <v>5</v>
      </c>
      <c r="W7" s="116"/>
      <c r="X7" s="118"/>
      <c r="Y7" s="118" t="s">
        <v>841</v>
      </c>
      <c r="Z7" s="118" t="s">
        <v>515</v>
      </c>
      <c r="AA7" s="118" t="s">
        <v>515</v>
      </c>
      <c r="AB7" s="120">
        <f t="shared" si="1"/>
        <v>154847070.42241451</v>
      </c>
      <c r="AC7" s="121">
        <f>7937*3.3058*1.8</f>
        <v>47228.64228</v>
      </c>
      <c r="AD7" s="122">
        <v>20000000</v>
      </c>
      <c r="AE7" s="121">
        <f t="shared" si="2"/>
        <v>10982.724252491695</v>
      </c>
      <c r="AF7" s="121"/>
      <c r="AG7" s="118" t="s">
        <v>1398</v>
      </c>
      <c r="AH7" s="119">
        <v>6020</v>
      </c>
      <c r="AI7" s="118" t="s">
        <v>1399</v>
      </c>
      <c r="AJ7" s="118" t="s">
        <v>1399</v>
      </c>
      <c r="AK7" s="118" t="s">
        <v>1399</v>
      </c>
      <c r="AL7" s="118"/>
      <c r="AM7" s="118" t="s">
        <v>1399</v>
      </c>
      <c r="AN7" s="118" t="s">
        <v>1401</v>
      </c>
      <c r="AO7" s="118" t="s">
        <v>1402</v>
      </c>
      <c r="AP7" s="110">
        <v>400000000</v>
      </c>
      <c r="AQ7" s="138">
        <v>8551426</v>
      </c>
      <c r="AR7" s="285" t="s">
        <v>307</v>
      </c>
      <c r="AS7" s="274">
        <f t="shared" si="3"/>
        <v>231200992.44473463</v>
      </c>
      <c r="AT7" s="138">
        <v>477834525</v>
      </c>
      <c r="AU7" s="123"/>
      <c r="AV7" s="123"/>
      <c r="AW7" s="124"/>
      <c r="AX7" s="123"/>
      <c r="AY7" s="123"/>
      <c r="AZ7" s="125"/>
      <c r="BA7" s="126">
        <v>469.04</v>
      </c>
      <c r="BB7" s="127">
        <f>3.6*365*469.04*0.98</f>
        <v>603992.1888</v>
      </c>
      <c r="BC7" s="118" t="s">
        <v>1452</v>
      </c>
      <c r="BD7" s="118" t="s">
        <v>1452</v>
      </c>
      <c r="BE7" s="128"/>
      <c r="BF7" s="118" t="s">
        <v>1406</v>
      </c>
      <c r="BG7" s="90"/>
    </row>
    <row r="8" spans="1:59" ht="18" customHeight="1">
      <c r="A8" s="2963"/>
      <c r="B8" s="111" t="s">
        <v>2316</v>
      </c>
      <c r="C8" s="112" t="s">
        <v>2317</v>
      </c>
      <c r="D8" s="113" t="s">
        <v>2318</v>
      </c>
      <c r="E8" s="118" t="s">
        <v>2319</v>
      </c>
      <c r="F8" s="114"/>
      <c r="G8" s="114"/>
      <c r="H8" s="115"/>
      <c r="I8" s="98">
        <v>45754</v>
      </c>
      <c r="J8" s="98">
        <v>45783</v>
      </c>
      <c r="K8" s="98" t="s">
        <v>1395</v>
      </c>
      <c r="L8" s="98" t="s">
        <v>742</v>
      </c>
      <c r="M8" s="117"/>
      <c r="N8" s="116"/>
      <c r="O8" s="118">
        <v>1</v>
      </c>
      <c r="P8" s="112"/>
      <c r="Q8" s="118"/>
      <c r="R8" s="116"/>
      <c r="S8" s="116"/>
      <c r="T8" s="116"/>
      <c r="U8" s="119">
        <f>20000000*460.53</f>
        <v>9210600000</v>
      </c>
      <c r="V8" s="92">
        <v>5</v>
      </c>
      <c r="W8" s="116"/>
      <c r="X8" s="118"/>
      <c r="Y8" s="118" t="s">
        <v>1469</v>
      </c>
      <c r="Z8" s="118" t="s">
        <v>515</v>
      </c>
      <c r="AA8" s="118" t="s">
        <v>515</v>
      </c>
      <c r="AB8" s="120">
        <f t="shared" si="1"/>
        <v>51744694.959830567</v>
      </c>
      <c r="AC8" s="121">
        <f>4320*3.3058*1.8</f>
        <v>25705.900800000003</v>
      </c>
      <c r="AD8" s="122">
        <v>20000000</v>
      </c>
      <c r="AE8" s="121">
        <f t="shared" si="2"/>
        <v>17888.528138528141</v>
      </c>
      <c r="AF8" s="121"/>
      <c r="AG8" s="118" t="s">
        <v>1398</v>
      </c>
      <c r="AH8" s="119">
        <v>3696</v>
      </c>
      <c r="AI8" s="118" t="s">
        <v>1399</v>
      </c>
      <c r="AJ8" s="118" t="s">
        <v>1399</v>
      </c>
      <c r="AK8" s="118" t="s">
        <v>1399</v>
      </c>
      <c r="AL8" s="118"/>
      <c r="AM8" s="118" t="s">
        <v>1399</v>
      </c>
      <c r="AN8" s="118" t="s">
        <v>1401</v>
      </c>
      <c r="AO8" s="118" t="s">
        <v>1402</v>
      </c>
      <c r="AP8" s="110">
        <v>400000000</v>
      </c>
      <c r="AQ8" s="138">
        <v>8396274</v>
      </c>
      <c r="AR8" s="285" t="s">
        <v>307</v>
      </c>
      <c r="AS8" s="274">
        <f t="shared" si="3"/>
        <v>227006210.66555867</v>
      </c>
      <c r="AT8" s="138">
        <v>469164962</v>
      </c>
      <c r="AU8" s="123"/>
      <c r="AV8" s="123"/>
      <c r="AW8" s="124"/>
      <c r="AX8" s="123"/>
      <c r="AY8" s="123"/>
      <c r="AZ8" s="125"/>
      <c r="BA8" s="126">
        <v>460.53</v>
      </c>
      <c r="BB8" s="127">
        <f>3.6*365*460.53*0.98</f>
        <v>593033.6915999999</v>
      </c>
      <c r="BC8" s="118" t="s">
        <v>2320</v>
      </c>
      <c r="BD8" s="118" t="s">
        <v>2320</v>
      </c>
      <c r="BE8" s="128"/>
      <c r="BF8" s="118" t="s">
        <v>1406</v>
      </c>
      <c r="BG8" s="90"/>
    </row>
    <row r="9" spans="1:59" ht="14.25" customHeight="1">
      <c r="A9" s="2967"/>
      <c r="B9" s="111" t="s">
        <v>2321</v>
      </c>
      <c r="C9" s="112" t="s">
        <v>2322</v>
      </c>
      <c r="D9" s="113" t="s">
        <v>2323</v>
      </c>
      <c r="E9" s="118" t="s">
        <v>2324</v>
      </c>
      <c r="F9" s="114"/>
      <c r="G9" s="114"/>
      <c r="H9" s="115"/>
      <c r="I9" s="116">
        <v>45754</v>
      </c>
      <c r="J9" s="116">
        <v>45783</v>
      </c>
      <c r="K9" s="116" t="s">
        <v>1395</v>
      </c>
      <c r="L9" s="116" t="s">
        <v>742</v>
      </c>
      <c r="M9" s="117"/>
      <c r="N9" s="116"/>
      <c r="O9" s="118">
        <v>1</v>
      </c>
      <c r="P9" s="112"/>
      <c r="Q9" s="118"/>
      <c r="R9" s="116"/>
      <c r="S9" s="116"/>
      <c r="T9" s="116"/>
      <c r="U9" s="119">
        <f t="shared" ref="U9:U11" si="4">20000000*BA9</f>
        <v>15078400000</v>
      </c>
      <c r="V9" s="118">
        <v>5</v>
      </c>
      <c r="W9" s="116"/>
      <c r="X9" s="118"/>
      <c r="Y9" s="118" t="s">
        <v>841</v>
      </c>
      <c r="Z9" s="118" t="s">
        <v>515</v>
      </c>
      <c r="AA9" s="118" t="s">
        <v>515</v>
      </c>
      <c r="AB9" s="134">
        <f t="shared" si="1"/>
        <v>162682544.63864207</v>
      </c>
      <c r="AC9" s="135">
        <f>6127*3.3058*1.8</f>
        <v>36458.345880000001</v>
      </c>
      <c r="AD9" s="136">
        <v>20000000</v>
      </c>
      <c r="AE9" s="135">
        <f t="shared" si="2"/>
        <v>8069.8156963261326</v>
      </c>
      <c r="AF9" s="135"/>
      <c r="AG9" s="118" t="s">
        <v>1398</v>
      </c>
      <c r="AH9" s="119">
        <v>8193</v>
      </c>
      <c r="AI9" s="118" t="s">
        <v>1399</v>
      </c>
      <c r="AJ9" s="118" t="s">
        <v>1399</v>
      </c>
      <c r="AK9" s="118" t="s">
        <v>1399</v>
      </c>
      <c r="AL9" s="118">
        <v>2027</v>
      </c>
      <c r="AM9" s="118" t="s">
        <v>1399</v>
      </c>
      <c r="AN9" s="118" t="s">
        <v>1401</v>
      </c>
      <c r="AO9" s="118" t="s">
        <v>1402</v>
      </c>
      <c r="AP9" s="137">
        <v>400000000</v>
      </c>
      <c r="AQ9" s="138">
        <f t="shared" ref="AQ9:AQ11" si="5">20000000*BA9/1000</f>
        <v>15078400</v>
      </c>
      <c r="AR9" s="285" t="s">
        <v>1445</v>
      </c>
      <c r="AS9" s="286">
        <f t="shared" si="3"/>
        <v>371625132.66231948</v>
      </c>
      <c r="AT9" s="138">
        <f t="shared" ref="AT9:AT11" si="6">+BA9*1050000000/1000</f>
        <v>791616000</v>
      </c>
      <c r="AU9" s="139"/>
      <c r="AV9" s="139"/>
      <c r="AW9" s="140"/>
      <c r="AX9" s="139"/>
      <c r="AY9" s="139"/>
      <c r="AZ9" s="125"/>
      <c r="BA9" s="126">
        <v>753.92</v>
      </c>
      <c r="BB9" s="141">
        <f>3.6*365*BA9*0.98</f>
        <v>970837.86239999987</v>
      </c>
      <c r="BC9" s="118" t="s">
        <v>2325</v>
      </c>
      <c r="BD9" s="118" t="s">
        <v>2325</v>
      </c>
      <c r="BE9" s="128"/>
      <c r="BF9" s="118" t="s">
        <v>1406</v>
      </c>
      <c r="BG9" s="90"/>
    </row>
    <row r="10" spans="1:59">
      <c r="A10" s="2967"/>
      <c r="B10" s="111" t="s">
        <v>2326</v>
      </c>
      <c r="C10" s="118" t="s">
        <v>2327</v>
      </c>
      <c r="D10" s="113" t="s">
        <v>2328</v>
      </c>
      <c r="E10" s="118" t="s">
        <v>2329</v>
      </c>
      <c r="F10" s="114"/>
      <c r="G10" s="114"/>
      <c r="H10" s="115"/>
      <c r="I10" s="116">
        <v>45754</v>
      </c>
      <c r="J10" s="116">
        <v>45783</v>
      </c>
      <c r="K10" s="116" t="s">
        <v>1395</v>
      </c>
      <c r="L10" s="116" t="s">
        <v>742</v>
      </c>
      <c r="M10" s="117"/>
      <c r="N10" s="142"/>
      <c r="O10" s="118">
        <v>1</v>
      </c>
      <c r="P10" s="112"/>
      <c r="Q10" s="118"/>
      <c r="R10" s="116"/>
      <c r="S10" s="116"/>
      <c r="T10" s="116"/>
      <c r="U10" s="119">
        <f t="shared" si="4"/>
        <v>9976000000</v>
      </c>
      <c r="V10" s="118">
        <v>5</v>
      </c>
      <c r="W10" s="116"/>
      <c r="X10" s="118"/>
      <c r="Y10" s="118" t="s">
        <v>841</v>
      </c>
      <c r="Z10" s="118" t="s">
        <v>515</v>
      </c>
      <c r="AA10" s="118" t="s">
        <v>515</v>
      </c>
      <c r="AB10" s="134">
        <f t="shared" si="1"/>
        <v>88546483.672622085</v>
      </c>
      <c r="AC10" s="135">
        <f>5388*3.3058*1.8</f>
        <v>32060.970719999998</v>
      </c>
      <c r="AD10" s="122">
        <v>20000000</v>
      </c>
      <c r="AE10" s="135">
        <f t="shared" si="2"/>
        <v>13038.059554328534</v>
      </c>
      <c r="AF10" s="135"/>
      <c r="AG10" s="118" t="s">
        <v>1398</v>
      </c>
      <c r="AH10" s="119">
        <v>5071</v>
      </c>
      <c r="AI10" s="118" t="s">
        <v>1399</v>
      </c>
      <c r="AJ10" s="118" t="s">
        <v>1399</v>
      </c>
      <c r="AK10" s="118" t="s">
        <v>1399</v>
      </c>
      <c r="AL10" s="118">
        <v>2027</v>
      </c>
      <c r="AM10" s="118" t="s">
        <v>1399</v>
      </c>
      <c r="AN10" s="118" t="s">
        <v>1401</v>
      </c>
      <c r="AO10" s="118" t="s">
        <v>1402</v>
      </c>
      <c r="AP10" s="137">
        <v>400000000</v>
      </c>
      <c r="AQ10" s="138">
        <f t="shared" si="5"/>
        <v>9976000</v>
      </c>
      <c r="AR10" s="285" t="s">
        <v>1445</v>
      </c>
      <c r="AS10" s="286">
        <f t="shared" si="3"/>
        <v>245870405.57614195</v>
      </c>
      <c r="AT10" s="138">
        <f t="shared" si="6"/>
        <v>523740000</v>
      </c>
      <c r="AU10" s="139"/>
      <c r="AV10" s="139"/>
      <c r="AW10" s="140"/>
      <c r="AX10" s="139"/>
      <c r="AY10" s="139"/>
      <c r="AZ10" s="125"/>
      <c r="BA10" s="126">
        <v>498.8</v>
      </c>
      <c r="BB10" s="141">
        <f t="shared" ref="BB10:BB11" si="7">3.6*365*BA10*0.98</f>
        <v>642314.73600000003</v>
      </c>
      <c r="BC10" s="118" t="s">
        <v>2330</v>
      </c>
      <c r="BD10" s="118" t="s">
        <v>2330</v>
      </c>
      <c r="BE10" s="128"/>
      <c r="BF10" s="118" t="s">
        <v>1406</v>
      </c>
      <c r="BG10" s="90"/>
    </row>
    <row r="11" spans="1:59" ht="16.5" customHeight="1">
      <c r="A11" s="2967"/>
      <c r="B11" s="111" t="s">
        <v>2331</v>
      </c>
      <c r="C11" s="112" t="s">
        <v>2332</v>
      </c>
      <c r="D11" s="113" t="s">
        <v>2333</v>
      </c>
      <c r="E11" s="118" t="s">
        <v>2334</v>
      </c>
      <c r="F11" s="114"/>
      <c r="G11" s="114"/>
      <c r="H11" s="115"/>
      <c r="I11" s="116">
        <v>45754</v>
      </c>
      <c r="J11" s="116">
        <v>45783</v>
      </c>
      <c r="K11" s="116" t="s">
        <v>1395</v>
      </c>
      <c r="L11" s="116" t="s">
        <v>742</v>
      </c>
      <c r="M11" s="117"/>
      <c r="N11" s="142"/>
      <c r="O11" s="118">
        <v>1</v>
      </c>
      <c r="P11" s="112"/>
      <c r="Q11" s="118"/>
      <c r="R11" s="116"/>
      <c r="S11" s="116"/>
      <c r="T11" s="116"/>
      <c r="U11" s="119">
        <f t="shared" si="4"/>
        <v>19980000000</v>
      </c>
      <c r="V11" s="118">
        <v>5</v>
      </c>
      <c r="W11" s="116"/>
      <c r="X11" s="118"/>
      <c r="Y11" s="118" t="s">
        <v>841</v>
      </c>
      <c r="Z11" s="118" t="s">
        <v>515</v>
      </c>
      <c r="AA11" s="118" t="s">
        <v>515</v>
      </c>
      <c r="AB11" s="134">
        <f t="shared" si="1"/>
        <v>386092745.62398791</v>
      </c>
      <c r="AC11" s="135">
        <f>8290*3.3058*1.8</f>
        <v>49329.147600000004</v>
      </c>
      <c r="AD11" s="122">
        <v>20000000</v>
      </c>
      <c r="AE11" s="135">
        <f t="shared" si="2"/>
        <v>4600.6540950525368</v>
      </c>
      <c r="AF11" s="135"/>
      <c r="AG11" s="118" t="s">
        <v>1398</v>
      </c>
      <c r="AH11" s="119">
        <v>14371</v>
      </c>
      <c r="AI11" s="118" t="s">
        <v>1399</v>
      </c>
      <c r="AJ11" s="118" t="s">
        <v>1399</v>
      </c>
      <c r="AK11" s="118" t="s">
        <v>1399</v>
      </c>
      <c r="AL11" s="118">
        <v>2027</v>
      </c>
      <c r="AM11" s="118" t="s">
        <v>1399</v>
      </c>
      <c r="AN11" s="118" t="s">
        <v>1401</v>
      </c>
      <c r="AO11" s="118" t="s">
        <v>1402</v>
      </c>
      <c r="AP11" s="137">
        <v>400000000</v>
      </c>
      <c r="AQ11" s="138">
        <f t="shared" si="5"/>
        <v>19980000</v>
      </c>
      <c r="AR11" s="285" t="s">
        <v>1445</v>
      </c>
      <c r="AS11" s="286">
        <f t="shared" si="3"/>
        <v>492430904.51196039</v>
      </c>
      <c r="AT11" s="138">
        <f t="shared" si="6"/>
        <v>1048950000</v>
      </c>
      <c r="AU11" s="139"/>
      <c r="AV11" s="139"/>
      <c r="AW11" s="140"/>
      <c r="AX11" s="139"/>
      <c r="AY11" s="139"/>
      <c r="AZ11" s="125"/>
      <c r="BA11" s="126">
        <v>999</v>
      </c>
      <c r="BB11" s="141">
        <f t="shared" si="7"/>
        <v>1286432.28</v>
      </c>
      <c r="BC11" s="118" t="s">
        <v>2335</v>
      </c>
      <c r="BD11" s="118" t="s">
        <v>2335</v>
      </c>
      <c r="BE11" s="128"/>
      <c r="BF11" s="118" t="s">
        <v>1406</v>
      </c>
      <c r="BG11" s="112" t="s">
        <v>2336</v>
      </c>
    </row>
    <row r="12" spans="1:59" s="90" customFormat="1">
      <c r="A12" s="2967" t="s">
        <v>2337</v>
      </c>
      <c r="B12" s="111" t="s">
        <v>2338</v>
      </c>
      <c r="C12" s="112" t="s">
        <v>1499</v>
      </c>
      <c r="D12" s="113" t="s">
        <v>2339</v>
      </c>
      <c r="E12" s="118" t="s">
        <v>1501</v>
      </c>
      <c r="F12" s="116">
        <v>45572</v>
      </c>
      <c r="G12" s="214">
        <v>999.18</v>
      </c>
      <c r="H12" s="115"/>
      <c r="I12" s="116" t="s">
        <v>742</v>
      </c>
      <c r="J12" s="116" t="s">
        <v>742</v>
      </c>
      <c r="K12" s="116" t="s">
        <v>1395</v>
      </c>
      <c r="L12" s="116" t="s">
        <v>742</v>
      </c>
      <c r="M12" s="117"/>
      <c r="N12" s="116" t="s">
        <v>742</v>
      </c>
      <c r="O12" s="118">
        <v>1</v>
      </c>
      <c r="P12" s="112"/>
      <c r="Q12" s="118"/>
      <c r="R12" s="116"/>
      <c r="S12" s="116"/>
      <c r="T12" s="116"/>
      <c r="U12" s="119">
        <f t="shared" ref="U12:U18" si="8">20000000*G12</f>
        <v>19983600000</v>
      </c>
      <c r="V12" s="118">
        <v>6</v>
      </c>
      <c r="W12" s="116"/>
      <c r="X12" s="116"/>
      <c r="Y12" s="118" t="s">
        <v>685</v>
      </c>
      <c r="Z12" s="118" t="s">
        <v>515</v>
      </c>
      <c r="AA12" s="118" t="s">
        <v>515</v>
      </c>
      <c r="AB12" s="134" t="s">
        <v>793</v>
      </c>
      <c r="AC12" s="135" t="s">
        <v>793</v>
      </c>
      <c r="AD12" s="122"/>
      <c r="AE12" s="121" t="s">
        <v>793</v>
      </c>
      <c r="AF12" s="215">
        <v>300000000</v>
      </c>
      <c r="AG12" s="118" t="s">
        <v>1398</v>
      </c>
      <c r="AH12" s="119">
        <f>2582+1960+1732</f>
        <v>6274</v>
      </c>
      <c r="AI12" s="118" t="s">
        <v>1399</v>
      </c>
      <c r="AJ12" s="118" t="s">
        <v>1399</v>
      </c>
      <c r="AK12" s="216" t="s">
        <v>515</v>
      </c>
      <c r="AL12" s="118">
        <v>2026</v>
      </c>
      <c r="AM12" s="118" t="s">
        <v>1399</v>
      </c>
      <c r="AN12" s="118" t="s">
        <v>1401</v>
      </c>
      <c r="AO12" s="118" t="s">
        <v>1402</v>
      </c>
      <c r="AP12" s="217">
        <v>400000000</v>
      </c>
      <c r="AQ12" s="138"/>
      <c r="AR12" s="285" t="s">
        <v>1445</v>
      </c>
      <c r="AS12" s="286" t="e">
        <f t="shared" ref="AS12:AS18" si="9">+BA12/(SUM($AZ$22:$AZ$30)+SUM($AZ$11:$AZ$30))*2906550000</f>
        <v>#DIV/0!</v>
      </c>
      <c r="AT12" s="138">
        <f t="shared" ref="AT12:AT18" si="10">+G12*1050000000/1000</f>
        <v>1049139000</v>
      </c>
      <c r="AU12" s="123"/>
      <c r="AV12" s="123"/>
      <c r="AW12" s="124"/>
      <c r="AX12" s="123"/>
      <c r="AY12" s="123"/>
      <c r="AZ12" s="125"/>
      <c r="BA12" s="126">
        <v>999.18</v>
      </c>
      <c r="BB12" s="141">
        <f>365*Sheet1!G9*Sheet1!H9</f>
        <v>5746.5599999999995</v>
      </c>
      <c r="BC12" s="118" t="s">
        <v>365</v>
      </c>
      <c r="BD12" s="118" t="s">
        <v>365</v>
      </c>
      <c r="BE12" s="118"/>
      <c r="BF12" s="118" t="s">
        <v>1406</v>
      </c>
    </row>
    <row r="13" spans="1:59" s="90" customFormat="1">
      <c r="A13" s="2967"/>
      <c r="B13" s="111" t="s">
        <v>2340</v>
      </c>
      <c r="C13" s="112" t="s">
        <v>1503</v>
      </c>
      <c r="D13" s="113" t="s">
        <v>2341</v>
      </c>
      <c r="E13" s="118" t="s">
        <v>1505</v>
      </c>
      <c r="F13" s="116">
        <v>45572</v>
      </c>
      <c r="G13" s="214">
        <v>499.59</v>
      </c>
      <c r="H13" s="115"/>
      <c r="I13" s="116" t="s">
        <v>742</v>
      </c>
      <c r="J13" s="116" t="s">
        <v>742</v>
      </c>
      <c r="K13" s="116" t="s">
        <v>1395</v>
      </c>
      <c r="L13" s="116" t="s">
        <v>742</v>
      </c>
      <c r="M13" s="117"/>
      <c r="N13" s="116" t="s">
        <v>742</v>
      </c>
      <c r="O13" s="118">
        <v>1</v>
      </c>
      <c r="P13" s="112"/>
      <c r="Q13" s="118"/>
      <c r="R13" s="116"/>
      <c r="S13" s="116"/>
      <c r="T13" s="116"/>
      <c r="U13" s="119">
        <f t="shared" si="8"/>
        <v>9991800000</v>
      </c>
      <c r="V13" s="118">
        <v>6</v>
      </c>
      <c r="W13" s="116"/>
      <c r="X13" s="116"/>
      <c r="Y13" s="118" t="s">
        <v>685</v>
      </c>
      <c r="Z13" s="118" t="s">
        <v>515</v>
      </c>
      <c r="AA13" s="118" t="s">
        <v>515</v>
      </c>
      <c r="AB13" s="120" t="s">
        <v>793</v>
      </c>
      <c r="AC13" s="121" t="s">
        <v>793</v>
      </c>
      <c r="AD13" s="122"/>
      <c r="AE13" s="121" t="s">
        <v>793</v>
      </c>
      <c r="AF13" s="215">
        <v>150000000</v>
      </c>
      <c r="AG13" s="118" t="s">
        <v>1398</v>
      </c>
      <c r="AH13" s="119">
        <f>3855+1888+1689</f>
        <v>7432</v>
      </c>
      <c r="AI13" s="118" t="s">
        <v>1399</v>
      </c>
      <c r="AJ13" s="118" t="s">
        <v>1399</v>
      </c>
      <c r="AK13" s="216" t="s">
        <v>515</v>
      </c>
      <c r="AL13" s="118">
        <v>2026</v>
      </c>
      <c r="AM13" s="118" t="s">
        <v>1399</v>
      </c>
      <c r="AN13" s="118" t="s">
        <v>1401</v>
      </c>
      <c r="AO13" s="118" t="s">
        <v>1402</v>
      </c>
      <c r="AP13" s="217">
        <v>400000000</v>
      </c>
      <c r="AQ13" s="138"/>
      <c r="AR13" s="285" t="s">
        <v>1445</v>
      </c>
      <c r="AS13" s="286" t="e">
        <f t="shared" si="9"/>
        <v>#DIV/0!</v>
      </c>
      <c r="AT13" s="138">
        <f t="shared" si="10"/>
        <v>524569500</v>
      </c>
      <c r="AU13" s="123"/>
      <c r="AV13" s="123"/>
      <c r="AW13" s="124"/>
      <c r="AX13" s="123"/>
      <c r="AY13" s="123"/>
      <c r="AZ13" s="125"/>
      <c r="BA13" s="126">
        <v>499.59</v>
      </c>
      <c r="BB13" s="141">
        <f>365*Sheet1!G10*Sheet1!H10</f>
        <v>5746.5599999999995</v>
      </c>
      <c r="BC13" s="118" t="s">
        <v>373</v>
      </c>
      <c r="BD13" s="118" t="s">
        <v>373</v>
      </c>
      <c r="BE13" s="118"/>
      <c r="BF13" s="118" t="s">
        <v>1406</v>
      </c>
    </row>
    <row r="14" spans="1:59" s="90" customFormat="1">
      <c r="A14" s="2967"/>
      <c r="B14" s="111" t="s">
        <v>2342</v>
      </c>
      <c r="C14" s="112" t="s">
        <v>1507</v>
      </c>
      <c r="D14" s="113" t="s">
        <v>2343</v>
      </c>
      <c r="E14" s="118" t="s">
        <v>1509</v>
      </c>
      <c r="F14" s="116">
        <v>45572</v>
      </c>
      <c r="G14" s="214">
        <v>499.96</v>
      </c>
      <c r="H14" s="115"/>
      <c r="I14" s="116" t="s">
        <v>742</v>
      </c>
      <c r="J14" s="116" t="s">
        <v>742</v>
      </c>
      <c r="K14" s="116" t="s">
        <v>1395</v>
      </c>
      <c r="L14" s="116" t="s">
        <v>742</v>
      </c>
      <c r="M14" s="117"/>
      <c r="N14" s="116" t="s">
        <v>742</v>
      </c>
      <c r="O14" s="118">
        <v>1</v>
      </c>
      <c r="P14" s="112"/>
      <c r="Q14" s="118"/>
      <c r="R14" s="116"/>
      <c r="S14" s="116"/>
      <c r="T14" s="116"/>
      <c r="U14" s="119">
        <f t="shared" si="8"/>
        <v>9999200000</v>
      </c>
      <c r="V14" s="118">
        <v>6</v>
      </c>
      <c r="W14" s="116"/>
      <c r="X14" s="116"/>
      <c r="Y14" s="118" t="s">
        <v>685</v>
      </c>
      <c r="Z14" s="118" t="s">
        <v>515</v>
      </c>
      <c r="AA14" s="118" t="s">
        <v>515</v>
      </c>
      <c r="AB14" s="120" t="s">
        <v>793</v>
      </c>
      <c r="AC14" s="121" t="s">
        <v>793</v>
      </c>
      <c r="AD14" s="122"/>
      <c r="AE14" s="121" t="s">
        <v>793</v>
      </c>
      <c r="AF14" s="215">
        <v>150000000</v>
      </c>
      <c r="AG14" s="118" t="s">
        <v>1398</v>
      </c>
      <c r="AH14" s="119">
        <v>6264</v>
      </c>
      <c r="AI14" s="118" t="s">
        <v>1399</v>
      </c>
      <c r="AJ14" s="118" t="s">
        <v>1399</v>
      </c>
      <c r="AK14" s="216" t="s">
        <v>515</v>
      </c>
      <c r="AL14" s="118">
        <v>2026</v>
      </c>
      <c r="AM14" s="118" t="s">
        <v>1399</v>
      </c>
      <c r="AN14" s="118" t="s">
        <v>1401</v>
      </c>
      <c r="AO14" s="118" t="s">
        <v>1402</v>
      </c>
      <c r="AP14" s="217">
        <v>400000000</v>
      </c>
      <c r="AQ14" s="138"/>
      <c r="AR14" s="285" t="s">
        <v>1445</v>
      </c>
      <c r="AS14" s="286" t="e">
        <f t="shared" si="9"/>
        <v>#DIV/0!</v>
      </c>
      <c r="AT14" s="138">
        <f t="shared" si="10"/>
        <v>524958000</v>
      </c>
      <c r="AU14" s="123"/>
      <c r="AV14" s="123"/>
      <c r="AW14" s="124"/>
      <c r="AX14" s="123"/>
      <c r="AY14" s="123"/>
      <c r="AZ14" s="125"/>
      <c r="BA14" s="126">
        <v>499.96</v>
      </c>
      <c r="BB14" s="141">
        <f>365*Sheet1!G11*Sheet1!H11</f>
        <v>5746.5599999999995</v>
      </c>
      <c r="BC14" s="118" t="s">
        <v>1510</v>
      </c>
      <c r="BD14" s="118" t="s">
        <v>1510</v>
      </c>
      <c r="BE14" s="118"/>
      <c r="BF14" s="118" t="s">
        <v>1406</v>
      </c>
    </row>
    <row r="15" spans="1:59" s="90" customFormat="1">
      <c r="A15" s="2967"/>
      <c r="B15" s="111" t="s">
        <v>2344</v>
      </c>
      <c r="C15" s="112" t="s">
        <v>1512</v>
      </c>
      <c r="D15" s="113" t="s">
        <v>2345</v>
      </c>
      <c r="E15" s="118" t="s">
        <v>1514</v>
      </c>
      <c r="F15" s="116">
        <v>45572</v>
      </c>
      <c r="G15" s="214">
        <v>699.48</v>
      </c>
      <c r="H15" s="115"/>
      <c r="I15" s="116" t="s">
        <v>742</v>
      </c>
      <c r="J15" s="116" t="s">
        <v>742</v>
      </c>
      <c r="K15" s="116" t="s">
        <v>1395</v>
      </c>
      <c r="L15" s="116" t="s">
        <v>742</v>
      </c>
      <c r="M15" s="117"/>
      <c r="N15" s="116" t="s">
        <v>742</v>
      </c>
      <c r="O15" s="118">
        <v>1</v>
      </c>
      <c r="P15" s="112"/>
      <c r="Q15" s="118"/>
      <c r="R15" s="116"/>
      <c r="S15" s="116"/>
      <c r="T15" s="116"/>
      <c r="U15" s="119">
        <f t="shared" si="8"/>
        <v>13989600000</v>
      </c>
      <c r="V15" s="118">
        <v>6</v>
      </c>
      <c r="W15" s="116"/>
      <c r="X15" s="116"/>
      <c r="Y15" s="118" t="s">
        <v>685</v>
      </c>
      <c r="Z15" s="118" t="s">
        <v>515</v>
      </c>
      <c r="AA15" s="118" t="s">
        <v>515</v>
      </c>
      <c r="AB15" s="120" t="s">
        <v>793</v>
      </c>
      <c r="AC15" s="121" t="s">
        <v>793</v>
      </c>
      <c r="AD15" s="122"/>
      <c r="AE15" s="121" t="s">
        <v>793</v>
      </c>
      <c r="AF15" s="215">
        <v>210000000</v>
      </c>
      <c r="AG15" s="118" t="s">
        <v>1398</v>
      </c>
      <c r="AH15" s="119">
        <v>6645</v>
      </c>
      <c r="AI15" s="118" t="s">
        <v>1399</v>
      </c>
      <c r="AJ15" s="118" t="s">
        <v>1399</v>
      </c>
      <c r="AK15" s="216" t="s">
        <v>515</v>
      </c>
      <c r="AL15" s="118">
        <v>2026</v>
      </c>
      <c r="AM15" s="118" t="s">
        <v>1399</v>
      </c>
      <c r="AN15" s="118" t="s">
        <v>1401</v>
      </c>
      <c r="AO15" s="118" t="s">
        <v>1402</v>
      </c>
      <c r="AP15" s="217">
        <v>400000000</v>
      </c>
      <c r="AQ15" s="138"/>
      <c r="AR15" s="285" t="s">
        <v>1445</v>
      </c>
      <c r="AS15" s="286" t="e">
        <f t="shared" si="9"/>
        <v>#DIV/0!</v>
      </c>
      <c r="AT15" s="138">
        <f t="shared" si="10"/>
        <v>734454000</v>
      </c>
      <c r="AU15" s="123"/>
      <c r="AV15" s="123"/>
      <c r="AW15" s="124"/>
      <c r="AX15" s="123"/>
      <c r="AY15" s="123"/>
      <c r="AZ15" s="125"/>
      <c r="BA15" s="126">
        <v>699.48</v>
      </c>
      <c r="BB15" s="141">
        <f>365*Sheet1!G12*Sheet1!H12</f>
        <v>5671.7349999999988</v>
      </c>
      <c r="BC15" s="118" t="s">
        <v>1515</v>
      </c>
      <c r="BD15" s="118" t="s">
        <v>1515</v>
      </c>
      <c r="BE15" s="118"/>
      <c r="BF15" s="118" t="s">
        <v>1406</v>
      </c>
    </row>
    <row r="16" spans="1:59" s="90" customFormat="1">
      <c r="A16" s="2967"/>
      <c r="B16" s="111" t="s">
        <v>2346</v>
      </c>
      <c r="C16" s="112" t="s">
        <v>1517</v>
      </c>
      <c r="D16" s="113" t="s">
        <v>2347</v>
      </c>
      <c r="E16" s="118" t="s">
        <v>1519</v>
      </c>
      <c r="F16" s="116">
        <v>45572</v>
      </c>
      <c r="G16" s="214">
        <v>900.14</v>
      </c>
      <c r="H16" s="115"/>
      <c r="I16" s="116" t="s">
        <v>742</v>
      </c>
      <c r="J16" s="116" t="s">
        <v>742</v>
      </c>
      <c r="K16" s="116" t="s">
        <v>1395</v>
      </c>
      <c r="L16" s="116" t="s">
        <v>742</v>
      </c>
      <c r="M16" s="117"/>
      <c r="N16" s="116" t="s">
        <v>742</v>
      </c>
      <c r="O16" s="118">
        <v>1</v>
      </c>
      <c r="P16" s="112"/>
      <c r="Q16" s="118"/>
      <c r="R16" s="116"/>
      <c r="S16" s="116"/>
      <c r="T16" s="116"/>
      <c r="U16" s="119">
        <f t="shared" si="8"/>
        <v>18002800000</v>
      </c>
      <c r="V16" s="118">
        <v>6</v>
      </c>
      <c r="W16" s="116"/>
      <c r="X16" s="116"/>
      <c r="Y16" s="118" t="s">
        <v>531</v>
      </c>
      <c r="Z16" s="118" t="s">
        <v>515</v>
      </c>
      <c r="AA16" s="118" t="s">
        <v>515</v>
      </c>
      <c r="AB16" s="120" t="s">
        <v>793</v>
      </c>
      <c r="AC16" s="121" t="s">
        <v>793</v>
      </c>
      <c r="AD16" s="122"/>
      <c r="AE16" s="121" t="s">
        <v>793</v>
      </c>
      <c r="AF16" s="215">
        <v>270000000</v>
      </c>
      <c r="AG16" s="118" t="s">
        <v>1398</v>
      </c>
      <c r="AH16" s="119">
        <v>8226</v>
      </c>
      <c r="AI16" s="118" t="s">
        <v>1399</v>
      </c>
      <c r="AJ16" s="118" t="s">
        <v>1399</v>
      </c>
      <c r="AK16" s="216" t="s">
        <v>515</v>
      </c>
      <c r="AL16" s="118">
        <v>2026</v>
      </c>
      <c r="AM16" s="118" t="s">
        <v>1399</v>
      </c>
      <c r="AN16" s="118" t="s">
        <v>1401</v>
      </c>
      <c r="AO16" s="118" t="s">
        <v>1402</v>
      </c>
      <c r="AP16" s="217">
        <v>400000000</v>
      </c>
      <c r="AQ16" s="138"/>
      <c r="AR16" s="285" t="s">
        <v>1445</v>
      </c>
      <c r="AS16" s="286" t="e">
        <f t="shared" si="9"/>
        <v>#DIV/0!</v>
      </c>
      <c r="AT16" s="138">
        <f t="shared" si="10"/>
        <v>945147000</v>
      </c>
      <c r="AU16" s="123"/>
      <c r="AV16" s="123"/>
      <c r="AW16" s="124"/>
      <c r="AX16" s="123"/>
      <c r="AY16" s="123"/>
      <c r="AZ16" s="125"/>
      <c r="BA16" s="126">
        <v>900.14</v>
      </c>
      <c r="BB16" s="141">
        <f>365*Sheet1!G13*Sheet1!H13</f>
        <v>6269.97</v>
      </c>
      <c r="BC16" s="118" t="s">
        <v>1520</v>
      </c>
      <c r="BD16" s="118" t="s">
        <v>1520</v>
      </c>
      <c r="BE16" s="118"/>
      <c r="BF16" s="118" t="s">
        <v>1406</v>
      </c>
    </row>
    <row r="17" spans="1:58" s="90" customFormat="1">
      <c r="A17" s="2967"/>
      <c r="B17" s="111" t="s">
        <v>2348</v>
      </c>
      <c r="C17" s="112" t="s">
        <v>1522</v>
      </c>
      <c r="D17" s="113" t="s">
        <v>2349</v>
      </c>
      <c r="E17" s="118" t="s">
        <v>1524</v>
      </c>
      <c r="F17" s="116">
        <v>45572</v>
      </c>
      <c r="G17" s="214">
        <v>799.24</v>
      </c>
      <c r="H17" s="115"/>
      <c r="I17" s="116" t="s">
        <v>742</v>
      </c>
      <c r="J17" s="116" t="s">
        <v>742</v>
      </c>
      <c r="K17" s="116" t="s">
        <v>1395</v>
      </c>
      <c r="L17" s="116" t="s">
        <v>742</v>
      </c>
      <c r="M17" s="117"/>
      <c r="N17" s="116" t="s">
        <v>742</v>
      </c>
      <c r="O17" s="118">
        <v>1</v>
      </c>
      <c r="P17" s="112"/>
      <c r="Q17" s="118"/>
      <c r="R17" s="116"/>
      <c r="S17" s="116"/>
      <c r="T17" s="116"/>
      <c r="U17" s="119">
        <f t="shared" si="8"/>
        <v>15984800000</v>
      </c>
      <c r="V17" s="118">
        <v>6</v>
      </c>
      <c r="W17" s="116"/>
      <c r="X17" s="116"/>
      <c r="Y17" s="118" t="s">
        <v>531</v>
      </c>
      <c r="Z17" s="118" t="s">
        <v>515</v>
      </c>
      <c r="AA17" s="118" t="s">
        <v>515</v>
      </c>
      <c r="AB17" s="120" t="s">
        <v>793</v>
      </c>
      <c r="AC17" s="121" t="s">
        <v>793</v>
      </c>
      <c r="AD17" s="122"/>
      <c r="AE17" s="121" t="s">
        <v>793</v>
      </c>
      <c r="AF17" s="215">
        <v>240000000</v>
      </c>
      <c r="AG17" s="118" t="s">
        <v>1398</v>
      </c>
      <c r="AH17" s="119">
        <v>7680</v>
      </c>
      <c r="AI17" s="118" t="s">
        <v>1399</v>
      </c>
      <c r="AJ17" s="118" t="s">
        <v>1399</v>
      </c>
      <c r="AK17" s="216" t="s">
        <v>515</v>
      </c>
      <c r="AL17" s="118">
        <v>2026</v>
      </c>
      <c r="AM17" s="118" t="s">
        <v>1399</v>
      </c>
      <c r="AN17" s="118" t="s">
        <v>1401</v>
      </c>
      <c r="AO17" s="118" t="s">
        <v>1402</v>
      </c>
      <c r="AP17" s="217">
        <v>400000000</v>
      </c>
      <c r="AQ17" s="138"/>
      <c r="AR17" s="285" t="s">
        <v>1445</v>
      </c>
      <c r="AS17" s="286" t="e">
        <f t="shared" si="9"/>
        <v>#DIV/0!</v>
      </c>
      <c r="AT17" s="138">
        <f t="shared" si="10"/>
        <v>839202000</v>
      </c>
      <c r="AU17" s="123"/>
      <c r="AV17" s="123"/>
      <c r="AW17" s="124"/>
      <c r="AX17" s="123"/>
      <c r="AY17" s="123"/>
      <c r="AZ17" s="125"/>
      <c r="BA17" s="126">
        <v>799.24</v>
      </c>
      <c r="BB17" s="141">
        <f>365*Sheet1!G14*Sheet1!H14</f>
        <v>6215.22</v>
      </c>
      <c r="BC17" s="118" t="s">
        <v>1525</v>
      </c>
      <c r="BD17" s="118" t="s">
        <v>1525</v>
      </c>
      <c r="BE17" s="118"/>
      <c r="BF17" s="118" t="s">
        <v>1406</v>
      </c>
    </row>
    <row r="18" spans="1:58" s="90" customFormat="1">
      <c r="A18" s="2968"/>
      <c r="B18" s="218" t="s">
        <v>2350</v>
      </c>
      <c r="C18" s="219" t="s">
        <v>1527</v>
      </c>
      <c r="D18" s="220" t="s">
        <v>2351</v>
      </c>
      <c r="E18" s="221" t="s">
        <v>1529</v>
      </c>
      <c r="F18" s="222">
        <v>45572</v>
      </c>
      <c r="G18" s="223">
        <v>499.96</v>
      </c>
      <c r="H18" s="224"/>
      <c r="I18" s="222" t="s">
        <v>742</v>
      </c>
      <c r="J18" s="222" t="s">
        <v>742</v>
      </c>
      <c r="K18" s="222" t="s">
        <v>1395</v>
      </c>
      <c r="L18" s="222" t="s">
        <v>742</v>
      </c>
      <c r="M18" s="225"/>
      <c r="N18" s="222" t="s">
        <v>742</v>
      </c>
      <c r="O18" s="221">
        <v>1</v>
      </c>
      <c r="P18" s="219"/>
      <c r="Q18" s="221"/>
      <c r="R18" s="222"/>
      <c r="S18" s="222"/>
      <c r="T18" s="222"/>
      <c r="U18" s="230">
        <f t="shared" si="8"/>
        <v>9999200000</v>
      </c>
      <c r="V18" s="221">
        <v>6</v>
      </c>
      <c r="W18" s="222"/>
      <c r="X18" s="221"/>
      <c r="Y18" s="221" t="s">
        <v>1066</v>
      </c>
      <c r="Z18" s="221" t="s">
        <v>515</v>
      </c>
      <c r="AA18" s="221" t="s">
        <v>515</v>
      </c>
      <c r="AB18" s="226" t="s">
        <v>793</v>
      </c>
      <c r="AC18" s="227" t="s">
        <v>793</v>
      </c>
      <c r="AD18" s="228"/>
      <c r="AE18" s="227" t="s">
        <v>793</v>
      </c>
      <c r="AF18" s="229">
        <v>150000000</v>
      </c>
      <c r="AG18" s="221" t="s">
        <v>1398</v>
      </c>
      <c r="AH18" s="230">
        <v>4208</v>
      </c>
      <c r="AI18" s="221" t="s">
        <v>1399</v>
      </c>
      <c r="AJ18" s="221" t="s">
        <v>1399</v>
      </c>
      <c r="AK18" s="287" t="s">
        <v>515</v>
      </c>
      <c r="AL18" s="221">
        <v>2026</v>
      </c>
      <c r="AM18" s="221" t="s">
        <v>1399</v>
      </c>
      <c r="AN18" s="221" t="s">
        <v>1401</v>
      </c>
      <c r="AO18" s="221" t="s">
        <v>1402</v>
      </c>
      <c r="AP18" s="231">
        <v>400000000</v>
      </c>
      <c r="AQ18" s="232"/>
      <c r="AR18" s="288" t="s">
        <v>1445</v>
      </c>
      <c r="AS18" s="289" t="e">
        <f t="shared" si="9"/>
        <v>#DIV/0!</v>
      </c>
      <c r="AT18" s="232">
        <f t="shared" si="10"/>
        <v>524958000</v>
      </c>
      <c r="AU18" s="233"/>
      <c r="AV18" s="233"/>
      <c r="AW18" s="234"/>
      <c r="AX18" s="233"/>
      <c r="AY18" s="233"/>
      <c r="AZ18" s="235"/>
      <c r="BA18" s="236">
        <v>499.96</v>
      </c>
      <c r="BB18" s="237">
        <f>365*Sheet1!G15*Sheet1!H15</f>
        <v>5671.7349999999988</v>
      </c>
      <c r="BC18" s="221" t="s">
        <v>1530</v>
      </c>
      <c r="BD18" s="221" t="s">
        <v>1530</v>
      </c>
      <c r="BE18" s="238"/>
      <c r="BF18" s="221" t="s">
        <v>1406</v>
      </c>
    </row>
    <row r="19" spans="1:58" s="90" customFormat="1">
      <c r="A19" s="1482" t="s">
        <v>2337</v>
      </c>
      <c r="B19" s="377" t="s">
        <v>2352</v>
      </c>
      <c r="H19" s="371"/>
      <c r="I19" s="371"/>
      <c r="J19" s="142"/>
      <c r="K19" s="142"/>
      <c r="L19" s="369"/>
      <c r="M19" s="369"/>
      <c r="O19" s="369"/>
      <c r="P19" s="369"/>
      <c r="Q19" s="142"/>
      <c r="R19" s="142"/>
      <c r="S19" s="372"/>
      <c r="T19" s="369"/>
      <c r="U19" s="369"/>
      <c r="V19" s="369"/>
      <c r="W19" s="369"/>
      <c r="X19" s="369"/>
      <c r="Y19" s="369"/>
      <c r="Z19" s="372"/>
      <c r="AA19" s="373"/>
      <c r="AB19" s="373"/>
      <c r="AC19" s="373"/>
      <c r="AD19" s="369"/>
      <c r="AE19" s="374"/>
      <c r="AF19" s="369"/>
      <c r="AG19" s="369"/>
      <c r="AH19" s="369"/>
      <c r="AI19" s="369"/>
      <c r="AJ19" s="369"/>
      <c r="AK19" s="369"/>
      <c r="AL19" s="375"/>
      <c r="AM19" s="375"/>
      <c r="AN19" s="375"/>
      <c r="AO19" s="375"/>
      <c r="AP19" s="375"/>
      <c r="AQ19" s="375"/>
      <c r="AR19" s="375"/>
      <c r="AS19" s="375"/>
      <c r="AT19" s="375"/>
      <c r="AU19" s="375"/>
      <c r="AV19" s="376"/>
      <c r="AW19" s="376"/>
      <c r="AX19" s="376"/>
      <c r="AY19" s="376"/>
      <c r="AZ19" s="376"/>
      <c r="BA19" s="369"/>
    </row>
    <row r="20" spans="1:58" s="90" customFormat="1">
      <c r="A20" s="1482" t="s">
        <v>2337</v>
      </c>
      <c r="B20" s="377" t="s">
        <v>2353</v>
      </c>
      <c r="H20" s="371"/>
      <c r="I20" s="371"/>
      <c r="J20" s="142"/>
      <c r="K20" s="142"/>
      <c r="L20" s="369"/>
      <c r="M20" s="369"/>
      <c r="O20" s="369"/>
      <c r="P20" s="369"/>
      <c r="Q20" s="142"/>
      <c r="R20" s="142"/>
      <c r="S20" s="372"/>
      <c r="T20" s="369"/>
      <c r="U20" s="369"/>
      <c r="V20" s="369"/>
      <c r="W20" s="369"/>
      <c r="X20" s="369"/>
      <c r="Y20" s="369"/>
      <c r="Z20" s="372"/>
      <c r="AA20" s="373"/>
      <c r="AB20" s="373"/>
      <c r="AC20" s="373"/>
      <c r="AD20" s="369"/>
      <c r="AE20" s="374"/>
      <c r="AF20" s="369"/>
      <c r="AG20" s="369"/>
      <c r="AH20" s="369"/>
      <c r="AI20" s="369"/>
      <c r="AJ20" s="369"/>
      <c r="AK20" s="369"/>
      <c r="AL20" s="375"/>
      <c r="AM20" s="375"/>
      <c r="AN20" s="375"/>
      <c r="AO20" s="375"/>
      <c r="AP20" s="375"/>
      <c r="AQ20" s="375"/>
      <c r="AR20" s="375"/>
      <c r="AS20" s="375"/>
      <c r="AT20" s="375"/>
      <c r="AU20" s="375"/>
      <c r="AV20" s="376"/>
      <c r="AW20" s="376"/>
      <c r="AX20" s="376"/>
      <c r="AY20" s="376"/>
      <c r="AZ20" s="376"/>
      <c r="BA20" s="369"/>
    </row>
    <row r="21" spans="1:58" s="90" customFormat="1">
      <c r="A21" s="1482" t="s">
        <v>2337</v>
      </c>
      <c r="B21" s="111" t="s">
        <v>2354</v>
      </c>
      <c r="H21" s="371"/>
      <c r="I21" s="371"/>
      <c r="J21" s="142"/>
      <c r="K21" s="142"/>
      <c r="L21" s="369"/>
      <c r="M21" s="369"/>
      <c r="O21" s="369"/>
      <c r="P21" s="369"/>
      <c r="Q21" s="142"/>
      <c r="R21" s="142"/>
      <c r="S21" s="372"/>
      <c r="T21" s="369"/>
      <c r="U21" s="369"/>
      <c r="V21" s="369"/>
      <c r="W21" s="369"/>
      <c r="X21" s="369"/>
      <c r="Y21" s="369"/>
      <c r="Z21" s="372"/>
      <c r="AA21" s="373"/>
      <c r="AB21" s="373"/>
      <c r="AC21" s="373"/>
      <c r="AD21" s="369"/>
      <c r="AE21" s="374"/>
      <c r="AF21" s="369"/>
      <c r="AG21" s="369"/>
      <c r="AH21" s="369"/>
      <c r="AI21" s="369"/>
      <c r="AJ21" s="369"/>
      <c r="AK21" s="369"/>
      <c r="AL21" s="375"/>
      <c r="AM21" s="375"/>
      <c r="AN21" s="375"/>
      <c r="AO21" s="375"/>
      <c r="AP21" s="375"/>
      <c r="AQ21" s="375"/>
      <c r="AR21" s="375"/>
      <c r="AS21" s="375"/>
      <c r="AT21" s="375"/>
      <c r="AU21" s="375"/>
      <c r="AV21" s="376"/>
      <c r="AW21" s="376"/>
      <c r="AX21" s="376"/>
      <c r="AY21" s="376"/>
      <c r="AZ21" s="376"/>
      <c r="BA21" s="369"/>
    </row>
    <row r="22" spans="1:58" s="90" customFormat="1">
      <c r="A22" s="2963" t="s">
        <v>2337</v>
      </c>
      <c r="B22" s="111" t="s">
        <v>2355</v>
      </c>
      <c r="C22" s="112" t="s">
        <v>1532</v>
      </c>
      <c r="H22" s="371"/>
      <c r="I22" s="371"/>
      <c r="J22" s="142"/>
      <c r="K22" s="142"/>
      <c r="L22" s="369"/>
      <c r="M22" s="369"/>
      <c r="O22" s="369"/>
      <c r="P22" s="369"/>
      <c r="Q22" s="142"/>
      <c r="R22" s="142"/>
      <c r="S22" s="372"/>
      <c r="T22" s="369"/>
      <c r="U22" s="369"/>
      <c r="V22" s="369"/>
      <c r="W22" s="369"/>
      <c r="X22" s="369"/>
      <c r="Y22" s="369"/>
      <c r="Z22" s="372"/>
      <c r="AA22" s="373"/>
      <c r="AB22" s="373"/>
      <c r="AC22" s="373"/>
      <c r="AD22" s="369"/>
      <c r="AE22" s="374"/>
      <c r="AF22" s="369"/>
      <c r="AG22" s="369"/>
      <c r="AH22" s="369"/>
      <c r="AI22" s="369"/>
      <c r="AJ22" s="369"/>
      <c r="AK22" s="369"/>
      <c r="AL22" s="375"/>
      <c r="AM22" s="375"/>
      <c r="AN22" s="375"/>
      <c r="AO22" s="375"/>
      <c r="AP22" s="375"/>
      <c r="AQ22" s="375"/>
      <c r="AR22" s="375"/>
      <c r="AS22" s="375"/>
      <c r="AT22" s="375"/>
      <c r="AU22" s="375"/>
      <c r="AV22" s="376"/>
      <c r="AW22" s="376"/>
      <c r="AX22" s="376"/>
      <c r="AY22" s="376"/>
      <c r="AZ22" s="376"/>
      <c r="BA22" s="369"/>
    </row>
    <row r="23" spans="1:58" s="90" customFormat="1">
      <c r="A23" s="2963"/>
      <c r="B23" s="111" t="s">
        <v>1537</v>
      </c>
      <c r="C23" s="112" t="s">
        <v>1532</v>
      </c>
      <c r="H23" s="371"/>
      <c r="I23" s="371"/>
      <c r="J23" s="142"/>
      <c r="K23" s="142"/>
      <c r="L23" s="369"/>
      <c r="M23" s="369"/>
      <c r="O23" s="369"/>
      <c r="P23" s="369"/>
      <c r="Q23" s="142"/>
      <c r="R23" s="142"/>
      <c r="S23" s="372"/>
      <c r="T23" s="369"/>
      <c r="U23" s="369"/>
      <c r="V23" s="369"/>
      <c r="W23" s="369"/>
      <c r="X23" s="369"/>
      <c r="Y23" s="369"/>
      <c r="Z23" s="372"/>
      <c r="AA23" s="373"/>
      <c r="AB23" s="373"/>
      <c r="AC23" s="373"/>
      <c r="AD23" s="369"/>
      <c r="AE23" s="374"/>
      <c r="AF23" s="369"/>
      <c r="AG23" s="369"/>
      <c r="AH23" s="369"/>
      <c r="AI23" s="369"/>
      <c r="AJ23" s="369"/>
      <c r="AK23" s="369"/>
      <c r="AL23" s="375"/>
      <c r="AM23" s="375"/>
      <c r="AN23" s="375"/>
      <c r="AO23" s="375"/>
      <c r="AP23" s="375"/>
      <c r="AQ23" s="375"/>
      <c r="AR23" s="375"/>
      <c r="AS23" s="375"/>
      <c r="AT23" s="375"/>
      <c r="AU23" s="375"/>
      <c r="AV23" s="376"/>
      <c r="AW23" s="376"/>
      <c r="AX23" s="376"/>
      <c r="AY23" s="376"/>
      <c r="AZ23" s="376"/>
      <c r="BA23" s="369"/>
    </row>
    <row r="24" spans="1:58" s="90" customFormat="1">
      <c r="A24" s="2963"/>
      <c r="B24" s="111" t="s">
        <v>1538</v>
      </c>
      <c r="C24" s="112" t="s">
        <v>1532</v>
      </c>
      <c r="H24" s="371"/>
      <c r="I24" s="371"/>
      <c r="J24" s="142"/>
      <c r="K24" s="142"/>
      <c r="L24" s="369"/>
      <c r="M24" s="369"/>
      <c r="O24" s="369"/>
      <c r="P24" s="369"/>
      <c r="Q24" s="142"/>
      <c r="R24" s="142"/>
      <c r="S24" s="372"/>
      <c r="T24" s="369"/>
      <c r="U24" s="369"/>
      <c r="V24" s="369"/>
      <c r="W24" s="369"/>
      <c r="X24" s="369"/>
      <c r="Y24" s="369"/>
      <c r="Z24" s="372"/>
      <c r="AA24" s="373"/>
      <c r="AB24" s="373"/>
      <c r="AC24" s="373"/>
      <c r="AD24" s="369"/>
      <c r="AE24" s="374"/>
      <c r="AF24" s="369"/>
      <c r="AG24" s="369"/>
      <c r="AH24" s="369"/>
      <c r="AI24" s="369"/>
      <c r="AJ24" s="369"/>
      <c r="AK24" s="369"/>
      <c r="AL24" s="375"/>
      <c r="AM24" s="375"/>
      <c r="AN24" s="375"/>
      <c r="AO24" s="375"/>
      <c r="AP24" s="375"/>
      <c r="AQ24" s="375"/>
      <c r="AR24" s="375"/>
      <c r="AS24" s="375"/>
      <c r="AT24" s="375"/>
      <c r="AU24" s="375"/>
      <c r="AV24" s="376"/>
      <c r="AW24" s="376"/>
      <c r="AX24" s="376"/>
      <c r="AY24" s="376"/>
      <c r="AZ24" s="376"/>
      <c r="BA24" s="369"/>
    </row>
    <row r="25" spans="1:58" s="90" customFormat="1">
      <c r="A25" s="2963"/>
      <c r="B25" s="111" t="s">
        <v>1539</v>
      </c>
      <c r="C25" s="112" t="s">
        <v>1532</v>
      </c>
      <c r="H25" s="371"/>
      <c r="I25" s="371"/>
      <c r="J25" s="142"/>
      <c r="K25" s="142"/>
      <c r="L25" s="369"/>
      <c r="M25" s="369"/>
      <c r="O25" s="369"/>
      <c r="P25" s="369"/>
      <c r="Q25" s="142"/>
      <c r="R25" s="142"/>
      <c r="S25" s="372"/>
      <c r="T25" s="369"/>
      <c r="U25" s="369"/>
      <c r="V25" s="369"/>
      <c r="W25" s="369"/>
      <c r="X25" s="369"/>
      <c r="Y25" s="369"/>
      <c r="Z25" s="372"/>
      <c r="AA25" s="373"/>
      <c r="AB25" s="373"/>
      <c r="AC25" s="373"/>
      <c r="AD25" s="369"/>
      <c r="AE25" s="374"/>
      <c r="AF25" s="369"/>
      <c r="AG25" s="369"/>
      <c r="AH25" s="369"/>
      <c r="AI25" s="369"/>
      <c r="AJ25" s="369"/>
      <c r="AK25" s="369"/>
      <c r="AL25" s="375"/>
      <c r="AM25" s="375"/>
      <c r="AN25" s="375"/>
      <c r="AO25" s="375"/>
      <c r="AP25" s="375"/>
      <c r="AQ25" s="375"/>
      <c r="AR25" s="375"/>
      <c r="AS25" s="375"/>
      <c r="AT25" s="375"/>
      <c r="AU25" s="375"/>
      <c r="AV25" s="376"/>
      <c r="AW25" s="376"/>
      <c r="AX25" s="376"/>
      <c r="AY25" s="376"/>
      <c r="AZ25" s="376"/>
      <c r="BA25" s="369"/>
    </row>
    <row r="26" spans="1:58" s="90" customFormat="1">
      <c r="A26" s="2963"/>
      <c r="B26" s="111" t="s">
        <v>1540</v>
      </c>
      <c r="C26" s="112" t="s">
        <v>1532</v>
      </c>
      <c r="H26" s="371"/>
      <c r="I26" s="371"/>
      <c r="J26" s="142"/>
      <c r="K26" s="142"/>
      <c r="L26" s="369"/>
      <c r="M26" s="369"/>
      <c r="O26" s="369"/>
      <c r="P26" s="369"/>
      <c r="Q26" s="142"/>
      <c r="R26" s="142"/>
      <c r="S26" s="372"/>
      <c r="T26" s="369"/>
      <c r="U26" s="369"/>
      <c r="V26" s="369"/>
      <c r="W26" s="369"/>
      <c r="X26" s="369"/>
      <c r="Y26" s="369"/>
      <c r="Z26" s="372"/>
      <c r="AA26" s="373"/>
      <c r="AB26" s="373"/>
      <c r="AC26" s="373"/>
      <c r="AD26" s="369"/>
      <c r="AE26" s="374"/>
      <c r="AF26" s="369"/>
      <c r="AG26" s="369"/>
      <c r="AH26" s="369"/>
      <c r="AI26" s="369"/>
      <c r="AJ26" s="369"/>
      <c r="AK26" s="369"/>
      <c r="AL26" s="375"/>
      <c r="AM26" s="375"/>
      <c r="AN26" s="375"/>
      <c r="AO26" s="375"/>
      <c r="AP26" s="375"/>
      <c r="AQ26" s="375"/>
      <c r="AR26" s="375"/>
      <c r="AS26" s="375"/>
      <c r="AT26" s="375"/>
      <c r="AU26" s="375"/>
      <c r="AV26" s="376"/>
      <c r="AW26" s="376"/>
      <c r="AX26" s="376"/>
      <c r="AY26" s="376"/>
      <c r="AZ26" s="376"/>
      <c r="BA26" s="369"/>
    </row>
    <row r="27" spans="1:58" s="90" customFormat="1">
      <c r="A27" s="2963"/>
      <c r="B27" s="111" t="s">
        <v>1541</v>
      </c>
      <c r="C27" s="112" t="s">
        <v>1532</v>
      </c>
      <c r="H27" s="371"/>
      <c r="I27" s="371"/>
      <c r="J27" s="142"/>
      <c r="K27" s="142"/>
      <c r="L27" s="369"/>
      <c r="M27" s="369"/>
      <c r="O27" s="369"/>
      <c r="P27" s="369"/>
      <c r="Q27" s="142"/>
      <c r="R27" s="142"/>
      <c r="S27" s="372"/>
      <c r="T27" s="369"/>
      <c r="U27" s="369"/>
      <c r="V27" s="369"/>
      <c r="W27" s="369"/>
      <c r="X27" s="369"/>
      <c r="Y27" s="369"/>
      <c r="Z27" s="372"/>
      <c r="AA27" s="373"/>
      <c r="AB27" s="373"/>
      <c r="AC27" s="373"/>
      <c r="AD27" s="369"/>
      <c r="AE27" s="374"/>
      <c r="AF27" s="369"/>
      <c r="AG27" s="369"/>
      <c r="AH27" s="369"/>
      <c r="AI27" s="369"/>
      <c r="AJ27" s="369"/>
      <c r="AK27" s="369"/>
      <c r="AL27" s="375"/>
      <c r="AM27" s="375"/>
      <c r="AN27" s="375"/>
      <c r="AO27" s="375"/>
      <c r="AP27" s="375"/>
      <c r="AQ27" s="375"/>
      <c r="AR27" s="375"/>
      <c r="AS27" s="375"/>
      <c r="AT27" s="375"/>
      <c r="AU27" s="375"/>
      <c r="AV27" s="376"/>
      <c r="AW27" s="376"/>
      <c r="AX27" s="376"/>
      <c r="AY27" s="376"/>
      <c r="AZ27" s="376"/>
      <c r="BA27" s="369"/>
    </row>
    <row r="28" spans="1:58" s="90" customFormat="1">
      <c r="A28" s="2963"/>
      <c r="B28" s="111" t="s">
        <v>1542</v>
      </c>
      <c r="C28" s="112" t="s">
        <v>1532</v>
      </c>
      <c r="H28" s="371"/>
      <c r="I28" s="371"/>
      <c r="J28" s="142"/>
      <c r="K28" s="142"/>
      <c r="L28" s="369"/>
      <c r="M28" s="369"/>
      <c r="O28" s="369"/>
      <c r="P28" s="369"/>
      <c r="Q28" s="142"/>
      <c r="R28" s="142"/>
      <c r="S28" s="372"/>
      <c r="T28" s="369"/>
      <c r="U28" s="369"/>
      <c r="V28" s="369"/>
      <c r="W28" s="369"/>
      <c r="X28" s="369"/>
      <c r="Y28" s="369"/>
      <c r="Z28" s="372"/>
      <c r="AA28" s="373"/>
      <c r="AB28" s="373"/>
      <c r="AC28" s="373"/>
      <c r="AD28" s="369"/>
      <c r="AE28" s="374"/>
      <c r="AF28" s="369"/>
      <c r="AG28" s="369"/>
      <c r="AH28" s="369"/>
      <c r="AI28" s="369"/>
      <c r="AJ28" s="369"/>
      <c r="AK28" s="369"/>
      <c r="AL28" s="375"/>
      <c r="AM28" s="375"/>
      <c r="AN28" s="375"/>
      <c r="AO28" s="375"/>
      <c r="AP28" s="375"/>
      <c r="AQ28" s="375"/>
      <c r="AR28" s="375"/>
      <c r="AS28" s="375"/>
      <c r="AT28" s="375"/>
      <c r="AU28" s="375"/>
      <c r="AV28" s="376"/>
      <c r="AW28" s="376"/>
      <c r="AX28" s="376"/>
      <c r="AY28" s="376"/>
      <c r="AZ28" s="376"/>
      <c r="BA28" s="369"/>
    </row>
    <row r="29" spans="1:58" s="90" customFormat="1">
      <c r="A29" s="2963"/>
      <c r="B29" s="111" t="s">
        <v>1543</v>
      </c>
      <c r="C29" s="112" t="s">
        <v>1532</v>
      </c>
      <c r="H29" s="371"/>
      <c r="I29" s="371"/>
      <c r="J29" s="142"/>
      <c r="K29" s="142"/>
      <c r="L29" s="369"/>
      <c r="M29" s="369"/>
      <c r="O29" s="369"/>
      <c r="P29" s="369"/>
      <c r="Q29" s="142"/>
      <c r="R29" s="142"/>
      <c r="S29" s="372"/>
      <c r="T29" s="369"/>
      <c r="U29" s="369"/>
      <c r="V29" s="369"/>
      <c r="W29" s="369"/>
      <c r="X29" s="369"/>
      <c r="Y29" s="369"/>
      <c r="Z29" s="372"/>
      <c r="AA29" s="373"/>
      <c r="AB29" s="373"/>
      <c r="AC29" s="373"/>
      <c r="AD29" s="369"/>
      <c r="AE29" s="374"/>
      <c r="AF29" s="369"/>
      <c r="AG29" s="369"/>
      <c r="AH29" s="369"/>
      <c r="AI29" s="369"/>
      <c r="AJ29" s="369"/>
      <c r="AK29" s="369"/>
      <c r="AL29" s="375"/>
      <c r="AM29" s="375"/>
      <c r="AN29" s="375"/>
      <c r="AO29" s="375"/>
      <c r="AP29" s="375"/>
      <c r="AQ29" s="375"/>
      <c r="AR29" s="375"/>
      <c r="AS29" s="375"/>
      <c r="AT29" s="375"/>
      <c r="AU29" s="375"/>
      <c r="AV29" s="376"/>
      <c r="AW29" s="376"/>
      <c r="AX29" s="376"/>
      <c r="AY29" s="376"/>
      <c r="AZ29" s="376"/>
      <c r="BA29" s="369"/>
    </row>
    <row r="30" spans="1:58" s="952" customFormat="1">
      <c r="A30" s="2964"/>
      <c r="B30" s="950" t="s">
        <v>1544</v>
      </c>
      <c r="C30" s="951" t="s">
        <v>1532</v>
      </c>
      <c r="H30" s="953"/>
      <c r="I30" s="953"/>
      <c r="J30" s="954"/>
      <c r="K30" s="954"/>
      <c r="L30" s="955"/>
      <c r="M30" s="955"/>
      <c r="O30" s="955"/>
      <c r="P30" s="955"/>
      <c r="Q30" s="954"/>
      <c r="R30" s="954"/>
      <c r="S30" s="956"/>
      <c r="T30" s="955"/>
      <c r="U30" s="955"/>
      <c r="V30" s="955"/>
      <c r="W30" s="955"/>
      <c r="X30" s="955"/>
      <c r="Y30" s="955"/>
      <c r="Z30" s="956"/>
      <c r="AA30" s="957"/>
      <c r="AB30" s="957"/>
      <c r="AC30" s="957"/>
      <c r="AD30" s="955"/>
      <c r="AE30" s="958"/>
      <c r="AF30" s="955"/>
      <c r="AG30" s="955"/>
      <c r="AH30" s="955"/>
      <c r="AI30" s="955"/>
      <c r="AJ30" s="955"/>
      <c r="AK30" s="955"/>
      <c r="AL30" s="959"/>
      <c r="AM30" s="959"/>
      <c r="AN30" s="959"/>
      <c r="AO30" s="959"/>
      <c r="AP30" s="959"/>
      <c r="AQ30" s="959"/>
      <c r="AR30" s="959"/>
      <c r="AS30" s="959"/>
      <c r="AT30" s="959"/>
      <c r="AU30" s="959"/>
      <c r="AV30" s="960"/>
      <c r="AW30" s="960"/>
      <c r="AX30" s="960"/>
      <c r="AY30" s="960"/>
      <c r="AZ30" s="960"/>
      <c r="BA30" s="955"/>
    </row>
    <row r="31" spans="1:58" s="90" customFormat="1">
      <c r="A31" s="2963" t="s">
        <v>2337</v>
      </c>
      <c r="B31" s="111" t="s">
        <v>2356</v>
      </c>
      <c r="C31" s="112" t="s">
        <v>1546</v>
      </c>
      <c r="H31" s="371"/>
      <c r="I31" s="371"/>
      <c r="J31" s="142"/>
      <c r="K31" s="142"/>
      <c r="L31" s="369"/>
      <c r="M31" s="369"/>
      <c r="O31" s="369"/>
      <c r="P31" s="369"/>
      <c r="Q31" s="142"/>
      <c r="R31" s="142"/>
      <c r="S31" s="372"/>
      <c r="T31" s="369"/>
      <c r="U31" s="369"/>
      <c r="V31" s="369"/>
      <c r="W31" s="369"/>
      <c r="X31" s="369"/>
      <c r="Y31" s="369"/>
      <c r="Z31" s="372"/>
      <c r="AA31" s="373"/>
      <c r="AB31" s="373"/>
      <c r="AC31" s="373"/>
      <c r="AD31" s="369"/>
      <c r="AE31" s="374"/>
      <c r="AF31" s="369"/>
      <c r="AG31" s="369"/>
      <c r="AH31" s="369"/>
      <c r="AI31" s="369"/>
      <c r="AJ31" s="369"/>
      <c r="AK31" s="369"/>
      <c r="AL31" s="375"/>
      <c r="AM31" s="375"/>
      <c r="AN31" s="375"/>
      <c r="AO31" s="375"/>
      <c r="AP31" s="375"/>
      <c r="AQ31" s="375"/>
      <c r="AR31" s="375"/>
      <c r="AS31" s="375"/>
      <c r="AT31" s="375"/>
      <c r="AU31" s="375"/>
      <c r="AV31" s="376"/>
      <c r="AW31" s="376"/>
      <c r="AX31" s="376"/>
      <c r="AY31" s="376"/>
      <c r="AZ31" s="376"/>
      <c r="BA31" s="369"/>
    </row>
    <row r="32" spans="1:58" s="90" customFormat="1">
      <c r="A32" s="2963"/>
      <c r="B32" s="111" t="s">
        <v>1553</v>
      </c>
      <c r="C32" s="112" t="s">
        <v>1554</v>
      </c>
      <c r="H32" s="371"/>
      <c r="I32" s="371"/>
      <c r="J32" s="142"/>
      <c r="K32" s="142"/>
      <c r="L32" s="369"/>
      <c r="M32" s="369"/>
      <c r="O32" s="369"/>
      <c r="P32" s="369"/>
      <c r="Q32" s="142"/>
      <c r="R32" s="142"/>
      <c r="S32" s="372"/>
      <c r="T32" s="369"/>
      <c r="U32" s="369"/>
      <c r="V32" s="369"/>
      <c r="W32" s="369"/>
      <c r="X32" s="369"/>
      <c r="Y32" s="369"/>
      <c r="Z32" s="372"/>
      <c r="AA32" s="373"/>
      <c r="AB32" s="373"/>
      <c r="AC32" s="373"/>
      <c r="AD32" s="369"/>
      <c r="AE32" s="374"/>
      <c r="AF32" s="369"/>
      <c r="AG32" s="369"/>
      <c r="AH32" s="369"/>
      <c r="AI32" s="369"/>
      <c r="AJ32" s="369"/>
      <c r="AK32" s="369"/>
      <c r="AL32" s="375"/>
      <c r="AM32" s="375"/>
      <c r="AN32" s="375"/>
      <c r="AO32" s="375"/>
      <c r="AP32" s="375"/>
      <c r="AQ32" s="375"/>
      <c r="AR32" s="375"/>
      <c r="AS32" s="375"/>
      <c r="AT32" s="375"/>
      <c r="AU32" s="375"/>
      <c r="AV32" s="376"/>
      <c r="AW32" s="376"/>
      <c r="AX32" s="376"/>
      <c r="AY32" s="376"/>
      <c r="AZ32" s="376"/>
      <c r="BA32" s="369"/>
    </row>
    <row r="33" spans="1:53" s="90" customFormat="1">
      <c r="A33" s="2963"/>
      <c r="B33" s="111" t="s">
        <v>1556</v>
      </c>
      <c r="C33" s="112" t="s">
        <v>1557</v>
      </c>
      <c r="H33" s="371"/>
      <c r="I33" s="371"/>
      <c r="J33" s="142"/>
      <c r="K33" s="142"/>
      <c r="L33" s="369"/>
      <c r="M33" s="369"/>
      <c r="O33" s="369"/>
      <c r="P33" s="369"/>
      <c r="Q33" s="142"/>
      <c r="R33" s="142"/>
      <c r="S33" s="372"/>
      <c r="T33" s="369"/>
      <c r="U33" s="369"/>
      <c r="V33" s="369"/>
      <c r="W33" s="369"/>
      <c r="X33" s="369"/>
      <c r="Y33" s="369"/>
      <c r="Z33" s="372"/>
      <c r="AA33" s="373"/>
      <c r="AB33" s="373"/>
      <c r="AC33" s="373"/>
      <c r="AD33" s="369"/>
      <c r="AE33" s="374"/>
      <c r="AF33" s="369"/>
      <c r="AG33" s="369"/>
      <c r="AH33" s="369"/>
      <c r="AI33" s="369"/>
      <c r="AJ33" s="369"/>
      <c r="AK33" s="369"/>
      <c r="AL33" s="375"/>
      <c r="AM33" s="375"/>
      <c r="AN33" s="375"/>
      <c r="AO33" s="375"/>
      <c r="AP33" s="375"/>
      <c r="AQ33" s="375"/>
      <c r="AR33" s="375"/>
      <c r="AS33" s="375"/>
      <c r="AT33" s="375"/>
      <c r="AU33" s="375"/>
      <c r="AV33" s="376"/>
      <c r="AW33" s="376"/>
      <c r="AX33" s="376"/>
      <c r="AY33" s="376"/>
      <c r="AZ33" s="376"/>
      <c r="BA33" s="369"/>
    </row>
    <row r="34" spans="1:53" s="90" customFormat="1">
      <c r="A34" s="2963"/>
      <c r="B34" s="111" t="s">
        <v>1559</v>
      </c>
      <c r="C34" s="112" t="s">
        <v>1560</v>
      </c>
      <c r="H34" s="371"/>
      <c r="I34" s="371"/>
      <c r="J34" s="142"/>
      <c r="K34" s="142"/>
      <c r="L34" s="369"/>
      <c r="M34" s="369"/>
      <c r="O34" s="369"/>
      <c r="P34" s="369"/>
      <c r="Q34" s="142"/>
      <c r="R34" s="142"/>
      <c r="S34" s="372"/>
      <c r="T34" s="369"/>
      <c r="U34" s="369"/>
      <c r="V34" s="369"/>
      <c r="W34" s="369"/>
      <c r="X34" s="369"/>
      <c r="Y34" s="369"/>
      <c r="Z34" s="372"/>
      <c r="AA34" s="373"/>
      <c r="AB34" s="373"/>
      <c r="AC34" s="373"/>
      <c r="AD34" s="369"/>
      <c r="AE34" s="374"/>
      <c r="AF34" s="369"/>
      <c r="AG34" s="369"/>
      <c r="AH34" s="369"/>
      <c r="AI34" s="369"/>
      <c r="AJ34" s="369"/>
      <c r="AK34" s="369"/>
      <c r="AL34" s="375"/>
      <c r="AM34" s="375"/>
      <c r="AN34" s="375"/>
      <c r="AO34" s="375"/>
      <c r="AP34" s="375"/>
      <c r="AQ34" s="375"/>
      <c r="AR34" s="375"/>
      <c r="AS34" s="375"/>
      <c r="AT34" s="375"/>
      <c r="AU34" s="375"/>
      <c r="AV34" s="376"/>
      <c r="AW34" s="376"/>
      <c r="AX34" s="376"/>
      <c r="AY34" s="376"/>
      <c r="AZ34" s="376"/>
      <c r="BA34" s="369"/>
    </row>
    <row r="35" spans="1:53" s="90" customFormat="1">
      <c r="A35" s="2963"/>
      <c r="B35" s="111" t="s">
        <v>1562</v>
      </c>
      <c r="C35" s="112" t="s">
        <v>1563</v>
      </c>
      <c r="H35" s="371"/>
      <c r="I35" s="371"/>
      <c r="J35" s="142"/>
      <c r="K35" s="142"/>
      <c r="L35" s="369"/>
      <c r="M35" s="369"/>
      <c r="O35" s="369"/>
      <c r="P35" s="369"/>
      <c r="Q35" s="142"/>
      <c r="R35" s="142"/>
      <c r="S35" s="372"/>
      <c r="T35" s="369"/>
      <c r="U35" s="369"/>
      <c r="V35" s="369"/>
      <c r="W35" s="369"/>
      <c r="X35" s="369"/>
      <c r="Y35" s="369"/>
      <c r="Z35" s="372"/>
      <c r="AA35" s="373"/>
      <c r="AB35" s="373"/>
      <c r="AC35" s="373"/>
      <c r="AD35" s="369"/>
      <c r="AE35" s="374"/>
      <c r="AF35" s="369"/>
      <c r="AG35" s="369"/>
      <c r="AH35" s="369"/>
      <c r="AI35" s="369"/>
      <c r="AJ35" s="369"/>
      <c r="AK35" s="369"/>
      <c r="AL35" s="375"/>
      <c r="AM35" s="375"/>
      <c r="AN35" s="375"/>
      <c r="AO35" s="375"/>
      <c r="AP35" s="375"/>
      <c r="AQ35" s="375"/>
      <c r="AR35" s="375"/>
      <c r="AS35" s="375"/>
      <c r="AT35" s="375"/>
      <c r="AU35" s="375"/>
      <c r="AV35" s="376"/>
      <c r="AW35" s="376"/>
      <c r="AX35" s="376"/>
      <c r="AY35" s="376"/>
      <c r="AZ35" s="376"/>
      <c r="BA35" s="369"/>
    </row>
    <row r="36" spans="1:53" s="90" customFormat="1">
      <c r="A36" s="2963"/>
      <c r="B36" s="111" t="s">
        <v>1565</v>
      </c>
      <c r="C36" s="112" t="s">
        <v>1566</v>
      </c>
      <c r="H36" s="371"/>
      <c r="I36" s="371"/>
      <c r="J36" s="142"/>
      <c r="K36" s="142"/>
      <c r="L36" s="369"/>
      <c r="M36" s="369"/>
      <c r="O36" s="369"/>
      <c r="P36" s="369"/>
      <c r="Q36" s="142"/>
      <c r="R36" s="142"/>
      <c r="S36" s="372"/>
      <c r="T36" s="369"/>
      <c r="U36" s="369"/>
      <c r="V36" s="369"/>
      <c r="W36" s="369"/>
      <c r="X36" s="369"/>
      <c r="Y36" s="369"/>
      <c r="Z36" s="372"/>
      <c r="AA36" s="373"/>
      <c r="AB36" s="373"/>
      <c r="AC36" s="373"/>
      <c r="AD36" s="369"/>
      <c r="AE36" s="374"/>
      <c r="AF36" s="369"/>
      <c r="AG36" s="369"/>
      <c r="AH36" s="369"/>
      <c r="AI36" s="369"/>
      <c r="AJ36" s="369"/>
      <c r="AK36" s="369"/>
      <c r="AL36" s="375"/>
      <c r="AM36" s="375"/>
      <c r="AN36" s="375"/>
      <c r="AO36" s="375"/>
      <c r="AP36" s="375"/>
      <c r="AQ36" s="375"/>
      <c r="AR36" s="375"/>
      <c r="AS36" s="375"/>
      <c r="AT36" s="375"/>
      <c r="AU36" s="375"/>
      <c r="AV36" s="376"/>
      <c r="AW36" s="376"/>
      <c r="AX36" s="376"/>
      <c r="AY36" s="376"/>
      <c r="AZ36" s="376"/>
      <c r="BA36" s="369"/>
    </row>
    <row r="37" spans="1:53" s="90" customFormat="1">
      <c r="A37" s="2963"/>
      <c r="B37" s="111" t="s">
        <v>1568</v>
      </c>
      <c r="C37" s="112" t="s">
        <v>1569</v>
      </c>
      <c r="H37" s="371"/>
      <c r="I37" s="371"/>
      <c r="J37" s="142"/>
      <c r="K37" s="142"/>
      <c r="L37" s="369"/>
      <c r="M37" s="369"/>
      <c r="O37" s="369"/>
      <c r="P37" s="369"/>
      <c r="Q37" s="142"/>
      <c r="R37" s="142"/>
      <c r="S37" s="372"/>
      <c r="T37" s="369"/>
      <c r="U37" s="369"/>
      <c r="V37" s="369"/>
      <c r="W37" s="369"/>
      <c r="X37" s="369"/>
      <c r="Y37" s="369"/>
      <c r="Z37" s="372"/>
      <c r="AA37" s="373"/>
      <c r="AB37" s="373"/>
      <c r="AC37" s="373"/>
      <c r="AD37" s="369"/>
      <c r="AE37" s="374"/>
      <c r="AF37" s="369"/>
      <c r="AG37" s="369"/>
      <c r="AH37" s="369"/>
      <c r="AI37" s="369"/>
      <c r="AJ37" s="369"/>
      <c r="AK37" s="369"/>
      <c r="AL37" s="375"/>
      <c r="AM37" s="375"/>
      <c r="AN37" s="375"/>
      <c r="AO37" s="375"/>
      <c r="AP37" s="375"/>
      <c r="AQ37" s="375"/>
      <c r="AR37" s="375"/>
      <c r="AS37" s="375"/>
      <c r="AT37" s="375"/>
      <c r="AU37" s="375"/>
      <c r="AV37" s="376"/>
      <c r="AW37" s="376"/>
      <c r="AX37" s="376"/>
      <c r="AY37" s="376"/>
      <c r="AZ37" s="376"/>
      <c r="BA37" s="369"/>
    </row>
    <row r="38" spans="1:53" s="90" customFormat="1">
      <c r="A38" s="2963"/>
      <c r="B38" s="111" t="s">
        <v>1571</v>
      </c>
      <c r="C38" s="112" t="s">
        <v>1572</v>
      </c>
      <c r="H38" s="371"/>
      <c r="I38" s="371"/>
      <c r="J38" s="142"/>
      <c r="K38" s="142"/>
      <c r="L38" s="369"/>
      <c r="M38" s="369"/>
      <c r="O38" s="369"/>
      <c r="P38" s="369"/>
      <c r="Q38" s="142"/>
      <c r="R38" s="142"/>
      <c r="S38" s="372"/>
      <c r="T38" s="369"/>
      <c r="U38" s="369"/>
      <c r="V38" s="369"/>
      <c r="W38" s="369"/>
      <c r="X38" s="369"/>
      <c r="Y38" s="369"/>
      <c r="Z38" s="372"/>
      <c r="AA38" s="373"/>
      <c r="AB38" s="373"/>
      <c r="AC38" s="373"/>
      <c r="AD38" s="369"/>
      <c r="AE38" s="374"/>
      <c r="AF38" s="369"/>
      <c r="AG38" s="369"/>
      <c r="AH38" s="369"/>
      <c r="AI38" s="369"/>
      <c r="AJ38" s="369"/>
      <c r="AK38" s="369"/>
      <c r="AL38" s="375"/>
      <c r="AM38" s="375"/>
      <c r="AN38" s="375"/>
      <c r="AO38" s="375"/>
      <c r="AP38" s="375"/>
      <c r="AQ38" s="375"/>
      <c r="AR38" s="375"/>
      <c r="AS38" s="375"/>
      <c r="AT38" s="375"/>
      <c r="AU38" s="375"/>
      <c r="AV38" s="376"/>
      <c r="AW38" s="376"/>
      <c r="AX38" s="376"/>
      <c r="AY38" s="376"/>
      <c r="AZ38" s="376"/>
      <c r="BA38" s="369"/>
    </row>
    <row r="39" spans="1:53" s="952" customFormat="1">
      <c r="A39" s="2964"/>
      <c r="B39" s="950" t="s">
        <v>1574</v>
      </c>
      <c r="C39" s="951" t="s">
        <v>1575</v>
      </c>
      <c r="H39" s="953"/>
      <c r="I39" s="953"/>
      <c r="J39" s="954"/>
      <c r="K39" s="954"/>
      <c r="L39" s="955"/>
      <c r="M39" s="955"/>
      <c r="O39" s="955"/>
      <c r="P39" s="955"/>
      <c r="Q39" s="954"/>
      <c r="R39" s="954"/>
      <c r="S39" s="956"/>
      <c r="T39" s="955"/>
      <c r="U39" s="955"/>
      <c r="V39" s="955"/>
      <c r="W39" s="955"/>
      <c r="X39" s="955"/>
      <c r="Y39" s="955"/>
      <c r="Z39" s="956"/>
      <c r="AA39" s="957"/>
      <c r="AB39" s="957"/>
      <c r="AC39" s="957"/>
      <c r="AD39" s="955"/>
      <c r="AE39" s="958"/>
      <c r="AF39" s="955"/>
      <c r="AG39" s="955"/>
      <c r="AH39" s="955"/>
      <c r="AI39" s="955"/>
      <c r="AJ39" s="955"/>
      <c r="AK39" s="955"/>
      <c r="AL39" s="959"/>
      <c r="AM39" s="959"/>
      <c r="AN39" s="959"/>
      <c r="AO39" s="959"/>
      <c r="AP39" s="959"/>
      <c r="AQ39" s="959"/>
      <c r="AR39" s="959"/>
      <c r="AS39" s="959"/>
      <c r="AT39" s="959"/>
      <c r="AU39" s="959"/>
      <c r="AV39" s="960"/>
      <c r="AW39" s="960"/>
      <c r="AX39" s="960"/>
      <c r="AY39" s="960"/>
      <c r="AZ39" s="960"/>
      <c r="BA39" s="955"/>
    </row>
    <row r="40" spans="1:53" s="90" customFormat="1">
      <c r="A40" s="2963" t="s">
        <v>2337</v>
      </c>
      <c r="B40" s="111" t="s">
        <v>2357</v>
      </c>
      <c r="C40" s="112" t="s">
        <v>1578</v>
      </c>
      <c r="H40" s="371"/>
      <c r="I40" s="371"/>
      <c r="J40" s="142"/>
      <c r="K40" s="142"/>
      <c r="L40" s="369"/>
      <c r="M40" s="369"/>
      <c r="O40" s="369"/>
      <c r="P40" s="369"/>
      <c r="Q40" s="142"/>
      <c r="R40" s="142"/>
      <c r="S40" s="372"/>
      <c r="T40" s="369"/>
      <c r="U40" s="369"/>
      <c r="V40" s="369"/>
      <c r="W40" s="369"/>
      <c r="X40" s="369"/>
      <c r="Y40" s="369"/>
      <c r="Z40" s="372"/>
      <c r="AA40" s="373"/>
      <c r="AB40" s="373"/>
      <c r="AC40" s="373"/>
      <c r="AD40" s="369"/>
      <c r="AE40" s="374"/>
      <c r="AF40" s="369"/>
      <c r="AG40" s="369"/>
      <c r="AH40" s="369"/>
      <c r="AI40" s="369"/>
      <c r="AJ40" s="369"/>
      <c r="AK40" s="369"/>
      <c r="AL40" s="375"/>
      <c r="AM40" s="375"/>
      <c r="AN40" s="375"/>
      <c r="AO40" s="375"/>
      <c r="AP40" s="375"/>
      <c r="AQ40" s="375"/>
      <c r="AR40" s="375"/>
      <c r="AS40" s="375"/>
      <c r="AT40" s="375"/>
      <c r="AU40" s="375"/>
      <c r="AV40" s="376"/>
      <c r="AW40" s="376"/>
      <c r="AX40" s="376"/>
      <c r="AY40" s="376"/>
      <c r="AZ40" s="376"/>
      <c r="BA40" s="369"/>
    </row>
    <row r="41" spans="1:53" s="90" customFormat="1">
      <c r="A41" s="2963"/>
      <c r="B41" s="111" t="s">
        <v>1582</v>
      </c>
      <c r="C41" s="112" t="s">
        <v>1583</v>
      </c>
      <c r="H41" s="371"/>
      <c r="I41" s="371"/>
      <c r="J41" s="142"/>
      <c r="K41" s="142"/>
      <c r="L41" s="369"/>
      <c r="M41" s="369"/>
      <c r="O41" s="369"/>
      <c r="P41" s="369"/>
      <c r="Q41" s="142"/>
      <c r="R41" s="142"/>
      <c r="S41" s="372"/>
      <c r="T41" s="369"/>
      <c r="U41" s="369"/>
      <c r="V41" s="369"/>
      <c r="W41" s="369"/>
      <c r="X41" s="369"/>
      <c r="Y41" s="369"/>
      <c r="Z41" s="372"/>
      <c r="AA41" s="373"/>
      <c r="AB41" s="373"/>
      <c r="AC41" s="373"/>
      <c r="AD41" s="369"/>
      <c r="AE41" s="374"/>
      <c r="AF41" s="369"/>
      <c r="AG41" s="369"/>
      <c r="AH41" s="369"/>
      <c r="AI41" s="369"/>
      <c r="AJ41" s="369"/>
      <c r="AK41" s="369"/>
      <c r="AL41" s="375"/>
      <c r="AM41" s="375"/>
      <c r="AN41" s="375"/>
      <c r="AO41" s="375"/>
      <c r="AP41" s="375"/>
      <c r="AQ41" s="375"/>
      <c r="AR41" s="375"/>
      <c r="AS41" s="375"/>
      <c r="AT41" s="375"/>
      <c r="AU41" s="375"/>
      <c r="AV41" s="376"/>
      <c r="AW41" s="376"/>
      <c r="AX41" s="376"/>
      <c r="AY41" s="376"/>
      <c r="AZ41" s="376"/>
      <c r="BA41" s="369"/>
    </row>
    <row r="42" spans="1:53" s="90" customFormat="1">
      <c r="A42" s="2963"/>
      <c r="B42" s="111" t="s">
        <v>1587</v>
      </c>
      <c r="C42" s="112" t="s">
        <v>1588</v>
      </c>
      <c r="H42" s="371"/>
      <c r="I42" s="371"/>
      <c r="J42" s="142"/>
      <c r="K42" s="142"/>
      <c r="L42" s="369"/>
      <c r="M42" s="369"/>
      <c r="O42" s="369"/>
      <c r="P42" s="369"/>
      <c r="Q42" s="142"/>
      <c r="R42" s="142"/>
      <c r="S42" s="372"/>
      <c r="T42" s="369"/>
      <c r="U42" s="369"/>
      <c r="V42" s="369"/>
      <c r="W42" s="369"/>
      <c r="X42" s="369"/>
      <c r="Y42" s="369"/>
      <c r="Z42" s="372"/>
      <c r="AA42" s="373"/>
      <c r="AB42" s="373"/>
      <c r="AC42" s="373"/>
      <c r="AD42" s="369"/>
      <c r="AE42" s="374"/>
      <c r="AF42" s="369"/>
      <c r="AG42" s="369"/>
      <c r="AH42" s="369"/>
      <c r="AI42" s="369"/>
      <c r="AJ42" s="369"/>
      <c r="AK42" s="369"/>
      <c r="AL42" s="375"/>
      <c r="AM42" s="375"/>
      <c r="AN42" s="375"/>
      <c r="AO42" s="375"/>
      <c r="AP42" s="375"/>
      <c r="AQ42" s="375"/>
      <c r="AR42" s="375"/>
      <c r="AS42" s="375"/>
      <c r="AT42" s="375"/>
      <c r="AU42" s="375"/>
      <c r="AV42" s="376"/>
      <c r="AW42" s="376"/>
      <c r="AX42" s="376"/>
      <c r="AY42" s="376"/>
      <c r="AZ42" s="376"/>
      <c r="BA42" s="369"/>
    </row>
    <row r="43" spans="1:53" s="90" customFormat="1">
      <c r="A43" s="2963"/>
      <c r="B43" s="111" t="s">
        <v>1592</v>
      </c>
      <c r="C43" s="112" t="s">
        <v>1593</v>
      </c>
      <c r="H43" s="371"/>
      <c r="I43" s="371"/>
      <c r="J43" s="142"/>
      <c r="K43" s="142"/>
      <c r="L43" s="369"/>
      <c r="M43" s="369"/>
      <c r="O43" s="369"/>
      <c r="P43" s="369"/>
      <c r="Q43" s="142"/>
      <c r="R43" s="142"/>
      <c r="S43" s="372"/>
      <c r="T43" s="369"/>
      <c r="U43" s="369"/>
      <c r="V43" s="369"/>
      <c r="W43" s="369"/>
      <c r="X43" s="369"/>
      <c r="Y43" s="369"/>
      <c r="Z43" s="372"/>
      <c r="AA43" s="373"/>
      <c r="AB43" s="373"/>
      <c r="AC43" s="373"/>
      <c r="AD43" s="369"/>
      <c r="AE43" s="374"/>
      <c r="AF43" s="369"/>
      <c r="AG43" s="369"/>
      <c r="AH43" s="369"/>
      <c r="AI43" s="369"/>
      <c r="AJ43" s="369"/>
      <c r="AK43" s="369"/>
      <c r="AL43" s="375"/>
      <c r="AM43" s="375"/>
      <c r="AN43" s="375"/>
      <c r="AO43" s="375"/>
      <c r="AP43" s="375"/>
      <c r="AQ43" s="375"/>
      <c r="AR43" s="375"/>
      <c r="AS43" s="375"/>
      <c r="AT43" s="375"/>
      <c r="AU43" s="375"/>
      <c r="AV43" s="376"/>
      <c r="AW43" s="376"/>
      <c r="AX43" s="376"/>
      <c r="AY43" s="376"/>
      <c r="AZ43" s="376"/>
      <c r="BA43" s="369"/>
    </row>
    <row r="44" spans="1:53" s="90" customFormat="1">
      <c r="A44" s="2963"/>
      <c r="B44" s="111" t="s">
        <v>1597</v>
      </c>
      <c r="C44" s="112" t="s">
        <v>1598</v>
      </c>
      <c r="H44" s="371"/>
      <c r="I44" s="371"/>
      <c r="J44" s="142"/>
      <c r="K44" s="142"/>
      <c r="L44" s="369"/>
      <c r="M44" s="369"/>
      <c r="O44" s="369"/>
      <c r="P44" s="369"/>
      <c r="Q44" s="142"/>
      <c r="R44" s="142"/>
      <c r="S44" s="372"/>
      <c r="T44" s="369"/>
      <c r="U44" s="369"/>
      <c r="V44" s="369"/>
      <c r="W44" s="369"/>
      <c r="X44" s="369"/>
      <c r="Y44" s="369"/>
      <c r="Z44" s="372"/>
      <c r="AA44" s="373"/>
      <c r="AB44" s="373"/>
      <c r="AC44" s="373"/>
      <c r="AD44" s="369"/>
      <c r="AE44" s="374"/>
      <c r="AF44" s="369"/>
      <c r="AG44" s="369"/>
      <c r="AH44" s="369"/>
      <c r="AI44" s="369"/>
      <c r="AJ44" s="369"/>
      <c r="AK44" s="369"/>
      <c r="AL44" s="375"/>
      <c r="AM44" s="375"/>
      <c r="AN44" s="375"/>
      <c r="AO44" s="375"/>
      <c r="AP44" s="375"/>
      <c r="AQ44" s="375"/>
      <c r="AR44" s="375"/>
      <c r="AS44" s="375"/>
      <c r="AT44" s="375"/>
      <c r="AU44" s="375"/>
      <c r="AV44" s="376"/>
      <c r="AW44" s="376"/>
      <c r="AX44" s="376"/>
      <c r="AY44" s="376"/>
      <c r="AZ44" s="376"/>
      <c r="BA44" s="369"/>
    </row>
    <row r="45" spans="1:53" s="90" customFormat="1">
      <c r="A45" s="2963"/>
      <c r="B45" s="111" t="s">
        <v>1602</v>
      </c>
      <c r="C45" s="112" t="s">
        <v>1603</v>
      </c>
      <c r="H45" s="371"/>
      <c r="I45" s="371"/>
      <c r="J45" s="142"/>
      <c r="K45" s="142"/>
      <c r="L45" s="369"/>
      <c r="M45" s="369"/>
      <c r="O45" s="369"/>
      <c r="P45" s="369"/>
      <c r="Q45" s="142"/>
      <c r="R45" s="142"/>
      <c r="S45" s="372"/>
      <c r="T45" s="369"/>
      <c r="U45" s="369"/>
      <c r="V45" s="369"/>
      <c r="W45" s="369"/>
      <c r="X45" s="369"/>
      <c r="Y45" s="369"/>
      <c r="Z45" s="372"/>
      <c r="AA45" s="373"/>
      <c r="AB45" s="373"/>
      <c r="AC45" s="373"/>
      <c r="AD45" s="369"/>
      <c r="AE45" s="374"/>
      <c r="AF45" s="369"/>
      <c r="AG45" s="369"/>
      <c r="AH45" s="369"/>
      <c r="AI45" s="369"/>
      <c r="AJ45" s="369"/>
      <c r="AK45" s="369"/>
      <c r="AL45" s="375"/>
      <c r="AM45" s="375"/>
      <c r="AN45" s="375"/>
      <c r="AO45" s="375"/>
      <c r="AP45" s="375"/>
      <c r="AQ45" s="375"/>
      <c r="AR45" s="375"/>
      <c r="AS45" s="375"/>
      <c r="AT45" s="375"/>
      <c r="AU45" s="375"/>
      <c r="AV45" s="376"/>
      <c r="AW45" s="376"/>
      <c r="AX45" s="376"/>
      <c r="AY45" s="376"/>
      <c r="AZ45" s="376"/>
      <c r="BA45" s="369"/>
    </row>
    <row r="46" spans="1:53" s="90" customFormat="1">
      <c r="A46" s="2963"/>
      <c r="B46" s="111" t="s">
        <v>1607</v>
      </c>
      <c r="C46" s="112" t="s">
        <v>1608</v>
      </c>
      <c r="H46" s="371"/>
      <c r="I46" s="371"/>
      <c r="J46" s="142"/>
      <c r="K46" s="142"/>
      <c r="L46" s="369"/>
      <c r="M46" s="369"/>
      <c r="O46" s="369"/>
      <c r="P46" s="369"/>
      <c r="Q46" s="142"/>
      <c r="R46" s="142"/>
      <c r="S46" s="372"/>
      <c r="T46" s="369"/>
      <c r="U46" s="369"/>
      <c r="V46" s="369"/>
      <c r="W46" s="369"/>
      <c r="X46" s="369"/>
      <c r="Y46" s="369"/>
      <c r="Z46" s="372"/>
      <c r="AA46" s="373"/>
      <c r="AB46" s="373"/>
      <c r="AC46" s="373"/>
      <c r="AD46" s="369"/>
      <c r="AE46" s="374"/>
      <c r="AF46" s="369"/>
      <c r="AG46" s="369"/>
      <c r="AH46" s="369"/>
      <c r="AI46" s="369"/>
      <c r="AJ46" s="369"/>
      <c r="AK46" s="369"/>
      <c r="AL46" s="375"/>
      <c r="AM46" s="375"/>
      <c r="AN46" s="375"/>
      <c r="AO46" s="375"/>
      <c r="AP46" s="375"/>
      <c r="AQ46" s="375"/>
      <c r="AR46" s="375"/>
      <c r="AS46" s="375"/>
      <c r="AT46" s="375"/>
      <c r="AU46" s="375"/>
      <c r="AV46" s="376"/>
      <c r="AW46" s="376"/>
      <c r="AX46" s="376"/>
      <c r="AY46" s="376"/>
      <c r="AZ46" s="376"/>
      <c r="BA46" s="369"/>
    </row>
    <row r="47" spans="1:53" s="952" customFormat="1">
      <c r="A47" s="2964"/>
      <c r="B47" s="950" t="s">
        <v>1612</v>
      </c>
      <c r="C47" s="951" t="s">
        <v>1613</v>
      </c>
      <c r="H47" s="953"/>
      <c r="I47" s="953"/>
      <c r="J47" s="954"/>
      <c r="K47" s="954"/>
      <c r="L47" s="955"/>
      <c r="M47" s="955"/>
      <c r="O47" s="955"/>
      <c r="P47" s="955"/>
      <c r="Q47" s="954"/>
      <c r="R47" s="954"/>
      <c r="S47" s="956"/>
      <c r="T47" s="955"/>
      <c r="U47" s="955"/>
      <c r="V47" s="955"/>
      <c r="W47" s="955"/>
      <c r="X47" s="955"/>
      <c r="Y47" s="955"/>
      <c r="Z47" s="956"/>
      <c r="AA47" s="957"/>
      <c r="AB47" s="957"/>
      <c r="AC47" s="957"/>
      <c r="AD47" s="955"/>
      <c r="AE47" s="958"/>
      <c r="AF47" s="955"/>
      <c r="AG47" s="955"/>
      <c r="AH47" s="955"/>
      <c r="AI47" s="955"/>
      <c r="AJ47" s="955"/>
      <c r="AK47" s="955"/>
      <c r="AL47" s="959"/>
      <c r="AM47" s="959"/>
      <c r="AN47" s="959"/>
      <c r="AO47" s="959"/>
      <c r="AP47" s="959"/>
      <c r="AQ47" s="959"/>
      <c r="AR47" s="959"/>
      <c r="AS47" s="959"/>
      <c r="AT47" s="959"/>
      <c r="AU47" s="959"/>
      <c r="AV47" s="960"/>
      <c r="AW47" s="960"/>
      <c r="AX47" s="960"/>
      <c r="AY47" s="960"/>
      <c r="AZ47" s="960"/>
      <c r="BA47" s="955"/>
    </row>
    <row r="48" spans="1:53" s="90" customFormat="1" ht="15" customHeight="1">
      <c r="A48" s="2965" t="s">
        <v>2358</v>
      </c>
      <c r="B48" s="111" t="s">
        <v>1331</v>
      </c>
      <c r="C48" s="112"/>
      <c r="H48" s="371"/>
      <c r="I48" s="371"/>
      <c r="J48" s="142"/>
      <c r="K48" s="142"/>
      <c r="L48" s="369"/>
      <c r="M48" s="369"/>
      <c r="O48" s="369"/>
      <c r="P48" s="369"/>
      <c r="Q48" s="142"/>
      <c r="R48" s="142"/>
      <c r="S48" s="372"/>
      <c r="T48" s="369"/>
      <c r="U48" s="369"/>
      <c r="V48" s="369"/>
      <c r="W48" s="369"/>
      <c r="X48" s="369"/>
      <c r="Y48" s="369"/>
      <c r="Z48" s="372"/>
      <c r="AA48" s="373"/>
      <c r="AB48" s="373"/>
      <c r="AC48" s="373"/>
      <c r="AD48" s="369"/>
      <c r="AE48" s="374"/>
      <c r="AF48" s="369"/>
      <c r="AG48" s="369"/>
      <c r="AH48" s="369"/>
      <c r="AI48" s="369"/>
      <c r="AJ48" s="369"/>
      <c r="AK48" s="369"/>
      <c r="AL48" s="375"/>
      <c r="AM48" s="375"/>
      <c r="AN48" s="375"/>
      <c r="AO48" s="375"/>
      <c r="AP48" s="375"/>
      <c r="AQ48" s="375"/>
      <c r="AR48" s="375"/>
      <c r="AS48" s="375"/>
      <c r="AT48" s="375"/>
      <c r="AU48" s="375"/>
      <c r="AV48" s="376"/>
      <c r="AW48" s="376"/>
      <c r="AX48" s="376"/>
      <c r="AY48" s="376"/>
      <c r="AZ48" s="376"/>
      <c r="BA48" s="369"/>
    </row>
    <row r="49" spans="1:53" s="90" customFormat="1" ht="15" customHeight="1">
      <c r="A49" s="2966"/>
      <c r="B49" s="111" t="s">
        <v>2359</v>
      </c>
      <c r="C49" s="112" t="s">
        <v>2360</v>
      </c>
      <c r="H49" s="371"/>
      <c r="I49" s="371"/>
      <c r="J49" s="142"/>
      <c r="K49" s="142"/>
      <c r="L49" s="369"/>
      <c r="M49" s="369"/>
      <c r="O49" s="369"/>
      <c r="P49" s="369"/>
      <c r="Q49" s="142"/>
      <c r="R49" s="142"/>
      <c r="S49" s="372"/>
      <c r="T49" s="369"/>
      <c r="U49" s="369"/>
      <c r="V49" s="369"/>
      <c r="W49" s="369"/>
      <c r="X49" s="369"/>
      <c r="Y49" s="369"/>
      <c r="Z49" s="372"/>
      <c r="AA49" s="373"/>
      <c r="AB49" s="373"/>
      <c r="AC49" s="373"/>
      <c r="AD49" s="369"/>
      <c r="AE49" s="374"/>
      <c r="AF49" s="369"/>
      <c r="AG49" s="369"/>
      <c r="AH49" s="369"/>
      <c r="AI49" s="369"/>
      <c r="AJ49" s="369"/>
      <c r="AK49" s="369"/>
      <c r="AL49" s="375"/>
      <c r="AM49" s="375"/>
      <c r="AN49" s="375"/>
      <c r="AO49" s="375"/>
      <c r="AP49" s="375"/>
      <c r="AQ49" s="375"/>
      <c r="AR49" s="375"/>
      <c r="AS49" s="375"/>
      <c r="AT49" s="375"/>
      <c r="AU49" s="375"/>
      <c r="AV49" s="376"/>
      <c r="AW49" s="376"/>
      <c r="AX49" s="376"/>
      <c r="AY49" s="376"/>
      <c r="AZ49" s="376"/>
      <c r="BA49" s="369"/>
    </row>
    <row r="50" spans="1:53" s="90" customFormat="1">
      <c r="A50" s="2966"/>
      <c r="B50" s="111" t="s">
        <v>2361</v>
      </c>
      <c r="C50" s="112" t="s">
        <v>2362</v>
      </c>
      <c r="H50" s="371"/>
      <c r="I50" s="371"/>
      <c r="J50" s="142"/>
      <c r="K50" s="142"/>
      <c r="L50" s="369"/>
      <c r="M50" s="369"/>
      <c r="O50" s="369"/>
      <c r="P50" s="369"/>
      <c r="Q50" s="142"/>
      <c r="R50" s="142"/>
      <c r="S50" s="372"/>
      <c r="T50" s="369"/>
      <c r="U50" s="369"/>
      <c r="V50" s="369"/>
      <c r="W50" s="369"/>
      <c r="X50" s="369"/>
      <c r="Y50" s="369"/>
      <c r="Z50" s="372"/>
      <c r="AA50" s="373"/>
      <c r="AB50" s="373"/>
      <c r="AC50" s="373"/>
      <c r="AD50" s="369"/>
      <c r="AE50" s="374"/>
      <c r="AF50" s="369"/>
      <c r="AG50" s="369"/>
      <c r="AH50" s="369"/>
      <c r="AI50" s="369"/>
      <c r="AJ50" s="369"/>
      <c r="AK50" s="369"/>
      <c r="AL50" s="375"/>
      <c r="AM50" s="375"/>
      <c r="AN50" s="375"/>
      <c r="AO50" s="375"/>
      <c r="AP50" s="375"/>
      <c r="AQ50" s="375"/>
      <c r="AR50" s="375"/>
      <c r="AS50" s="375"/>
      <c r="AT50" s="375"/>
      <c r="AU50" s="375"/>
      <c r="AV50" s="376"/>
      <c r="AW50" s="376"/>
      <c r="AX50" s="376"/>
      <c r="AY50" s="376"/>
      <c r="AZ50" s="376"/>
      <c r="BA50" s="369"/>
    </row>
    <row r="51" spans="1:53" s="90" customFormat="1">
      <c r="A51" s="2966"/>
      <c r="B51" s="111" t="s">
        <v>2363</v>
      </c>
      <c r="C51" s="112" t="s">
        <v>2364</v>
      </c>
      <c r="H51" s="371"/>
      <c r="I51" s="371"/>
      <c r="J51" s="142"/>
      <c r="K51" s="142"/>
      <c r="L51" s="369"/>
      <c r="M51" s="369"/>
      <c r="O51" s="369"/>
      <c r="P51" s="369"/>
      <c r="Q51" s="142"/>
      <c r="R51" s="142"/>
      <c r="S51" s="372"/>
      <c r="T51" s="369"/>
      <c r="U51" s="369"/>
      <c r="V51" s="369"/>
      <c r="W51" s="369"/>
      <c r="X51" s="369"/>
      <c r="Y51" s="369"/>
      <c r="Z51" s="372"/>
      <c r="AA51" s="373"/>
      <c r="AB51" s="373"/>
      <c r="AC51" s="373"/>
      <c r="AD51" s="369"/>
      <c r="AE51" s="374"/>
      <c r="AF51" s="369"/>
      <c r="AG51" s="369"/>
      <c r="AH51" s="369"/>
      <c r="AI51" s="369"/>
      <c r="AJ51" s="369"/>
      <c r="AK51" s="369"/>
      <c r="AL51" s="375"/>
      <c r="AM51" s="375"/>
      <c r="AN51" s="375"/>
      <c r="AO51" s="375"/>
      <c r="AP51" s="375"/>
      <c r="AQ51" s="375"/>
      <c r="AR51" s="375"/>
      <c r="AS51" s="375"/>
      <c r="AT51" s="375"/>
      <c r="AU51" s="375"/>
      <c r="AV51" s="376"/>
      <c r="AW51" s="376"/>
      <c r="AX51" s="376"/>
      <c r="AY51" s="376"/>
      <c r="AZ51" s="376"/>
      <c r="BA51" s="369"/>
    </row>
    <row r="52" spans="1:53" s="90" customFormat="1">
      <c r="A52" s="2966"/>
      <c r="B52" s="111" t="s">
        <v>2365</v>
      </c>
      <c r="C52" s="112" t="s">
        <v>2366</v>
      </c>
      <c r="H52" s="371"/>
      <c r="I52" s="371"/>
      <c r="J52" s="142"/>
      <c r="K52" s="142"/>
      <c r="L52" s="369"/>
      <c r="M52" s="369"/>
      <c r="O52" s="369"/>
      <c r="P52" s="369"/>
      <c r="Q52" s="142"/>
      <c r="R52" s="142"/>
      <c r="S52" s="372"/>
      <c r="T52" s="369"/>
      <c r="U52" s="369"/>
      <c r="V52" s="369"/>
      <c r="W52" s="369"/>
      <c r="X52" s="369"/>
      <c r="Y52" s="369"/>
      <c r="Z52" s="372"/>
      <c r="AA52" s="373"/>
      <c r="AB52" s="373"/>
      <c r="AC52" s="373"/>
      <c r="AD52" s="369"/>
      <c r="AE52" s="374"/>
      <c r="AF52" s="369"/>
      <c r="AG52" s="369"/>
      <c r="AH52" s="369"/>
      <c r="AI52" s="369"/>
      <c r="AJ52" s="369"/>
      <c r="AK52" s="369"/>
      <c r="AL52" s="375"/>
      <c r="AM52" s="375"/>
      <c r="AN52" s="375"/>
      <c r="AO52" s="375"/>
      <c r="AP52" s="375"/>
      <c r="AQ52" s="375"/>
      <c r="AR52" s="375"/>
      <c r="AS52" s="375"/>
      <c r="AT52" s="375"/>
      <c r="AU52" s="375"/>
      <c r="AV52" s="376"/>
      <c r="AW52" s="376"/>
      <c r="AX52" s="376"/>
      <c r="AY52" s="376"/>
      <c r="AZ52" s="376"/>
      <c r="BA52" s="369"/>
    </row>
    <row r="53" spans="1:53" s="90" customFormat="1">
      <c r="A53" s="2966"/>
      <c r="B53" s="111" t="s">
        <v>2367</v>
      </c>
      <c r="C53" s="112" t="s">
        <v>2368</v>
      </c>
      <c r="H53" s="371"/>
      <c r="I53" s="371"/>
      <c r="J53" s="142"/>
      <c r="K53" s="142"/>
      <c r="L53" s="369"/>
      <c r="M53" s="369"/>
      <c r="O53" s="369"/>
      <c r="P53" s="369"/>
      <c r="Q53" s="142"/>
      <c r="R53" s="142"/>
      <c r="S53" s="372"/>
      <c r="T53" s="369"/>
      <c r="U53" s="369"/>
      <c r="V53" s="369"/>
      <c r="W53" s="369"/>
      <c r="X53" s="369"/>
      <c r="Y53" s="369"/>
      <c r="Z53" s="372"/>
      <c r="AA53" s="373"/>
      <c r="AB53" s="373"/>
      <c r="AC53" s="373"/>
      <c r="AD53" s="369"/>
      <c r="AE53" s="374"/>
      <c r="AF53" s="369"/>
      <c r="AG53" s="369"/>
      <c r="AH53" s="369"/>
      <c r="AI53" s="369"/>
      <c r="AJ53" s="369"/>
      <c r="AK53" s="369"/>
      <c r="AL53" s="375"/>
      <c r="AM53" s="375"/>
      <c r="AN53" s="375"/>
      <c r="AO53" s="375"/>
      <c r="AP53" s="375"/>
      <c r="AQ53" s="375"/>
      <c r="AR53" s="375"/>
      <c r="AS53" s="375"/>
      <c r="AT53" s="375"/>
      <c r="AU53" s="375"/>
      <c r="AV53" s="376"/>
      <c r="AW53" s="376"/>
      <c r="AX53" s="376"/>
      <c r="AY53" s="376"/>
      <c r="AZ53" s="376"/>
      <c r="BA53" s="369"/>
    </row>
    <row r="54" spans="1:53" s="90" customFormat="1">
      <c r="A54" s="2966"/>
      <c r="B54" s="111" t="s">
        <v>2369</v>
      </c>
      <c r="C54" s="112" t="s">
        <v>2370</v>
      </c>
      <c r="H54" s="371"/>
      <c r="I54" s="371"/>
      <c r="J54" s="142"/>
      <c r="K54" s="142"/>
      <c r="L54" s="369"/>
      <c r="M54" s="369"/>
      <c r="O54" s="369"/>
      <c r="P54" s="369"/>
      <c r="Q54" s="142"/>
      <c r="R54" s="142"/>
      <c r="S54" s="372"/>
      <c r="T54" s="369"/>
      <c r="U54" s="369"/>
      <c r="V54" s="369"/>
      <c r="W54" s="369"/>
      <c r="X54" s="369"/>
      <c r="Y54" s="369"/>
      <c r="Z54" s="372"/>
      <c r="AA54" s="373"/>
      <c r="AB54" s="373"/>
      <c r="AC54" s="373"/>
      <c r="AD54" s="369"/>
      <c r="AE54" s="374"/>
      <c r="AF54" s="369"/>
      <c r="AG54" s="369"/>
      <c r="AH54" s="369"/>
      <c r="AI54" s="369"/>
      <c r="AJ54" s="369"/>
      <c r="AK54" s="369"/>
      <c r="AL54" s="375"/>
      <c r="AM54" s="375"/>
      <c r="AN54" s="375"/>
      <c r="AO54" s="375"/>
      <c r="AP54" s="375"/>
      <c r="AQ54" s="375"/>
      <c r="AR54" s="375"/>
      <c r="AS54" s="375"/>
      <c r="AT54" s="375"/>
      <c r="AU54" s="375"/>
      <c r="AV54" s="376"/>
      <c r="AW54" s="376"/>
      <c r="AX54" s="376"/>
      <c r="AY54" s="376"/>
      <c r="AZ54" s="376"/>
      <c r="BA54" s="369"/>
    </row>
    <row r="55" spans="1:53" s="90" customFormat="1">
      <c r="A55" s="2966"/>
      <c r="B55" s="111" t="s">
        <v>2371</v>
      </c>
      <c r="C55" s="112" t="s">
        <v>2372</v>
      </c>
      <c r="H55" s="371"/>
      <c r="I55" s="371"/>
      <c r="J55" s="142"/>
      <c r="K55" s="142"/>
      <c r="L55" s="369"/>
      <c r="M55" s="369"/>
      <c r="O55" s="369"/>
      <c r="P55" s="369"/>
      <c r="Q55" s="142"/>
      <c r="R55" s="142"/>
      <c r="S55" s="372"/>
      <c r="T55" s="369"/>
      <c r="U55" s="369"/>
      <c r="V55" s="369"/>
      <c r="W55" s="369"/>
      <c r="X55" s="369"/>
      <c r="Y55" s="369"/>
      <c r="Z55" s="372"/>
      <c r="AA55" s="373"/>
      <c r="AB55" s="373"/>
      <c r="AC55" s="373"/>
      <c r="AD55" s="369"/>
      <c r="AE55" s="374"/>
      <c r="AF55" s="369"/>
      <c r="AG55" s="369"/>
      <c r="AH55" s="369"/>
      <c r="AI55" s="369"/>
      <c r="AJ55" s="369"/>
      <c r="AK55" s="369"/>
      <c r="AL55" s="375"/>
      <c r="AM55" s="375"/>
      <c r="AN55" s="375"/>
      <c r="AO55" s="375"/>
      <c r="AP55" s="375"/>
      <c r="AQ55" s="375"/>
      <c r="AR55" s="375"/>
      <c r="AS55" s="375"/>
      <c r="AT55" s="375"/>
      <c r="AU55" s="375"/>
      <c r="AV55" s="376"/>
      <c r="AW55" s="376"/>
      <c r="AX55" s="376"/>
      <c r="AY55" s="376"/>
      <c r="AZ55" s="376"/>
      <c r="BA55" s="369"/>
    </row>
    <row r="56" spans="1:53" s="90" customFormat="1">
      <c r="A56" s="2966"/>
      <c r="B56" s="111" t="s">
        <v>2373</v>
      </c>
      <c r="C56" s="112" t="s">
        <v>2374</v>
      </c>
      <c r="H56" s="371"/>
      <c r="I56" s="371"/>
      <c r="J56" s="142"/>
      <c r="K56" s="142"/>
      <c r="L56" s="369"/>
      <c r="M56" s="369"/>
      <c r="O56" s="369"/>
      <c r="P56" s="369"/>
      <c r="Q56" s="142"/>
      <c r="R56" s="142"/>
      <c r="S56" s="372"/>
      <c r="T56" s="369"/>
      <c r="U56" s="369"/>
      <c r="V56" s="369"/>
      <c r="W56" s="369"/>
      <c r="X56" s="369"/>
      <c r="Y56" s="369"/>
      <c r="Z56" s="372"/>
      <c r="AA56" s="373"/>
      <c r="AB56" s="373"/>
      <c r="AC56" s="373"/>
      <c r="AD56" s="369"/>
      <c r="AE56" s="374"/>
      <c r="AF56" s="369"/>
      <c r="AG56" s="369"/>
      <c r="AH56" s="369"/>
      <c r="AI56" s="369"/>
      <c r="AJ56" s="369"/>
      <c r="AK56" s="369"/>
      <c r="AL56" s="375"/>
      <c r="AM56" s="375"/>
      <c r="AN56" s="375"/>
      <c r="AO56" s="375"/>
      <c r="AP56" s="375"/>
      <c r="AQ56" s="375"/>
      <c r="AR56" s="375"/>
      <c r="AS56" s="375"/>
      <c r="AT56" s="375"/>
      <c r="AU56" s="375"/>
      <c r="AV56" s="376"/>
      <c r="AW56" s="376"/>
      <c r="AX56" s="376"/>
      <c r="AY56" s="376"/>
      <c r="AZ56" s="376"/>
      <c r="BA56" s="369"/>
    </row>
    <row r="57" spans="1:53" s="90" customFormat="1">
      <c r="A57" s="2966"/>
      <c r="B57" s="111" t="s">
        <v>2375</v>
      </c>
      <c r="C57" s="112" t="s">
        <v>2376</v>
      </c>
      <c r="H57" s="371"/>
      <c r="I57" s="371"/>
      <c r="J57" s="142"/>
      <c r="K57" s="142"/>
      <c r="L57" s="369"/>
      <c r="M57" s="369"/>
      <c r="O57" s="369"/>
      <c r="P57" s="369"/>
      <c r="Q57" s="142"/>
      <c r="R57" s="142"/>
      <c r="S57" s="372"/>
      <c r="T57" s="369"/>
      <c r="U57" s="369"/>
      <c r="V57" s="369"/>
      <c r="W57" s="369"/>
      <c r="X57" s="369"/>
      <c r="Y57" s="369"/>
      <c r="Z57" s="372"/>
      <c r="AA57" s="373"/>
      <c r="AB57" s="373"/>
      <c r="AC57" s="373"/>
      <c r="AD57" s="369"/>
      <c r="AE57" s="374"/>
      <c r="AF57" s="369"/>
      <c r="AG57" s="369"/>
      <c r="AH57" s="369"/>
      <c r="AI57" s="369"/>
      <c r="AJ57" s="369"/>
      <c r="AK57" s="369"/>
      <c r="AL57" s="375"/>
      <c r="AM57" s="375"/>
      <c r="AN57" s="375"/>
      <c r="AO57" s="375"/>
      <c r="AP57" s="375"/>
      <c r="AQ57" s="375"/>
      <c r="AR57" s="375"/>
      <c r="AS57" s="375"/>
      <c r="AT57" s="375"/>
      <c r="AU57" s="375"/>
      <c r="AV57" s="376"/>
      <c r="AW57" s="376"/>
      <c r="AX57" s="376"/>
      <c r="AY57" s="376"/>
      <c r="AZ57" s="376"/>
      <c r="BA57" s="369"/>
    </row>
    <row r="58" spans="1:53" s="90" customFormat="1">
      <c r="A58" s="2966"/>
      <c r="B58" s="111" t="s">
        <v>2377</v>
      </c>
      <c r="C58" s="112" t="s">
        <v>2378</v>
      </c>
      <c r="H58" s="371"/>
      <c r="I58" s="371"/>
      <c r="J58" s="142"/>
      <c r="K58" s="142"/>
      <c r="L58" s="369"/>
      <c r="M58" s="369"/>
      <c r="O58" s="369"/>
      <c r="P58" s="369"/>
      <c r="Q58" s="142"/>
      <c r="R58" s="142"/>
      <c r="S58" s="372"/>
      <c r="T58" s="369"/>
      <c r="U58" s="369"/>
      <c r="V58" s="369"/>
      <c r="W58" s="369"/>
      <c r="X58" s="369"/>
      <c r="Y58" s="369"/>
      <c r="Z58" s="372"/>
      <c r="AA58" s="373"/>
      <c r="AB58" s="373"/>
      <c r="AC58" s="373"/>
      <c r="AD58" s="369"/>
      <c r="AE58" s="374"/>
      <c r="AF58" s="369"/>
      <c r="AG58" s="369"/>
      <c r="AH58" s="369"/>
      <c r="AI58" s="369"/>
      <c r="AJ58" s="369"/>
      <c r="AK58" s="369"/>
      <c r="AL58" s="375"/>
      <c r="AM58" s="375"/>
      <c r="AN58" s="375"/>
      <c r="AO58" s="375"/>
      <c r="AP58" s="375"/>
      <c r="AQ58" s="375"/>
      <c r="AR58" s="375"/>
      <c r="AS58" s="375"/>
      <c r="AT58" s="375"/>
      <c r="AU58" s="375"/>
      <c r="AV58" s="376"/>
      <c r="AW58" s="376"/>
      <c r="AX58" s="376"/>
      <c r="AY58" s="376"/>
      <c r="AZ58" s="376"/>
      <c r="BA58" s="369"/>
    </row>
    <row r="59" spans="1:53" s="90" customFormat="1">
      <c r="A59" s="2966"/>
      <c r="B59" s="111" t="s">
        <v>2379</v>
      </c>
      <c r="C59" s="112" t="s">
        <v>2175</v>
      </c>
      <c r="H59" s="371"/>
      <c r="I59" s="371"/>
      <c r="J59" s="142"/>
      <c r="K59" s="142"/>
      <c r="L59" s="369"/>
      <c r="M59" s="369"/>
      <c r="O59" s="369"/>
      <c r="P59" s="369"/>
      <c r="Q59" s="142"/>
      <c r="R59" s="142"/>
      <c r="S59" s="372"/>
      <c r="T59" s="369"/>
      <c r="U59" s="369"/>
      <c r="V59" s="369"/>
      <c r="W59" s="369"/>
      <c r="X59" s="369"/>
      <c r="Y59" s="369"/>
      <c r="Z59" s="372"/>
      <c r="AA59" s="373"/>
      <c r="AB59" s="373"/>
      <c r="AC59" s="373"/>
      <c r="AD59" s="369"/>
      <c r="AE59" s="374"/>
      <c r="AF59" s="369"/>
      <c r="AG59" s="369"/>
      <c r="AH59" s="369"/>
      <c r="AI59" s="369"/>
      <c r="AJ59" s="369"/>
      <c r="AK59" s="369"/>
      <c r="AL59" s="375"/>
      <c r="AM59" s="375"/>
      <c r="AN59" s="375"/>
      <c r="AO59" s="375"/>
      <c r="AP59" s="375"/>
      <c r="AQ59" s="375"/>
      <c r="AR59" s="375"/>
      <c r="AS59" s="375"/>
      <c r="AT59" s="375"/>
      <c r="AU59" s="375"/>
      <c r="AV59" s="376"/>
      <c r="AW59" s="376"/>
      <c r="AX59" s="376"/>
      <c r="AY59" s="376"/>
      <c r="AZ59" s="376"/>
      <c r="BA59" s="369"/>
    </row>
    <row r="60" spans="1:53" s="90" customFormat="1">
      <c r="A60" s="2966"/>
      <c r="B60" s="111" t="s">
        <v>2380</v>
      </c>
      <c r="C60" s="112" t="s">
        <v>2381</v>
      </c>
      <c r="H60" s="371"/>
      <c r="I60" s="371"/>
      <c r="J60" s="142"/>
      <c r="K60" s="142"/>
      <c r="L60" s="369"/>
      <c r="M60" s="369"/>
      <c r="O60" s="369"/>
      <c r="P60" s="369"/>
      <c r="Q60" s="142"/>
      <c r="R60" s="142"/>
      <c r="S60" s="372"/>
      <c r="T60" s="369"/>
      <c r="U60" s="369"/>
      <c r="V60" s="369"/>
      <c r="W60" s="369"/>
      <c r="X60" s="369"/>
      <c r="Y60" s="369"/>
      <c r="Z60" s="372"/>
      <c r="AA60" s="373"/>
      <c r="AB60" s="373"/>
      <c r="AC60" s="373"/>
      <c r="AD60" s="369"/>
      <c r="AE60" s="374"/>
      <c r="AF60" s="369"/>
      <c r="AG60" s="369"/>
      <c r="AH60" s="369"/>
      <c r="AI60" s="369"/>
      <c r="AJ60" s="369"/>
      <c r="AK60" s="369"/>
      <c r="AL60" s="375"/>
      <c r="AM60" s="375"/>
      <c r="AN60" s="375"/>
      <c r="AO60" s="375"/>
      <c r="AP60" s="375"/>
      <c r="AQ60" s="375"/>
      <c r="AR60" s="375"/>
      <c r="AS60" s="375"/>
      <c r="AT60" s="375"/>
      <c r="AU60" s="375"/>
      <c r="AV60" s="376"/>
      <c r="AW60" s="376"/>
      <c r="AX60" s="376"/>
      <c r="AY60" s="376"/>
      <c r="AZ60" s="376"/>
      <c r="BA60" s="369"/>
    </row>
    <row r="61" spans="1:53" s="90" customFormat="1">
      <c r="A61" s="2966"/>
      <c r="B61" s="111" t="s">
        <v>2382</v>
      </c>
      <c r="C61" s="112" t="s">
        <v>2383</v>
      </c>
      <c r="H61" s="371"/>
      <c r="I61" s="371"/>
      <c r="J61" s="142"/>
      <c r="K61" s="142"/>
      <c r="L61" s="369"/>
      <c r="M61" s="369"/>
      <c r="O61" s="369"/>
      <c r="P61" s="369"/>
      <c r="Q61" s="142"/>
      <c r="R61" s="142"/>
      <c r="S61" s="372"/>
      <c r="T61" s="369"/>
      <c r="U61" s="369"/>
      <c r="V61" s="369"/>
      <c r="W61" s="369"/>
      <c r="X61" s="369"/>
      <c r="Y61" s="369"/>
      <c r="Z61" s="372"/>
      <c r="AA61" s="373"/>
      <c r="AB61" s="373"/>
      <c r="AC61" s="373"/>
      <c r="AD61" s="369"/>
      <c r="AE61" s="374"/>
      <c r="AF61" s="369"/>
      <c r="AG61" s="369"/>
      <c r="AH61" s="369"/>
      <c r="AI61" s="369"/>
      <c r="AJ61" s="369"/>
      <c r="AK61" s="369"/>
      <c r="AL61" s="375"/>
      <c r="AM61" s="375"/>
      <c r="AN61" s="375"/>
      <c r="AO61" s="375"/>
      <c r="AP61" s="375"/>
      <c r="AQ61" s="375"/>
      <c r="AR61" s="375"/>
      <c r="AS61" s="375"/>
      <c r="AT61" s="375"/>
      <c r="AU61" s="375"/>
      <c r="AV61" s="376"/>
      <c r="AW61" s="376"/>
      <c r="AX61" s="376"/>
      <c r="AY61" s="376"/>
      <c r="AZ61" s="376"/>
      <c r="BA61" s="369"/>
    </row>
    <row r="62" spans="1:53" s="90" customFormat="1">
      <c r="A62" s="2966"/>
      <c r="B62" s="111" t="s">
        <v>2384</v>
      </c>
      <c r="C62" s="112"/>
      <c r="H62" s="371"/>
      <c r="I62" s="371"/>
      <c r="J62" s="142"/>
      <c r="K62" s="142"/>
      <c r="L62" s="369"/>
      <c r="M62" s="369"/>
      <c r="O62" s="369"/>
      <c r="P62" s="369"/>
      <c r="Q62" s="142"/>
      <c r="R62" s="142"/>
      <c r="S62" s="372"/>
      <c r="T62" s="369"/>
      <c r="U62" s="369"/>
      <c r="V62" s="369"/>
      <c r="W62" s="369"/>
      <c r="X62" s="369"/>
      <c r="Y62" s="369"/>
      <c r="Z62" s="372"/>
      <c r="AA62" s="373"/>
      <c r="AB62" s="373"/>
      <c r="AC62" s="373"/>
      <c r="AD62" s="369"/>
      <c r="AE62" s="374"/>
      <c r="AF62" s="369"/>
      <c r="AG62" s="369"/>
      <c r="AH62" s="369"/>
      <c r="AI62" s="369"/>
      <c r="AJ62" s="369"/>
      <c r="AK62" s="369"/>
      <c r="AL62" s="375"/>
      <c r="AM62" s="375"/>
      <c r="AN62" s="375"/>
      <c r="AO62" s="375"/>
      <c r="AP62" s="375"/>
      <c r="AQ62" s="375"/>
      <c r="AR62" s="375"/>
      <c r="AS62" s="375"/>
      <c r="AT62" s="375"/>
      <c r="AU62" s="375"/>
      <c r="AV62" s="376"/>
      <c r="AW62" s="376"/>
      <c r="AX62" s="376"/>
      <c r="AY62" s="376"/>
      <c r="AZ62" s="376"/>
      <c r="BA62" s="369"/>
    </row>
    <row r="63" spans="1:53" s="90" customFormat="1">
      <c r="A63" s="2966"/>
      <c r="B63" s="111" t="s">
        <v>2385</v>
      </c>
      <c r="C63" s="112"/>
      <c r="H63" s="371"/>
      <c r="I63" s="371"/>
      <c r="J63" s="142"/>
      <c r="K63" s="142"/>
      <c r="L63" s="369"/>
      <c r="M63" s="369"/>
      <c r="O63" s="369"/>
      <c r="P63" s="369"/>
      <c r="Q63" s="142"/>
      <c r="R63" s="142"/>
      <c r="S63" s="372"/>
      <c r="T63" s="369"/>
      <c r="U63" s="369"/>
      <c r="V63" s="369"/>
      <c r="W63" s="369"/>
      <c r="X63" s="369"/>
      <c r="Y63" s="369"/>
      <c r="Z63" s="372"/>
      <c r="AA63" s="373"/>
      <c r="AB63" s="373"/>
      <c r="AC63" s="373"/>
      <c r="AD63" s="369"/>
      <c r="AE63" s="374"/>
      <c r="AF63" s="369"/>
      <c r="AG63" s="369"/>
      <c r="AH63" s="369"/>
      <c r="AI63" s="369"/>
      <c r="AJ63" s="369"/>
      <c r="AK63" s="369"/>
      <c r="AL63" s="375"/>
      <c r="AM63" s="375"/>
      <c r="AN63" s="375"/>
      <c r="AO63" s="375"/>
      <c r="AP63" s="375"/>
      <c r="AQ63" s="375"/>
      <c r="AR63" s="375"/>
      <c r="AS63" s="375"/>
      <c r="AT63" s="375"/>
      <c r="AU63" s="375"/>
      <c r="AV63" s="376"/>
      <c r="AW63" s="376"/>
      <c r="AX63" s="376"/>
      <c r="AY63" s="376"/>
      <c r="AZ63" s="376"/>
      <c r="BA63" s="369"/>
    </row>
    <row r="64" spans="1:53" s="90" customFormat="1">
      <c r="A64" s="2966"/>
      <c r="B64" s="111" t="s">
        <v>2386</v>
      </c>
      <c r="C64" s="112"/>
      <c r="H64" s="371"/>
      <c r="I64" s="371"/>
      <c r="J64" s="142"/>
      <c r="K64" s="142"/>
      <c r="L64" s="369"/>
      <c r="M64" s="369"/>
      <c r="O64" s="369"/>
      <c r="P64" s="369"/>
      <c r="Q64" s="142"/>
      <c r="R64" s="142"/>
      <c r="S64" s="372"/>
      <c r="T64" s="369"/>
      <c r="U64" s="369"/>
      <c r="V64" s="369"/>
      <c r="W64" s="369"/>
      <c r="X64" s="369"/>
      <c r="Y64" s="369"/>
      <c r="Z64" s="372"/>
      <c r="AA64" s="373"/>
      <c r="AB64" s="373"/>
      <c r="AC64" s="373"/>
      <c r="AD64" s="369"/>
      <c r="AE64" s="374"/>
      <c r="AF64" s="369"/>
      <c r="AG64" s="369"/>
      <c r="AH64" s="369"/>
      <c r="AI64" s="369"/>
      <c r="AJ64" s="369"/>
      <c r="AK64" s="369"/>
      <c r="AL64" s="375"/>
      <c r="AM64" s="375"/>
      <c r="AN64" s="375"/>
      <c r="AO64" s="375"/>
      <c r="AP64" s="375"/>
      <c r="AQ64" s="375"/>
      <c r="AR64" s="375"/>
      <c r="AS64" s="375"/>
      <c r="AT64" s="375"/>
      <c r="AU64" s="375"/>
      <c r="AV64" s="376"/>
      <c r="AW64" s="376"/>
      <c r="AX64" s="376"/>
      <c r="AY64" s="376"/>
      <c r="AZ64" s="376"/>
      <c r="BA64" s="369"/>
    </row>
    <row r="65" spans="1:54" s="952" customFormat="1">
      <c r="A65" s="2966"/>
      <c r="B65" s="950" t="s">
        <v>2387</v>
      </c>
      <c r="C65" s="951"/>
      <c r="H65" s="953"/>
      <c r="I65" s="953"/>
      <c r="J65" s="954"/>
      <c r="K65" s="954"/>
      <c r="L65" s="955"/>
      <c r="M65" s="955"/>
      <c r="O65" s="955"/>
      <c r="P65" s="955"/>
      <c r="Q65" s="954"/>
      <c r="R65" s="954"/>
      <c r="S65" s="956"/>
      <c r="T65" s="955"/>
      <c r="U65" s="955"/>
      <c r="V65" s="955"/>
      <c r="W65" s="955"/>
      <c r="X65" s="955"/>
      <c r="Y65" s="955"/>
      <c r="Z65" s="956"/>
      <c r="AA65" s="957"/>
      <c r="AB65" s="957"/>
      <c r="AC65" s="957"/>
      <c r="AD65" s="955"/>
      <c r="AE65" s="958"/>
      <c r="AF65" s="955"/>
      <c r="AG65" s="955"/>
      <c r="AH65" s="955"/>
      <c r="AI65" s="955"/>
      <c r="AJ65" s="955"/>
      <c r="AK65" s="955"/>
      <c r="AL65" s="959"/>
      <c r="AM65" s="959"/>
      <c r="AN65" s="959"/>
      <c r="AO65" s="959"/>
      <c r="AP65" s="959"/>
      <c r="AQ65" s="959"/>
      <c r="AR65" s="959"/>
      <c r="AS65" s="959"/>
      <c r="AT65" s="959"/>
      <c r="AU65" s="959"/>
      <c r="AV65" s="960"/>
      <c r="AW65" s="960"/>
      <c r="AX65" s="960"/>
      <c r="AY65" s="960"/>
      <c r="AZ65" s="960"/>
      <c r="BA65" s="955"/>
    </row>
    <row r="66" spans="1:54" s="90" customFormat="1">
      <c r="A66" s="2966"/>
      <c r="B66" s="1487" t="s">
        <v>1887</v>
      </c>
      <c r="C66" s="112" t="s">
        <v>2112</v>
      </c>
      <c r="H66" s="371"/>
      <c r="I66" s="371"/>
      <c r="J66" s="142"/>
      <c r="K66" s="142"/>
      <c r="L66" s="369"/>
      <c r="M66" s="369"/>
      <c r="O66" s="369"/>
      <c r="P66" s="369"/>
      <c r="Q66" s="142"/>
      <c r="R66" s="142"/>
      <c r="S66" s="372"/>
      <c r="T66" s="369"/>
      <c r="U66" s="369"/>
      <c r="V66" s="369"/>
      <c r="W66" s="369"/>
      <c r="X66" s="369"/>
      <c r="Y66" s="369"/>
      <c r="Z66" s="372"/>
      <c r="AA66" s="373"/>
      <c r="AB66" s="373"/>
      <c r="AC66" s="373"/>
      <c r="AD66" s="369"/>
      <c r="AE66" s="374"/>
      <c r="AF66" s="369"/>
      <c r="AG66" s="369"/>
      <c r="AH66" s="369"/>
      <c r="AI66" s="369"/>
      <c r="AJ66" s="369"/>
      <c r="AK66" s="369"/>
      <c r="AL66" s="375"/>
      <c r="AM66" s="375"/>
      <c r="AN66" s="375"/>
      <c r="AO66" s="375"/>
      <c r="AP66" s="375"/>
      <c r="AQ66" s="375"/>
      <c r="AR66" s="375"/>
      <c r="AS66" s="375"/>
      <c r="AT66" s="375"/>
      <c r="AU66" s="375"/>
      <c r="AV66" s="376"/>
      <c r="AW66" s="376"/>
      <c r="AX66" s="376"/>
      <c r="AY66" s="376"/>
      <c r="AZ66" s="376"/>
      <c r="BA66" s="369"/>
    </row>
    <row r="67" spans="1:54" s="90" customFormat="1" ht="60" customHeight="1">
      <c r="A67" s="2966"/>
      <c r="B67" s="1487" t="s">
        <v>1889</v>
      </c>
      <c r="C67" s="112" t="s">
        <v>2115</v>
      </c>
      <c r="H67" s="371"/>
      <c r="I67" s="371"/>
      <c r="J67" s="142"/>
      <c r="K67" s="142"/>
      <c r="L67" s="369"/>
      <c r="M67" s="369"/>
      <c r="O67" s="369"/>
      <c r="P67" s="369"/>
      <c r="Q67" s="142"/>
      <c r="R67" s="142"/>
      <c r="S67" s="372"/>
      <c r="T67" s="369"/>
      <c r="U67" s="369"/>
      <c r="V67" s="369"/>
      <c r="W67" s="369"/>
      <c r="X67" s="369"/>
      <c r="Y67" s="369"/>
      <c r="Z67" s="372"/>
      <c r="AA67" s="373"/>
      <c r="AB67" s="373"/>
      <c r="AC67" s="373"/>
      <c r="AD67" s="369"/>
      <c r="AE67" s="374"/>
      <c r="AF67" s="369"/>
      <c r="AG67" s="369"/>
      <c r="AH67" s="369"/>
      <c r="AI67" s="369"/>
      <c r="AJ67" s="369"/>
      <c r="AK67" s="369"/>
      <c r="AL67" s="375"/>
      <c r="AM67" s="375"/>
      <c r="AN67" s="375"/>
      <c r="AO67" s="375"/>
      <c r="AP67" s="375"/>
      <c r="AQ67" s="375"/>
      <c r="AR67" s="375"/>
      <c r="AS67" s="375"/>
      <c r="AT67" s="375"/>
      <c r="AU67" s="375"/>
      <c r="AV67" s="376"/>
      <c r="AW67" s="376"/>
      <c r="AX67" s="376"/>
      <c r="AY67" s="376"/>
      <c r="AZ67" s="376"/>
      <c r="BA67" s="369"/>
    </row>
    <row r="68" spans="1:54" s="90" customFormat="1">
      <c r="A68" s="2966"/>
      <c r="B68" s="1487" t="s">
        <v>2019</v>
      </c>
      <c r="C68" s="112" t="s">
        <v>2118</v>
      </c>
      <c r="H68" s="371"/>
      <c r="I68" s="371"/>
      <c r="J68" s="142"/>
      <c r="K68" s="142"/>
      <c r="L68" s="369"/>
      <c r="M68" s="369"/>
      <c r="O68" s="369"/>
      <c r="P68" s="369"/>
      <c r="Q68" s="142"/>
      <c r="R68" s="142"/>
      <c r="S68" s="372"/>
      <c r="T68" s="369"/>
      <c r="U68" s="369"/>
      <c r="V68" s="369"/>
      <c r="W68" s="369"/>
      <c r="X68" s="369"/>
      <c r="Y68" s="369"/>
      <c r="Z68" s="372"/>
      <c r="AA68" s="373"/>
      <c r="AB68" s="373"/>
      <c r="AC68" s="373"/>
      <c r="AD68" s="369"/>
      <c r="AE68" s="374"/>
      <c r="AF68" s="369"/>
      <c r="AG68" s="369"/>
      <c r="AH68" s="369"/>
      <c r="AI68" s="369"/>
      <c r="AJ68" s="369"/>
      <c r="AK68" s="369"/>
      <c r="AL68" s="375"/>
      <c r="AM68" s="375"/>
      <c r="AN68" s="375"/>
      <c r="AO68" s="375"/>
      <c r="AP68" s="375"/>
      <c r="AQ68" s="375"/>
      <c r="AR68" s="375"/>
      <c r="AS68" s="375"/>
      <c r="AT68" s="375"/>
      <c r="AU68" s="375"/>
      <c r="AV68" s="376"/>
      <c r="AW68" s="376"/>
      <c r="AX68" s="376"/>
      <c r="AY68" s="376"/>
      <c r="AZ68" s="376"/>
      <c r="BA68" s="369"/>
    </row>
    <row r="69" spans="1:54" s="952" customFormat="1">
      <c r="A69" s="2966"/>
      <c r="B69" s="1511" t="s">
        <v>2034</v>
      </c>
      <c r="C69" s="951" t="s">
        <v>2388</v>
      </c>
      <c r="H69" s="953"/>
      <c r="I69" s="953"/>
      <c r="J69" s="954"/>
      <c r="K69" s="954"/>
      <c r="L69" s="955"/>
      <c r="M69" s="955"/>
      <c r="O69" s="955"/>
      <c r="P69" s="955"/>
      <c r="Q69" s="954"/>
      <c r="R69" s="954"/>
      <c r="S69" s="956"/>
      <c r="T69" s="955"/>
      <c r="U69" s="955"/>
      <c r="V69" s="955"/>
      <c r="W69" s="955"/>
      <c r="X69" s="955"/>
      <c r="Y69" s="955"/>
      <c r="Z69" s="956"/>
      <c r="AA69" s="957"/>
      <c r="AB69" s="957"/>
      <c r="AC69" s="957"/>
      <c r="AD69" s="955"/>
      <c r="AE69" s="958"/>
      <c r="AF69" s="955"/>
      <c r="AG69" s="955"/>
      <c r="AH69" s="955"/>
      <c r="AI69" s="955"/>
      <c r="AJ69" s="955"/>
      <c r="AK69" s="955"/>
      <c r="AL69" s="959"/>
      <c r="AM69" s="959"/>
      <c r="AN69" s="959"/>
      <c r="AO69" s="959"/>
      <c r="AP69" s="959"/>
      <c r="AQ69" s="959"/>
      <c r="AR69" s="959"/>
      <c r="AS69" s="959"/>
      <c r="AT69" s="959"/>
      <c r="AU69" s="959"/>
      <c r="AV69" s="960"/>
      <c r="AW69" s="960"/>
      <c r="AX69" s="960"/>
      <c r="AY69" s="960"/>
      <c r="AZ69" s="960"/>
      <c r="BA69" s="955"/>
    </row>
    <row r="70" spans="1:54" s="1495" customFormat="1" ht="18" customHeight="1">
      <c r="A70" s="2969" t="s">
        <v>2389</v>
      </c>
      <c r="B70" s="1488" t="s">
        <v>2390</v>
      </c>
      <c r="C70" s="112" t="s">
        <v>2286</v>
      </c>
      <c r="D70" s="112" t="s">
        <v>2391</v>
      </c>
      <c r="E70" s="116" t="s">
        <v>2392</v>
      </c>
      <c r="F70" s="1489">
        <v>45572</v>
      </c>
      <c r="G70" s="115">
        <v>37200</v>
      </c>
      <c r="H70" s="118"/>
      <c r="I70" s="1490"/>
      <c r="J70" s="1489"/>
      <c r="K70" s="90"/>
      <c r="L70" s="112"/>
      <c r="M70" s="118"/>
      <c r="N70" s="1491"/>
      <c r="O70" s="1492"/>
      <c r="P70" s="112"/>
      <c r="Q70" s="112"/>
      <c r="R70" s="112"/>
      <c r="S70" s="118"/>
      <c r="T70" s="118"/>
      <c r="U70" s="118"/>
      <c r="V70" s="112"/>
      <c r="W70" s="112"/>
      <c r="X70" s="118" t="s">
        <v>1443</v>
      </c>
      <c r="Y70" s="118" t="s">
        <v>515</v>
      </c>
      <c r="Z70" s="118" t="s">
        <v>515</v>
      </c>
      <c r="AA70" s="118" t="s">
        <v>742</v>
      </c>
      <c r="AB70" s="118" t="s">
        <v>742</v>
      </c>
      <c r="AC70" s="118" t="s">
        <v>742</v>
      </c>
      <c r="AD70" s="118" t="s">
        <v>742</v>
      </c>
      <c r="AE70" s="118" t="s">
        <v>1415</v>
      </c>
      <c r="AF70" s="118" t="s">
        <v>742</v>
      </c>
      <c r="AG70" s="116"/>
      <c r="AH70" s="118"/>
      <c r="AI70" s="112"/>
      <c r="AJ70" s="114"/>
      <c r="AK70" s="112"/>
      <c r="AL70" s="112"/>
      <c r="AM70" s="112"/>
      <c r="AN70" s="138">
        <v>300000000</v>
      </c>
      <c r="AO70" s="285"/>
      <c r="AP70" s="138">
        <v>400000000</v>
      </c>
      <c r="AQ70" s="1493">
        <v>235200000000</v>
      </c>
      <c r="AR70" s="112"/>
      <c r="AS70" s="112"/>
      <c r="AT70" s="112"/>
      <c r="AU70" s="112"/>
      <c r="AV70" s="112"/>
      <c r="AW70" s="1494">
        <v>45692</v>
      </c>
      <c r="AX70" s="112"/>
      <c r="AY70" s="118" t="s">
        <v>2393</v>
      </c>
      <c r="AZ70" s="118" t="s">
        <v>2393</v>
      </c>
      <c r="BA70" s="118" t="s">
        <v>2394</v>
      </c>
      <c r="BB70" s="2972" t="s">
        <v>2395</v>
      </c>
    </row>
    <row r="71" spans="1:54" s="1495" customFormat="1" ht="16.5">
      <c r="A71" s="2970"/>
      <c r="B71" s="118" t="s">
        <v>2396</v>
      </c>
      <c r="C71" s="112"/>
      <c r="D71" s="112"/>
      <c r="E71" s="116" t="s">
        <v>2397</v>
      </c>
      <c r="F71" s="1489">
        <v>45671</v>
      </c>
      <c r="G71" s="115"/>
      <c r="H71" s="118"/>
      <c r="I71" s="1490">
        <v>46484</v>
      </c>
      <c r="J71" s="1489"/>
      <c r="K71" s="90"/>
      <c r="L71" s="112"/>
      <c r="M71" s="1490">
        <v>47184</v>
      </c>
      <c r="N71" s="1491"/>
      <c r="O71" s="1492"/>
      <c r="P71" s="112"/>
      <c r="Q71" s="112"/>
      <c r="R71" s="112"/>
      <c r="S71" s="118"/>
      <c r="T71" s="118"/>
      <c r="U71" s="118"/>
      <c r="V71" s="112"/>
      <c r="W71" s="112"/>
      <c r="X71" s="369"/>
      <c r="Y71" s="118"/>
      <c r="Z71" s="118"/>
      <c r="AA71" s="118"/>
      <c r="AB71" s="118"/>
      <c r="AC71" s="118"/>
      <c r="AD71" s="118"/>
      <c r="AE71" s="118"/>
      <c r="AF71" s="118"/>
      <c r="AG71" s="116"/>
      <c r="AH71" s="118"/>
      <c r="AI71" s="90"/>
      <c r="AJ71" s="114"/>
      <c r="AK71" s="90"/>
      <c r="AL71" s="90"/>
      <c r="AM71" s="90"/>
      <c r="AN71" s="138"/>
      <c r="AO71" s="285"/>
      <c r="AP71" s="138"/>
      <c r="AQ71" s="1493"/>
      <c r="AR71" s="112"/>
      <c r="AS71" s="112"/>
      <c r="AT71" s="112"/>
      <c r="AU71" s="112"/>
      <c r="AV71" s="112"/>
      <c r="AW71" s="112"/>
      <c r="AX71" s="112"/>
      <c r="AY71" s="369"/>
      <c r="AZ71" s="369"/>
      <c r="BA71" s="118"/>
      <c r="BB71" s="2973"/>
    </row>
    <row r="72" spans="1:54" s="1495" customFormat="1" ht="16.5">
      <c r="A72" s="2970"/>
      <c r="B72" s="118" t="s">
        <v>2398</v>
      </c>
      <c r="C72" s="112"/>
      <c r="D72" s="112"/>
      <c r="E72" s="116" t="s">
        <v>2399</v>
      </c>
      <c r="F72" s="1489">
        <v>45671</v>
      </c>
      <c r="G72" s="115"/>
      <c r="H72" s="118"/>
      <c r="I72" s="1490">
        <v>46484</v>
      </c>
      <c r="J72" s="1489"/>
      <c r="K72" s="90"/>
      <c r="L72" s="112"/>
      <c r="M72" s="1490">
        <v>47184</v>
      </c>
      <c r="N72" s="1491"/>
      <c r="O72" s="1492"/>
      <c r="P72" s="112"/>
      <c r="Q72" s="112"/>
      <c r="R72" s="112"/>
      <c r="S72" s="118"/>
      <c r="T72" s="118"/>
      <c r="U72" s="118"/>
      <c r="V72" s="112"/>
      <c r="W72" s="112"/>
      <c r="X72" s="369"/>
      <c r="Y72" s="118"/>
      <c r="Z72" s="118"/>
      <c r="AA72" s="118"/>
      <c r="AB72" s="118"/>
      <c r="AC72" s="118"/>
      <c r="AD72" s="118"/>
      <c r="AE72" s="118"/>
      <c r="AF72" s="118"/>
      <c r="AG72" s="116"/>
      <c r="AH72" s="118"/>
      <c r="AI72" s="90"/>
      <c r="AJ72" s="114"/>
      <c r="AK72" s="90"/>
      <c r="AL72" s="90"/>
      <c r="AM72" s="90"/>
      <c r="AN72" s="138"/>
      <c r="AO72" s="285"/>
      <c r="AP72" s="138"/>
      <c r="AQ72" s="1493"/>
      <c r="AR72" s="112"/>
      <c r="AS72" s="112"/>
      <c r="AT72" s="112"/>
      <c r="AU72" s="112"/>
      <c r="AV72" s="112"/>
      <c r="AW72" s="112"/>
      <c r="AX72" s="112"/>
      <c r="AY72" s="369"/>
      <c r="AZ72" s="369"/>
      <c r="BA72" s="118"/>
      <c r="BB72" s="2973"/>
    </row>
    <row r="73" spans="1:54" s="1495" customFormat="1" ht="16.5">
      <c r="A73" s="2970"/>
      <c r="B73" s="118" t="s">
        <v>2400</v>
      </c>
      <c r="C73" s="112"/>
      <c r="D73" s="112"/>
      <c r="E73" s="116" t="s">
        <v>2401</v>
      </c>
      <c r="F73" s="1489">
        <v>45671</v>
      </c>
      <c r="G73" s="115"/>
      <c r="H73" s="118"/>
      <c r="I73" s="1490">
        <v>46484</v>
      </c>
      <c r="J73" s="1489"/>
      <c r="K73" s="90"/>
      <c r="L73" s="112"/>
      <c r="M73" s="1490">
        <v>47184</v>
      </c>
      <c r="N73" s="1491"/>
      <c r="O73" s="1492"/>
      <c r="P73" s="112"/>
      <c r="Q73" s="112"/>
      <c r="R73" s="112"/>
      <c r="S73" s="118"/>
      <c r="T73" s="118"/>
      <c r="U73" s="118"/>
      <c r="V73" s="112"/>
      <c r="W73" s="112"/>
      <c r="X73" s="369"/>
      <c r="Y73" s="118"/>
      <c r="Z73" s="118"/>
      <c r="AA73" s="118"/>
      <c r="AB73" s="118"/>
      <c r="AC73" s="118"/>
      <c r="AD73" s="118"/>
      <c r="AE73" s="118"/>
      <c r="AF73" s="118"/>
      <c r="AG73" s="116"/>
      <c r="AH73" s="118"/>
      <c r="AI73" s="90"/>
      <c r="AJ73" s="114"/>
      <c r="AK73" s="90"/>
      <c r="AL73" s="90"/>
      <c r="AM73" s="90"/>
      <c r="AN73" s="138"/>
      <c r="AO73" s="285"/>
      <c r="AP73" s="138"/>
      <c r="AQ73" s="1493"/>
      <c r="AR73" s="112"/>
      <c r="AS73" s="112"/>
      <c r="AT73" s="112"/>
      <c r="AU73" s="112"/>
      <c r="AV73" s="112"/>
      <c r="AW73" s="112"/>
      <c r="AX73" s="112"/>
      <c r="AY73" s="369"/>
      <c r="AZ73" s="369"/>
      <c r="BA73" s="118"/>
      <c r="BB73" s="2973"/>
    </row>
    <row r="74" spans="1:54" s="1495" customFormat="1" ht="16.5">
      <c r="A74" s="2970"/>
      <c r="B74" s="118" t="s">
        <v>2402</v>
      </c>
      <c r="C74" s="112"/>
      <c r="D74" s="112"/>
      <c r="E74" s="116" t="s">
        <v>2403</v>
      </c>
      <c r="F74" s="1489">
        <v>45671</v>
      </c>
      <c r="G74" s="115"/>
      <c r="H74" s="118"/>
      <c r="I74" s="1490">
        <v>46484</v>
      </c>
      <c r="J74" s="1489"/>
      <c r="K74" s="90"/>
      <c r="L74" s="112"/>
      <c r="M74" s="1490">
        <v>47184</v>
      </c>
      <c r="N74" s="1491"/>
      <c r="O74" s="1492"/>
      <c r="P74" s="112"/>
      <c r="Q74" s="112"/>
      <c r="R74" s="112"/>
      <c r="S74" s="118"/>
      <c r="T74" s="118"/>
      <c r="U74" s="118"/>
      <c r="V74" s="112"/>
      <c r="W74" s="112"/>
      <c r="X74" s="369"/>
      <c r="Y74" s="118"/>
      <c r="Z74" s="118"/>
      <c r="AA74" s="118"/>
      <c r="AB74" s="118"/>
      <c r="AC74" s="118"/>
      <c r="AD74" s="118"/>
      <c r="AE74" s="118"/>
      <c r="AF74" s="118"/>
      <c r="AG74" s="116"/>
      <c r="AH74" s="118"/>
      <c r="AI74" s="90"/>
      <c r="AJ74" s="114"/>
      <c r="AK74" s="90"/>
      <c r="AL74" s="90"/>
      <c r="AM74" s="90"/>
      <c r="AN74" s="138"/>
      <c r="AO74" s="285"/>
      <c r="AP74" s="138"/>
      <c r="AQ74" s="1493"/>
      <c r="AR74" s="112"/>
      <c r="AS74" s="112"/>
      <c r="AT74" s="112"/>
      <c r="AU74" s="112"/>
      <c r="AV74" s="112"/>
      <c r="AW74" s="112"/>
      <c r="AX74" s="112"/>
      <c r="AY74" s="369"/>
      <c r="AZ74" s="369"/>
      <c r="BA74" s="118"/>
      <c r="BB74" s="2973"/>
    </row>
    <row r="75" spans="1:54" s="1495" customFormat="1" ht="16.5">
      <c r="A75" s="2970"/>
      <c r="B75" s="118" t="s">
        <v>2404</v>
      </c>
      <c r="C75" s="112"/>
      <c r="D75" s="112"/>
      <c r="E75" s="116" t="s">
        <v>2405</v>
      </c>
      <c r="F75" s="1489">
        <v>45671</v>
      </c>
      <c r="G75" s="115"/>
      <c r="H75" s="118"/>
      <c r="I75" s="1490">
        <v>46484</v>
      </c>
      <c r="J75" s="1489"/>
      <c r="K75" s="90"/>
      <c r="L75" s="112"/>
      <c r="M75" s="1490">
        <v>47184</v>
      </c>
      <c r="N75" s="1491"/>
      <c r="O75" s="1492"/>
      <c r="P75" s="112"/>
      <c r="Q75" s="112"/>
      <c r="R75" s="112"/>
      <c r="S75" s="118"/>
      <c r="T75" s="118"/>
      <c r="U75" s="118"/>
      <c r="V75" s="112"/>
      <c r="W75" s="112"/>
      <c r="X75" s="369"/>
      <c r="Y75" s="118"/>
      <c r="Z75" s="118"/>
      <c r="AA75" s="118"/>
      <c r="AB75" s="118"/>
      <c r="AC75" s="118"/>
      <c r="AD75" s="118"/>
      <c r="AE75" s="118"/>
      <c r="AF75" s="118"/>
      <c r="AG75" s="116"/>
      <c r="AH75" s="118"/>
      <c r="AI75" s="90"/>
      <c r="AJ75" s="114"/>
      <c r="AK75" s="90"/>
      <c r="AL75" s="90"/>
      <c r="AM75" s="90"/>
      <c r="AN75" s="138"/>
      <c r="AO75" s="285"/>
      <c r="AP75" s="138"/>
      <c r="AQ75" s="1493"/>
      <c r="AR75" s="112"/>
      <c r="AS75" s="112"/>
      <c r="AT75" s="112"/>
      <c r="AU75" s="112"/>
      <c r="AV75" s="112"/>
      <c r="AW75" s="112"/>
      <c r="AX75" s="112"/>
      <c r="AY75" s="369"/>
      <c r="AZ75" s="369"/>
      <c r="BA75" s="118"/>
      <c r="BB75" s="2973"/>
    </row>
    <row r="76" spans="1:54" s="1506" customFormat="1" ht="16.5">
      <c r="A76" s="2971"/>
      <c r="B76" s="1483" t="s">
        <v>2406</v>
      </c>
      <c r="C76" s="951"/>
      <c r="D76" s="951"/>
      <c r="E76" s="1496" t="s">
        <v>2407</v>
      </c>
      <c r="F76" s="1497">
        <v>45671</v>
      </c>
      <c r="G76" s="1498"/>
      <c r="H76" s="1483"/>
      <c r="I76" s="1499">
        <v>46484</v>
      </c>
      <c r="J76" s="1497"/>
      <c r="K76" s="952"/>
      <c r="L76" s="951"/>
      <c r="M76" s="1499">
        <v>47184</v>
      </c>
      <c r="N76" s="1500"/>
      <c r="O76" s="1501"/>
      <c r="P76" s="951"/>
      <c r="Q76" s="951"/>
      <c r="R76" s="951"/>
      <c r="S76" s="1483"/>
      <c r="T76" s="1483"/>
      <c r="U76" s="1483"/>
      <c r="V76" s="951"/>
      <c r="W76" s="951"/>
      <c r="X76" s="955"/>
      <c r="Y76" s="1483"/>
      <c r="Z76" s="1483"/>
      <c r="AA76" s="1483"/>
      <c r="AB76" s="1483"/>
      <c r="AC76" s="1483"/>
      <c r="AD76" s="1483"/>
      <c r="AE76" s="1483"/>
      <c r="AF76" s="1483"/>
      <c r="AG76" s="1496"/>
      <c r="AH76" s="1483"/>
      <c r="AI76" s="952"/>
      <c r="AJ76" s="1502"/>
      <c r="AK76" s="952"/>
      <c r="AL76" s="952"/>
      <c r="AM76" s="952"/>
      <c r="AN76" s="1503"/>
      <c r="AO76" s="1504"/>
      <c r="AP76" s="1503"/>
      <c r="AQ76" s="1505"/>
      <c r="AR76" s="951"/>
      <c r="AS76" s="951"/>
      <c r="AT76" s="951"/>
      <c r="AU76" s="951"/>
      <c r="AV76" s="951"/>
      <c r="AW76" s="951"/>
      <c r="AX76" s="951"/>
      <c r="AY76" s="955"/>
      <c r="AZ76" s="955"/>
      <c r="BA76" s="1483"/>
      <c r="BB76" s="2974"/>
    </row>
    <row r="77" spans="1:54" s="1508" customFormat="1" ht="16.5">
      <c r="A77" s="2970" t="s">
        <v>2408</v>
      </c>
      <c r="B77" s="1488" t="s">
        <v>2390</v>
      </c>
      <c r="C77" s="112"/>
      <c r="D77" s="112" t="s">
        <v>2409</v>
      </c>
      <c r="E77" s="118" t="s">
        <v>2410</v>
      </c>
      <c r="F77" s="1489">
        <v>45671</v>
      </c>
      <c r="G77" s="1507">
        <v>31000</v>
      </c>
      <c r="H77" s="112"/>
      <c r="I77" s="1490"/>
      <c r="J77" s="112"/>
      <c r="K77" s="90"/>
      <c r="L77" s="112"/>
      <c r="M77" s="1490"/>
      <c r="N77" s="1491"/>
      <c r="O77" s="149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90"/>
      <c r="BB77" s="90"/>
    </row>
    <row r="78" spans="1:54" s="1508" customFormat="1" ht="16.5">
      <c r="A78" s="2970"/>
      <c r="B78" s="118" t="s">
        <v>2411</v>
      </c>
      <c r="C78" s="112"/>
      <c r="D78" s="112"/>
      <c r="E78" s="118" t="s">
        <v>2412</v>
      </c>
      <c r="F78" s="1489">
        <v>45671</v>
      </c>
      <c r="G78" s="112"/>
      <c r="H78" s="112"/>
      <c r="I78" s="1490">
        <v>46850</v>
      </c>
      <c r="J78" s="112"/>
      <c r="K78" s="112"/>
      <c r="L78" s="112"/>
      <c r="M78" s="1490">
        <v>47914</v>
      </c>
      <c r="N78" s="1491"/>
      <c r="O78" s="1492"/>
      <c r="P78" s="112"/>
      <c r="Q78" s="112"/>
      <c r="R78" s="112"/>
      <c r="S78" s="112"/>
      <c r="T78" s="112"/>
      <c r="U78" s="112"/>
      <c r="V78" s="112"/>
      <c r="W78" s="112"/>
      <c r="X78" s="112"/>
      <c r="Y78" s="112"/>
      <c r="Z78" s="112"/>
      <c r="AA78" s="112"/>
      <c r="AB78" s="112"/>
      <c r="AC78" s="112"/>
      <c r="AD78" s="112"/>
      <c r="AE78" s="112"/>
      <c r="AF78" s="90"/>
      <c r="AG78" s="90"/>
      <c r="AH78" s="112"/>
      <c r="AI78" s="112"/>
      <c r="AJ78" s="112"/>
      <c r="AK78" s="112"/>
      <c r="AL78" s="112"/>
      <c r="AM78" s="112"/>
      <c r="AN78" s="112"/>
      <c r="AO78" s="112"/>
      <c r="AP78" s="112"/>
      <c r="AQ78" s="112"/>
      <c r="AR78" s="112"/>
      <c r="AS78" s="112"/>
      <c r="AT78" s="112"/>
      <c r="AU78" s="112"/>
      <c r="AV78" s="112"/>
      <c r="AW78" s="112"/>
      <c r="AX78" s="112"/>
      <c r="AY78" s="112"/>
      <c r="AZ78" s="112"/>
      <c r="BA78" s="90"/>
      <c r="BB78" s="90"/>
    </row>
    <row r="79" spans="1:54" s="1508" customFormat="1" ht="16.5">
      <c r="A79" s="2970"/>
      <c r="B79" s="118" t="s">
        <v>2413</v>
      </c>
      <c r="C79" s="112"/>
      <c r="D79" s="112"/>
      <c r="E79" s="118" t="s">
        <v>2414</v>
      </c>
      <c r="F79" s="1489">
        <v>45671</v>
      </c>
      <c r="G79" s="112"/>
      <c r="H79" s="112"/>
      <c r="I79" s="1490">
        <v>46850</v>
      </c>
      <c r="J79" s="112"/>
      <c r="K79" s="112" t="s">
        <v>1832</v>
      </c>
      <c r="L79" s="112"/>
      <c r="M79" s="1490">
        <v>47914</v>
      </c>
      <c r="N79" s="1491"/>
      <c r="O79" s="149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90"/>
      <c r="BB79" s="90"/>
    </row>
    <row r="80" spans="1:54" s="1508" customFormat="1" ht="16.5">
      <c r="A80" s="2970"/>
      <c r="B80" s="118" t="s">
        <v>2415</v>
      </c>
      <c r="C80" s="90"/>
      <c r="D80" s="90"/>
      <c r="E80" s="118" t="s">
        <v>2416</v>
      </c>
      <c r="F80" s="1489">
        <v>45671</v>
      </c>
      <c r="G80" s="90"/>
      <c r="H80" s="90"/>
      <c r="I80" s="1490">
        <v>46850</v>
      </c>
      <c r="J80" s="90"/>
      <c r="K80" s="90"/>
      <c r="L80" s="90"/>
      <c r="M80" s="1490">
        <v>47914</v>
      </c>
      <c r="N80" s="1509"/>
      <c r="O80" s="151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row>
    <row r="81" spans="1:54" s="1508" customFormat="1" ht="16.5">
      <c r="A81" s="2970"/>
      <c r="B81" s="118" t="s">
        <v>2417</v>
      </c>
      <c r="C81" s="90"/>
      <c r="D81" s="90"/>
      <c r="E81" s="118" t="s">
        <v>2418</v>
      </c>
      <c r="F81" s="1489">
        <v>45671</v>
      </c>
      <c r="G81" s="90"/>
      <c r="H81" s="90"/>
      <c r="I81" s="1490">
        <v>46850</v>
      </c>
      <c r="J81" s="90"/>
      <c r="K81" s="90"/>
      <c r="L81" s="90"/>
      <c r="M81" s="1490">
        <v>47914</v>
      </c>
      <c r="N81" s="1509"/>
      <c r="O81" s="151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row>
    <row r="82" spans="1:54" s="1508" customFormat="1" ht="16.5">
      <c r="A82" s="2970"/>
      <c r="B82" s="118" t="s">
        <v>2419</v>
      </c>
      <c r="C82" s="90"/>
      <c r="D82" s="90"/>
      <c r="E82" s="118" t="s">
        <v>2420</v>
      </c>
      <c r="F82" s="1489">
        <v>45671</v>
      </c>
      <c r="G82" s="90"/>
      <c r="H82" s="90"/>
      <c r="I82" s="1490">
        <v>46850</v>
      </c>
      <c r="J82" s="90"/>
      <c r="K82" s="90"/>
      <c r="L82" s="90"/>
      <c r="M82" s="1490">
        <v>47914</v>
      </c>
      <c r="N82" s="1509"/>
      <c r="O82" s="151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row>
    <row r="83" spans="1:54" s="1508" customFormat="1" ht="16.5">
      <c r="A83" s="2970"/>
      <c r="B83" s="118" t="s">
        <v>2421</v>
      </c>
      <c r="C83" s="90"/>
      <c r="D83" s="112"/>
      <c r="E83" s="118" t="s">
        <v>2422</v>
      </c>
      <c r="F83" s="1489">
        <v>45671</v>
      </c>
      <c r="G83" s="90"/>
      <c r="H83" s="90"/>
      <c r="I83" s="1490">
        <v>46850</v>
      </c>
      <c r="J83" s="90"/>
      <c r="K83" s="90"/>
      <c r="L83" s="90"/>
      <c r="M83" s="1490">
        <v>47914</v>
      </c>
      <c r="N83" s="1509"/>
      <c r="O83" s="151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row>
    <row r="84" spans="1:54">
      <c r="P84" s="2"/>
    </row>
    <row r="85" spans="1:54">
      <c r="P85" s="2"/>
    </row>
    <row r="86" spans="1:54">
      <c r="P86" s="2"/>
    </row>
    <row r="87" spans="1:54">
      <c r="P87" s="2"/>
    </row>
    <row r="88" spans="1:54">
      <c r="P88" s="2"/>
    </row>
    <row r="89" spans="1:54">
      <c r="P89" s="2"/>
    </row>
    <row r="90" spans="1:54">
      <c r="P90" s="2"/>
    </row>
    <row r="91" spans="1:54">
      <c r="P91" s="2"/>
    </row>
    <row r="92" spans="1:54">
      <c r="P92" s="2"/>
    </row>
    <row r="93" spans="1:54">
      <c r="P93" s="2"/>
    </row>
    <row r="94" spans="1:54">
      <c r="P94" s="2"/>
    </row>
    <row r="95" spans="1:54">
      <c r="P95" s="2"/>
    </row>
    <row r="96" spans="1:54">
      <c r="P96" s="2"/>
    </row>
    <row r="97" spans="16:16">
      <c r="P97" s="2"/>
    </row>
    <row r="98" spans="16:16">
      <c r="P98" s="2"/>
    </row>
    <row r="99" spans="16:16">
      <c r="P99" s="2"/>
    </row>
    <row r="100" spans="16:16">
      <c r="P100" s="2"/>
    </row>
    <row r="101" spans="16:16">
      <c r="P101" s="2"/>
    </row>
    <row r="102" spans="16:16">
      <c r="P102" s="2"/>
    </row>
    <row r="103" spans="16:16">
      <c r="P103" s="2"/>
    </row>
    <row r="104" spans="16:16">
      <c r="P104" s="2"/>
    </row>
    <row r="105" spans="16:16">
      <c r="P105" s="2"/>
    </row>
    <row r="106" spans="16:16">
      <c r="P106" s="2"/>
    </row>
    <row r="107" spans="16:16">
      <c r="P107" s="2"/>
    </row>
    <row r="108" spans="16:16">
      <c r="P108" s="2"/>
    </row>
    <row r="109" spans="16:16">
      <c r="P109" s="2"/>
    </row>
    <row r="110" spans="16:16">
      <c r="P110" s="2"/>
    </row>
  </sheetData>
  <autoFilter ref="A2:BB8" xr:uid="{6E147DCE-A6F4-47F7-9F8B-7CFC47C10580}"/>
  <mergeCells count="10">
    <mergeCell ref="A70:A76"/>
    <mergeCell ref="BB70:BB76"/>
    <mergeCell ref="A77:A83"/>
    <mergeCell ref="A31:A39"/>
    <mergeCell ref="A40:A47"/>
    <mergeCell ref="A22:A30"/>
    <mergeCell ref="A48:A69"/>
    <mergeCell ref="A4:A8"/>
    <mergeCell ref="A9:A11"/>
    <mergeCell ref="A12:A18"/>
  </mergeCells>
  <phoneticPr fontId="19" type="noConversion"/>
  <dataValidations count="1">
    <dataValidation type="list" allowBlank="1" showInputMessage="1" showErrorMessage="1" sqref="AJ3 AN4:AN18 AJ19:AJ69 AJ84:AJ1048576" xr:uid="{74E4BB54-BE54-41FE-9E65-2E897A4E5937}">
      <formula1>"YES,NO,-"</formula1>
    </dataValidation>
  </dataValidations>
  <pageMargins left="0.70866141732283472" right="0.70866141732283472" top="0.74803149606299213" bottom="0.74803149606299213" header="0.31496062992125984" footer="0.31496062992125984"/>
  <pageSetup paperSize="8" scale="70" orientation="landscape" r:id="rId1"/>
  <legacyDrawing r:id="rId2"/>
  <extLst>
    <ext xmlns:x14="http://schemas.microsoft.com/office/spreadsheetml/2009/9/main" uri="{CCE6A557-97BC-4b89-ADB6-D9C93CAAB3DF}">
      <x14:dataValidations xmlns:xm="http://schemas.microsoft.com/office/excel/2006/main" count="1">
        <x14:dataValidation type="list" showInputMessage="1" showErrorMessage="1" xr:uid="{CDAB4929-C098-4ABC-9378-FC14F22E23A3}">
          <x14:formula1>
            <xm:f>'Back up'!$D$3:$D$8</xm:f>
          </x14:formula1>
          <xm:sqref>N3 P4:P18 L70:L76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2A8B-6025-4176-BFE8-6D3D16B4A966}">
  <sheetPr codeName="Sheet18"/>
  <dimension ref="D2:D8"/>
  <sheetViews>
    <sheetView workbookViewId="0">
      <selection activeCell="L24" sqref="L24"/>
    </sheetView>
  </sheetViews>
  <sheetFormatPr defaultRowHeight="16.5"/>
  <cols>
    <col min="4" max="4" width="31.875" bestFit="1" customWidth="1"/>
  </cols>
  <sheetData>
    <row r="2" spans="4:4">
      <c r="D2" s="20" t="s">
        <v>1699</v>
      </c>
    </row>
    <row r="3" spans="4:4">
      <c r="D3" s="3" t="s">
        <v>2423</v>
      </c>
    </row>
    <row r="4" spans="4:4">
      <c r="D4" s="3" t="s">
        <v>2424</v>
      </c>
    </row>
    <row r="5" spans="4:4">
      <c r="D5" s="3" t="s">
        <v>2425</v>
      </c>
    </row>
    <row r="6" spans="4:4">
      <c r="D6" s="3" t="s">
        <v>2426</v>
      </c>
    </row>
    <row r="7" spans="4:4">
      <c r="D7" s="3" t="s">
        <v>2427</v>
      </c>
    </row>
    <row r="8" spans="4:4">
      <c r="D8" s="3" t="s">
        <v>2428</v>
      </c>
    </row>
  </sheetData>
  <phoneticPr fontId="9"/>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51D8D-BF2E-4A69-84A1-C45AA318FF60}">
  <sheetPr codeName="Sheet19"/>
  <dimension ref="A1:B5"/>
  <sheetViews>
    <sheetView workbookViewId="0">
      <selection activeCell="H20" sqref="H20"/>
    </sheetView>
  </sheetViews>
  <sheetFormatPr defaultRowHeight="16.5"/>
  <cols>
    <col min="1" max="1" width="13.875" bestFit="1" customWidth="1"/>
    <col min="2" max="2" width="18.25" bestFit="1" customWidth="1"/>
    <col min="3" max="3" width="7.875" bestFit="1" customWidth="1"/>
    <col min="4" max="8" width="6.875" bestFit="1" customWidth="1"/>
    <col min="9" max="11" width="5.75" bestFit="1" customWidth="1"/>
    <col min="12" max="12" width="12" bestFit="1" customWidth="1"/>
    <col min="13" max="13" width="11.75" bestFit="1" customWidth="1"/>
    <col min="14" max="14" width="10.625" bestFit="1" customWidth="1"/>
    <col min="15" max="15" width="12" bestFit="1" customWidth="1"/>
    <col min="16" max="16" width="16" bestFit="1" customWidth="1"/>
    <col min="17" max="17" width="13.625" bestFit="1" customWidth="1"/>
    <col min="18" max="18" width="17.125" bestFit="1" customWidth="1"/>
    <col min="19" max="19" width="13.625" bestFit="1" customWidth="1"/>
    <col min="20" max="20" width="2.625" bestFit="1" customWidth="1"/>
    <col min="21" max="21" width="17.125" bestFit="1" customWidth="1"/>
    <col min="22" max="22" width="13.625" bestFit="1" customWidth="1"/>
    <col min="23" max="23" width="17.125" bestFit="1" customWidth="1"/>
    <col min="24" max="24" width="13.625" bestFit="1" customWidth="1"/>
    <col min="25" max="25" width="17.125" bestFit="1" customWidth="1"/>
    <col min="26" max="26" width="13.625" bestFit="1" customWidth="1"/>
    <col min="27" max="27" width="17.125" bestFit="1" customWidth="1"/>
    <col min="28" max="28" width="12.25" bestFit="1" customWidth="1"/>
    <col min="29" max="29" width="16" bestFit="1" customWidth="1"/>
    <col min="30" max="30" width="12" bestFit="1" customWidth="1"/>
    <col min="31" max="31" width="18" bestFit="1" customWidth="1"/>
    <col min="32" max="32" width="14.375" bestFit="1" customWidth="1"/>
    <col min="33" max="33" width="29.125" bestFit="1" customWidth="1"/>
    <col min="34" max="34" width="26" bestFit="1" customWidth="1"/>
    <col min="35" max="35" width="18" bestFit="1" customWidth="1"/>
    <col min="36" max="36" width="14.375" bestFit="1" customWidth="1"/>
    <col min="37" max="37" width="18" bestFit="1" customWidth="1"/>
    <col min="38" max="38" width="14.375" bestFit="1" customWidth="1"/>
    <col min="39" max="39" width="29.125" bestFit="1" customWidth="1"/>
    <col min="40" max="40" width="26" bestFit="1" customWidth="1"/>
    <col min="41" max="41" width="18" bestFit="1" customWidth="1"/>
    <col min="42" max="42" width="14.375" bestFit="1" customWidth="1"/>
    <col min="43" max="43" width="29.125" bestFit="1" customWidth="1"/>
    <col min="44" max="44" width="26" bestFit="1" customWidth="1"/>
    <col min="45" max="45" width="18" bestFit="1" customWidth="1"/>
    <col min="46" max="46" width="14.375" bestFit="1" customWidth="1"/>
    <col min="47" max="47" width="29.125" bestFit="1" customWidth="1"/>
    <col min="48" max="48" width="26" bestFit="1" customWidth="1"/>
    <col min="49" max="49" width="18" bestFit="1" customWidth="1"/>
    <col min="50" max="50" width="14.375" bestFit="1" customWidth="1"/>
    <col min="51" max="51" width="29.125" bestFit="1" customWidth="1"/>
    <col min="52" max="52" width="26" bestFit="1" customWidth="1"/>
    <col min="53" max="53" width="18" bestFit="1" customWidth="1"/>
    <col min="54" max="54" width="14.375" bestFit="1" customWidth="1"/>
    <col min="55" max="55" width="28.125" bestFit="1" customWidth="1"/>
    <col min="56" max="56" width="24.875" bestFit="1" customWidth="1"/>
    <col min="57" max="57" width="23.125" bestFit="1" customWidth="1"/>
    <col min="58" max="58" width="20" bestFit="1" customWidth="1"/>
  </cols>
  <sheetData>
    <row r="1" spans="1:2">
      <c r="A1" s="15" t="s">
        <v>475</v>
      </c>
      <c r="B1" t="s">
        <v>2429</v>
      </c>
    </row>
    <row r="2" spans="1:2">
      <c r="A2" s="15" t="s">
        <v>1692</v>
      </c>
      <c r="B2" t="s">
        <v>2429</v>
      </c>
    </row>
    <row r="4" spans="1:2">
      <c r="A4" t="s">
        <v>2430</v>
      </c>
    </row>
    <row r="5" spans="1:2">
      <c r="A5" s="31">
        <v>12325.180000000002</v>
      </c>
    </row>
  </sheetData>
  <phoneticPr fontId="9"/>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5f4cb18-255b-4ac9-9c15-8e428be72d9c" xsi:nil="true"/>
    <lcf76f155ced4ddcb4097134ff3c332f xmlns="077129c6-bde6-44bb-93f0-d61b664bb2a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A1438F5CB44643B4B58FAD98BEA073" ma:contentTypeVersion="16" ma:contentTypeDescription="Create a new document." ma:contentTypeScope="" ma:versionID="8106fd8e162c03246f345c315dd690a1">
  <xsd:schema xmlns:xsd="http://www.w3.org/2001/XMLSchema" xmlns:xs="http://www.w3.org/2001/XMLSchema" xmlns:p="http://schemas.microsoft.com/office/2006/metadata/properties" xmlns:ns2="077129c6-bde6-44bb-93f0-d61b664bb2ab" xmlns:ns3="15f4cb18-255b-4ac9-9c15-8e428be72d9c" targetNamespace="http://schemas.microsoft.com/office/2006/metadata/properties" ma:root="true" ma:fieldsID="f825634e155c6498872b3f90d89ac50e" ns2:_="" ns3:_="">
    <xsd:import namespace="077129c6-bde6-44bb-93f0-d61b664bb2ab"/>
    <xsd:import namespace="15f4cb18-255b-4ac9-9c15-8e428be72d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129c6-bde6-44bb-93f0-d61b664bb2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77cf586-854d-43e5-b936-fc37fb5dfa15"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f4cb18-255b-4ac9-9c15-8e428be72d9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626bcb1-2494-4262-aec4-d218d21dc5d6}" ma:internalName="TaxCatchAll" ma:showField="CatchAllData" ma:web="15f4cb18-255b-4ac9-9c15-8e428be72d9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6B5552-2784-44F8-A769-79C465609C12}">
  <ds:schemaRefs>
    <ds:schemaRef ds:uri="http://schemas.microsoft.com/sharepoint/v3/contenttype/forms"/>
  </ds:schemaRefs>
</ds:datastoreItem>
</file>

<file path=customXml/itemProps2.xml><?xml version="1.0" encoding="utf-8"?>
<ds:datastoreItem xmlns:ds="http://schemas.openxmlformats.org/officeDocument/2006/customXml" ds:itemID="{524C27B5-6E96-4C11-BF12-1782AF1DE514}">
  <ds:schemaRefs>
    <ds:schemaRef ds:uri="http://schemas.microsoft.com/office/2006/metadata/properties"/>
    <ds:schemaRef ds:uri="http://purl.org/dc/dcmitype/"/>
    <ds:schemaRef ds:uri="http://schemas.microsoft.com/office/2006/documentManagement/types"/>
    <ds:schemaRef ds:uri="http://schemas.microsoft.com/office/infopath/2007/PartnerControls"/>
    <ds:schemaRef ds:uri="15f4cb18-255b-4ac9-9c15-8e428be72d9c"/>
    <ds:schemaRef ds:uri="http://schemas.openxmlformats.org/package/2006/metadata/core-properties"/>
    <ds:schemaRef ds:uri="077129c6-bde6-44bb-93f0-d61b664bb2ab"/>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BCBED00D-15E6-4AF1-8B18-EAE49D725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129c6-bde6-44bb-93f0-d61b664bb2ab"/>
    <ds:schemaRef ds:uri="15f4cb18-255b-4ac9-9c15-8e428be72d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39</vt:i4>
      </vt:variant>
      <vt:variant>
        <vt:lpstr>이름 지정된 범위</vt:lpstr>
      </vt:variant>
      <vt:variant>
        <vt:i4>9</vt:i4>
      </vt:variant>
    </vt:vector>
  </HeadingPairs>
  <TitlesOfParts>
    <vt:vector size="48" baseType="lpstr">
      <vt:lpstr>Batch1 calculation</vt:lpstr>
      <vt:lpstr>Week news</vt:lpstr>
      <vt:lpstr>ref.Phase 1 (2)</vt:lpstr>
      <vt:lpstr>관련 현황</vt:lpstr>
      <vt:lpstr>Summary</vt:lpstr>
      <vt:lpstr>DEVEX Payment Status</vt:lpstr>
      <vt:lpstr>Amount to be paid in 2025(1004)</vt:lpstr>
      <vt:lpstr>Amount to be paid_POSN2HO</vt:lpstr>
      <vt:lpstr>Amount to be paid in 2025(Total</vt:lpstr>
      <vt:lpstr>INPUTSHEET(Batch2)</vt:lpstr>
      <vt:lpstr>Input 기초</vt:lpstr>
      <vt:lpstr>Amount to be paid_GM_Batch1</vt:lpstr>
      <vt:lpstr>SPV별 CAPEX 현황</vt:lpstr>
      <vt:lpstr>DEVEX 지급현황</vt:lpstr>
      <vt:lpstr>GM Batch1</vt:lpstr>
      <vt:lpstr>GM Batch2-APA</vt:lpstr>
      <vt:lpstr>GM Batch2-SPA</vt:lpstr>
      <vt:lpstr>DG M&amp;A-SPA_POSN</vt:lpstr>
      <vt:lpstr>PAYMENT RATIO_RAW</vt:lpstr>
      <vt:lpstr>GM Batch2-brokerage</vt:lpstr>
      <vt:lpstr>Sheet4</vt:lpstr>
      <vt:lpstr>Payment plan+comment</vt:lpstr>
      <vt:lpstr>DG-PV Organic</vt:lpstr>
      <vt:lpstr>GM payment(재작성 중)</vt:lpstr>
      <vt:lpstr>SPVs Status 3</vt:lpstr>
      <vt:lpstr>ref.지급기준 (2)</vt:lpstr>
      <vt:lpstr>Solar M&amp;A</vt:lpstr>
      <vt:lpstr>Sheet1</vt:lpstr>
      <vt:lpstr>Rationales_Solar M&amp;A</vt:lpstr>
      <vt:lpstr>Solar Organic</vt:lpstr>
      <vt:lpstr>DG-PV M&amp;A</vt:lpstr>
      <vt:lpstr>Rationales_DG-PV Organic</vt:lpstr>
      <vt:lpstr>DG정리</vt:lpstr>
      <vt:lpstr>Quarterly BD Projection</vt:lpstr>
      <vt:lpstr>Wind</vt:lpstr>
      <vt:lpstr>Rationales_Wind</vt:lpstr>
      <vt:lpstr>Down PJ</vt:lpstr>
      <vt:lpstr>Back up</vt:lpstr>
      <vt:lpstr>Pivot</vt:lpstr>
      <vt:lpstr>'DG M&amp;A-SPA_POSN'!Print_Area</vt:lpstr>
      <vt:lpstr>'GM Batch1'!Print_Area</vt:lpstr>
      <vt:lpstr>'GM Batch2-APA'!Print_Area</vt:lpstr>
      <vt:lpstr>'GM Batch2-brokerage'!Print_Area</vt:lpstr>
      <vt:lpstr>'GM Batch2-SPA'!Print_Area</vt:lpstr>
      <vt:lpstr>'GM payment(재작성 중)'!Print_Area</vt:lpstr>
      <vt:lpstr>'Quarterly BD Projection'!Print_Area</vt:lpstr>
      <vt:lpstr>'Solar M&amp;A'!Print_Area</vt:lpstr>
      <vt:lpstr>'SPVs Status 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Rex Yoo</dc:creator>
  <cp:keywords/>
  <dc:description/>
  <cp:lastModifiedBy>distributed generation</cp:lastModifiedBy>
  <cp:revision/>
  <dcterms:created xsi:type="dcterms:W3CDTF">2024-02-01T03:58:52Z</dcterms:created>
  <dcterms:modified xsi:type="dcterms:W3CDTF">2026-01-15T08:50:29Z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0x01010065A1438F5CB44643B4B58FAD98BEA073</vt:lpwstr>
  </property>
  <property fmtid="{D5CDD505-2E9C-101B-9397-08002B2CF9AE}" pid="3" name="MediaServiceImageTags">
    <vt:lpwstr/>
  </property>
</Properties>
</file>