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Francisco Sargento\Desktop\"/>
    </mc:Choice>
  </mc:AlternateContent>
  <xr:revisionPtr revIDLastSave="0" documentId="8_{F656F501-81D5-40A0-94EE-37A07AE4868A}" xr6:coauthVersionLast="46" xr6:coauthVersionMax="46" xr10:uidLastSave="{00000000-0000-0000-0000-000000000000}"/>
  <bookViews>
    <workbookView xWindow="-120" yWindow="-120" windowWidth="29040" windowHeight="16440" activeTab="4" xr2:uid="{AB37BC98-3F16-46BD-9256-2400B5668DD3}"/>
  </bookViews>
  <sheets>
    <sheet name="Dados Atualizados" sheetId="2" r:id="rId1"/>
    <sheet name="Directional stability" sheetId="9" r:id="rId2"/>
    <sheet name="CG_Position" sheetId="6" r:id="rId3"/>
    <sheet name="Static margin" sheetId="3" r:id="rId4"/>
    <sheet name="Tail Design" sheetId="4" r:id="rId5"/>
    <sheet name="Param. Study" sheetId="1" r:id="rId6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" i="9" l="1"/>
  <c r="C30" i="2"/>
  <c r="G11" i="2"/>
  <c r="G34" i="3"/>
  <c r="M5" i="9"/>
  <c r="G21" i="4"/>
  <c r="K13" i="2" s="1"/>
  <c r="G33" i="3" s="1"/>
  <c r="G20" i="4"/>
  <c r="G18" i="4"/>
  <c r="K12" i="2" s="1"/>
  <c r="G17" i="4"/>
  <c r="O4" i="3"/>
  <c r="M34" i="2"/>
  <c r="C37" i="2"/>
  <c r="C29" i="2" s="1"/>
  <c r="C5" i="6"/>
  <c r="C6" i="6"/>
  <c r="C9" i="6"/>
  <c r="C4" i="6"/>
  <c r="C15" i="6"/>
  <c r="C14" i="6"/>
  <c r="C13" i="6"/>
  <c r="C12" i="6"/>
  <c r="G8" i="6"/>
  <c r="G9" i="6"/>
  <c r="G10" i="6"/>
  <c r="G12" i="6"/>
  <c r="G13" i="6"/>
  <c r="G17" i="6"/>
  <c r="G18" i="6"/>
  <c r="G19" i="6"/>
  <c r="G20" i="6"/>
  <c r="G21" i="6"/>
  <c r="G22" i="6"/>
  <c r="G7" i="6"/>
  <c r="M2" i="9"/>
  <c r="P3" i="9"/>
  <c r="M4" i="9"/>
  <c r="G11" i="6"/>
  <c r="G16" i="6"/>
  <c r="G14" i="2"/>
  <c r="G14" i="6" s="1"/>
  <c r="P6" i="2"/>
  <c r="M3" i="9" s="1"/>
  <c r="M6" i="9" l="1"/>
  <c r="M7" i="9"/>
  <c r="M8" i="9" s="1"/>
  <c r="G15" i="2"/>
  <c r="G15" i="6" s="1"/>
  <c r="P10" i="2" l="1"/>
  <c r="P7" i="2"/>
  <c r="G4" i="6"/>
  <c r="P8" i="2" l="1"/>
  <c r="P9" i="2" s="1"/>
  <c r="P11" i="2" s="1"/>
  <c r="P12" i="2"/>
  <c r="P13" i="2" s="1"/>
  <c r="G23" i="2"/>
  <c r="G26" i="2" s="1"/>
  <c r="J10" i="6"/>
  <c r="J9" i="6"/>
  <c r="G27" i="2" l="1"/>
  <c r="G24" i="2"/>
  <c r="G23" i="6"/>
  <c r="G24" i="6" s="1"/>
  <c r="M19" i="6"/>
  <c r="M20" i="6"/>
  <c r="M12" i="6"/>
  <c r="M14" i="6"/>
  <c r="M22" i="6"/>
  <c r="M21" i="6"/>
  <c r="M9" i="6"/>
  <c r="M18" i="6"/>
  <c r="M10" i="6"/>
  <c r="M8" i="6"/>
  <c r="M13" i="6"/>
  <c r="M17" i="6"/>
  <c r="M16" i="6"/>
  <c r="M7" i="6"/>
  <c r="M15" i="6"/>
  <c r="K11" i="2"/>
  <c r="K7" i="2"/>
  <c r="B4" i="4"/>
  <c r="B6" i="4" s="1"/>
  <c r="E6" i="4"/>
  <c r="E8" i="4"/>
  <c r="E4" i="4"/>
  <c r="E2" i="4"/>
  <c r="C26" i="4"/>
  <c r="C25" i="4"/>
  <c r="B2" i="4"/>
  <c r="D29" i="3"/>
  <c r="D28" i="3" s="1"/>
  <c r="C7" i="2"/>
  <c r="O3" i="3"/>
  <c r="C7" i="6" l="1"/>
  <c r="P4" i="9"/>
  <c r="P7" i="9" s="1"/>
  <c r="H2" i="4"/>
  <c r="B8" i="4"/>
  <c r="G28" i="3"/>
  <c r="C8" i="2"/>
  <c r="F7" i="3"/>
  <c r="C16" i="2"/>
  <c r="F5" i="3"/>
  <c r="K11" i="3" s="1"/>
  <c r="K15" i="4" l="1"/>
  <c r="K14" i="4"/>
  <c r="C18" i="2"/>
  <c r="C16" i="6"/>
  <c r="D22" i="3"/>
  <c r="C8" i="6"/>
  <c r="H6" i="4"/>
  <c r="H8" i="4" s="1"/>
  <c r="F3" i="3" l="1"/>
  <c r="K3" i="3" s="1"/>
  <c r="K4" i="3" s="1"/>
  <c r="K6" i="3" s="1"/>
  <c r="C18" i="6"/>
  <c r="H3" i="9"/>
  <c r="H19" i="9"/>
  <c r="K4" i="2"/>
  <c r="H7" i="4"/>
  <c r="K17" i="4" s="1"/>
  <c r="H5" i="9" l="1"/>
  <c r="K16" i="4"/>
  <c r="J21" i="4" s="1"/>
  <c r="J22" i="4" s="1"/>
  <c r="J23" i="4" s="1"/>
  <c r="O2" i="3" l="1"/>
  <c r="D23" i="3" s="1"/>
  <c r="K6" i="2"/>
  <c r="J20" i="4"/>
  <c r="K8" i="2" s="1"/>
  <c r="G17" i="3"/>
  <c r="K15" i="3" s="1"/>
  <c r="J4" i="9" s="1"/>
  <c r="K9" i="2"/>
  <c r="F17" i="3" l="1"/>
  <c r="K13" i="3" s="1"/>
  <c r="N33" i="3" s="1"/>
  <c r="J36" i="3" l="1"/>
  <c r="H38" i="3" s="1"/>
  <c r="D39" i="3" l="1"/>
  <c r="D41" i="3" s="1"/>
  <c r="E45" i="3" l="1"/>
  <c r="F50" i="3" s="1"/>
  <c r="J25" i="6"/>
  <c r="J11" i="6" s="1"/>
  <c r="M43" i="3"/>
  <c r="H2" i="9" s="1"/>
  <c r="H4" i="9" s="1"/>
  <c r="H6" i="9" s="1"/>
  <c r="H11" i="9" s="1"/>
</calcChain>
</file>

<file path=xl/sharedStrings.xml><?xml version="1.0" encoding="utf-8"?>
<sst xmlns="http://schemas.openxmlformats.org/spreadsheetml/2006/main" count="491" uniqueCount="229">
  <si>
    <t>MAIN WING</t>
  </si>
  <si>
    <t>VEHICLE</t>
  </si>
  <si>
    <t>TAIL</t>
  </si>
  <si>
    <t>DRAG</t>
  </si>
  <si>
    <t>AR</t>
  </si>
  <si>
    <t>MTOW_matlab</t>
  </si>
  <si>
    <t>kg</t>
  </si>
  <si>
    <t>S_vt</t>
  </si>
  <si>
    <t>m^2</t>
  </si>
  <si>
    <t>(cada um, temos 2 VTs)</t>
  </si>
  <si>
    <t>CD0 fuselage</t>
  </si>
  <si>
    <t>Cl_alpha_perfil</t>
  </si>
  <si>
    <t>CD0 wing</t>
  </si>
  <si>
    <t>area</t>
  </si>
  <si>
    <t>Component Masses</t>
  </si>
  <si>
    <t>S_ht</t>
  </si>
  <si>
    <t>CL</t>
  </si>
  <si>
    <t>b_wing</t>
  </si>
  <si>
    <t>Fuselage</t>
  </si>
  <si>
    <t>Span HT</t>
  </si>
  <si>
    <t>m</t>
  </si>
  <si>
    <t>CDi</t>
  </si>
  <si>
    <t>c_root</t>
  </si>
  <si>
    <t>Main Wing</t>
  </si>
  <si>
    <t>AR_HT</t>
  </si>
  <si>
    <t>CD total</t>
  </si>
  <si>
    <t>lambda</t>
  </si>
  <si>
    <t>HT</t>
  </si>
  <si>
    <t>c med HT</t>
  </si>
  <si>
    <t>D</t>
  </si>
  <si>
    <t>N</t>
  </si>
  <si>
    <t>VT</t>
  </si>
  <si>
    <t>L</t>
  </si>
  <si>
    <t>(esta conta é so pa confirmar que o CL tá certo)</t>
  </si>
  <si>
    <t>MISSION PROFILE</t>
  </si>
  <si>
    <t>Batteries</t>
  </si>
  <si>
    <t>l_fuselage</t>
  </si>
  <si>
    <t>L/D</t>
  </si>
  <si>
    <t>speed</t>
  </si>
  <si>
    <t>m/s</t>
  </si>
  <si>
    <t>ICE</t>
  </si>
  <si>
    <t>l_VT</t>
  </si>
  <si>
    <t>D wing</t>
  </si>
  <si>
    <t>h</t>
  </si>
  <si>
    <t>Propeller</t>
  </si>
  <si>
    <t>l_HT</t>
  </si>
  <si>
    <t>L/D wing</t>
  </si>
  <si>
    <t>Temp at h</t>
  </si>
  <si>
    <t>K</t>
  </si>
  <si>
    <t>Motors</t>
  </si>
  <si>
    <t>density at h</t>
  </si>
  <si>
    <t>kg/m^3</t>
  </si>
  <si>
    <t>Rotors</t>
  </si>
  <si>
    <t>sound speed</t>
  </si>
  <si>
    <t>Fuel Tank</t>
  </si>
  <si>
    <t>Landing Gear</t>
  </si>
  <si>
    <t>mach_cruise</t>
  </si>
  <si>
    <t>Payload</t>
  </si>
  <si>
    <t>Cabin/Interior</t>
  </si>
  <si>
    <t>Gearbox</t>
  </si>
  <si>
    <t>Avionics</t>
  </si>
  <si>
    <t>Crew</t>
  </si>
  <si>
    <t>SUM</t>
  </si>
  <si>
    <t>CHECK</t>
  </si>
  <si>
    <t>AEW</t>
  </si>
  <si>
    <t>lb</t>
  </si>
  <si>
    <t>Emissions</t>
  </si>
  <si>
    <t>Emissions/mission</t>
  </si>
  <si>
    <t>kg Co2/mission</t>
  </si>
  <si>
    <t>Number</t>
  </si>
  <si>
    <t>car emissions/300 km</t>
  </si>
  <si>
    <t>R</t>
  </si>
  <si>
    <t>Nb</t>
  </si>
  <si>
    <t>blades/rotor</t>
  </si>
  <si>
    <t>EMISSIONS (para fazer o gráfico)</t>
  </si>
  <si>
    <t>DL</t>
  </si>
  <si>
    <t>N/m^2</t>
  </si>
  <si>
    <t>Cycles</t>
  </si>
  <si>
    <t>A</t>
  </si>
  <si>
    <t>Battery production</t>
  </si>
  <si>
    <t>ton CO2</t>
  </si>
  <si>
    <t>blade chord</t>
  </si>
  <si>
    <t>Battery recharge</t>
  </si>
  <si>
    <t>rpm</t>
  </si>
  <si>
    <t xml:space="preserve">Fuel </t>
  </si>
  <si>
    <t>M tip</t>
  </si>
  <si>
    <t>Total</t>
  </si>
  <si>
    <t>solidity</t>
  </si>
  <si>
    <t>Noise</t>
  </si>
  <si>
    <t>db</t>
  </si>
  <si>
    <t>dB</t>
  </si>
  <si>
    <t>V_tip</t>
  </si>
  <si>
    <t>W</t>
  </si>
  <si>
    <t>Fuselagem</t>
  </si>
  <si>
    <t>l_vt</t>
  </si>
  <si>
    <t>zw</t>
  </si>
  <si>
    <t>fus_volume</t>
  </si>
  <si>
    <t>m^3</t>
  </si>
  <si>
    <t>S_vt (total)</t>
  </si>
  <si>
    <t>sweep_vt</t>
  </si>
  <si>
    <t>Sw</t>
  </si>
  <si>
    <t>Vvt</t>
  </si>
  <si>
    <t>Cla_vt</t>
  </si>
  <si>
    <t>b</t>
  </si>
  <si>
    <t>3rd_term</t>
  </si>
  <si>
    <t>Sweep</t>
  </si>
  <si>
    <t>rad</t>
  </si>
  <si>
    <t>fus_height</t>
  </si>
  <si>
    <t>Cnb_vt</t>
  </si>
  <si>
    <t>Cnb_w_nosweep</t>
  </si>
  <si>
    <t>fus_width</t>
  </si>
  <si>
    <t>cnb_w sweep</t>
  </si>
  <si>
    <t>Cnb_f</t>
  </si>
  <si>
    <t>Cnb_w</t>
  </si>
  <si>
    <t>Cnb</t>
  </si>
  <si>
    <t>MTOW</t>
  </si>
  <si>
    <t>perfil -&gt;</t>
  </si>
  <si>
    <t>Cl_alpha</t>
  </si>
  <si>
    <t>Component Positions (x=0 is nose)</t>
  </si>
  <si>
    <t>Mult</t>
  </si>
  <si>
    <t>Payload Bay</t>
  </si>
  <si>
    <t xml:space="preserve">x_g </t>
  </si>
  <si>
    <t>DADOS</t>
  </si>
  <si>
    <t>CÁLCULOS</t>
  </si>
  <si>
    <t>sweep_LE</t>
  </si>
  <si>
    <t>MÉTODO FORM PAER</t>
  </si>
  <si>
    <t>Sht</t>
  </si>
  <si>
    <t>Mach</t>
  </si>
  <si>
    <t>mach_eff</t>
  </si>
  <si>
    <t>sweep_(t/c)_max</t>
  </si>
  <si>
    <t>beta</t>
  </si>
  <si>
    <t>lht</t>
  </si>
  <si>
    <t>AR_wing</t>
  </si>
  <si>
    <t>CL_alpha</t>
  </si>
  <si>
    <t>lw</t>
  </si>
  <si>
    <t>wing</t>
  </si>
  <si>
    <t>oswald</t>
  </si>
  <si>
    <t>MÉTODO AERO</t>
  </si>
  <si>
    <t>wing:</t>
  </si>
  <si>
    <t>HT:</t>
  </si>
  <si>
    <t>VT:</t>
  </si>
  <si>
    <t>tail</t>
  </si>
  <si>
    <t>Cl_aa</t>
  </si>
  <si>
    <t>x_w calc:</t>
  </si>
  <si>
    <t>c_mean</t>
  </si>
  <si>
    <t>VHT</t>
  </si>
  <si>
    <t>nt</t>
  </si>
  <si>
    <t>de/da</t>
  </si>
  <si>
    <t>db/da</t>
  </si>
  <si>
    <t>dm/dt</t>
  </si>
  <si>
    <t>kg/s</t>
  </si>
  <si>
    <t>r</t>
  </si>
  <si>
    <t>air_density</t>
  </si>
  <si>
    <t>^  for  d e/d alpha</t>
  </si>
  <si>
    <t>r_helice</t>
  </si>
  <si>
    <t>Lht</t>
  </si>
  <si>
    <t>(from tail design)</t>
  </si>
  <si>
    <t>(from CG Position)</t>
  </si>
  <si>
    <t xml:space="preserve">x_np = </t>
  </si>
  <si>
    <t>xw_np</t>
  </si>
  <si>
    <t xml:space="preserve">x_cg = </t>
  </si>
  <si>
    <t>lvt = lht</t>
  </si>
  <si>
    <t>x_w_novo</t>
  </si>
  <si>
    <t>Cmgcalpha</t>
  </si>
  <si>
    <t>Wing area</t>
  </si>
  <si>
    <t>c root</t>
  </si>
  <si>
    <t>c med</t>
  </si>
  <si>
    <t>mach</t>
  </si>
  <si>
    <t>c tip</t>
  </si>
  <si>
    <t>Concept</t>
  </si>
  <si>
    <t>COEFICIENTES TABELADOS</t>
  </si>
  <si>
    <t>DISTÂNCIAS</t>
  </si>
  <si>
    <t>General Aviation (adapted)</t>
  </si>
  <si>
    <t>c_vt</t>
  </si>
  <si>
    <t>min</t>
  </si>
  <si>
    <t>c_ht</t>
  </si>
  <si>
    <t>max</t>
  </si>
  <si>
    <t>(each VT)</t>
  </si>
  <si>
    <t>use this</t>
  </si>
  <si>
    <t>Wing-Mounted Engines</t>
  </si>
  <si>
    <t>l_tail/ l_fuselage</t>
  </si>
  <si>
    <t>AR = b/c = b^2 / S = S/ c^2</t>
  </si>
  <si>
    <t>H tail scaling</t>
  </si>
  <si>
    <t>Eq c_vt</t>
  </si>
  <si>
    <t>Eq c_ht</t>
  </si>
  <si>
    <t>AR_VT</t>
  </si>
  <si>
    <t>b_VT</t>
  </si>
  <si>
    <t>Final scaled values</t>
  </si>
  <si>
    <t>Parametro a mudar</t>
  </si>
  <si>
    <t>Padrão</t>
  </si>
  <si>
    <t>Iter 1</t>
  </si>
  <si>
    <t>Iter 2</t>
  </si>
  <si>
    <t>iter 3</t>
  </si>
  <si>
    <t>V_cruise</t>
  </si>
  <si>
    <t>Vertical_Climb_Speed</t>
  </si>
  <si>
    <t>climb_angle</t>
  </si>
  <si>
    <t>V_descent</t>
  </si>
  <si>
    <t>desc_angle</t>
  </si>
  <si>
    <t>range</t>
  </si>
  <si>
    <t>74+65,55</t>
  </si>
  <si>
    <t>50+40</t>
  </si>
  <si>
    <t>90+80</t>
  </si>
  <si>
    <t>110+90</t>
  </si>
  <si>
    <t>transition_alt</t>
  </si>
  <si>
    <t>Admissível</t>
  </si>
  <si>
    <t>Sim</t>
  </si>
  <si>
    <t>Nao</t>
  </si>
  <si>
    <t>W/P_cruise</t>
  </si>
  <si>
    <t>W/S</t>
  </si>
  <si>
    <t>W/P_vtol</t>
  </si>
  <si>
    <t>W/A</t>
  </si>
  <si>
    <t>M_Bat</t>
  </si>
  <si>
    <t>M_fuel</t>
  </si>
  <si>
    <t>VARIABLE AR</t>
  </si>
  <si>
    <t>VARIABLE V_CRUISE</t>
  </si>
  <si>
    <t xml:space="preserve">VARIABLE V_CLIMB_SPEED </t>
  </si>
  <si>
    <t>VARIABLE CLIMB ANGLE</t>
  </si>
  <si>
    <t>VARIABLE VERT DESCENT SPEED</t>
  </si>
  <si>
    <t>VARIABLE DESCENT ANGLE</t>
  </si>
  <si>
    <t>VARIABLE PAYLOAD</t>
  </si>
  <si>
    <t>VARIABLE RANGE</t>
  </si>
  <si>
    <t>VARIABLE TRANSITION ALT</t>
  </si>
  <si>
    <t>A velocidade nao pode ser mais alta que</t>
  </si>
  <si>
    <t>fuel = comp11</t>
  </si>
  <si>
    <t>Changes fuel weigth and area</t>
  </si>
  <si>
    <t>Changes only the design space</t>
  </si>
  <si>
    <t>Changes battery weight</t>
  </si>
  <si>
    <t>8 m/s, para o programa de matlab</t>
  </si>
  <si>
    <t>bat = comp10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</si>
</sst>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[$€-2]\ * #,##0.00_-;\-[$€-2]\ * #,##0.00_-;_-[$€-2]\ * &quot;-&quot;??_-;_-@_-"/>
    <numFmt numFmtId="165" formatCode="0.0"/>
  </numFmts>
  <fonts count="5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E7E6E6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D6DCE4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ED7D31"/>
        <bgColor indexed="64"/>
      </patternFill>
    </fill>
    <fill>
      <patternFill patternType="solid">
        <fgColor rgb="FF4472C4"/>
        <bgColor indexed="64"/>
      </patternFill>
    </fill>
    <fill>
      <patternFill patternType="solid">
        <fgColor rgb="FF5B9BD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3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Fill="1"/>
    <xf numFmtId="0" fontId="0" fillId="3" borderId="0" xfId="0" applyFill="1"/>
    <xf numFmtId="0" fontId="0" fillId="3" borderId="0" xfId="0" applyFill="1" applyAlignment="1">
      <alignment horizontal="center"/>
    </xf>
    <xf numFmtId="0" fontId="1" fillId="0" borderId="0" xfId="0" applyFont="1"/>
    <xf numFmtId="0" fontId="2" fillId="4" borderId="0" xfId="0" applyFont="1" applyFill="1"/>
    <xf numFmtId="0" fontId="2" fillId="4" borderId="0" xfId="0" applyFont="1" applyFill="1" applyAlignment="1">
      <alignment horizontal="center"/>
    </xf>
    <xf numFmtId="0" fontId="0" fillId="5" borderId="0" xfId="0" applyFill="1"/>
    <xf numFmtId="0" fontId="0" fillId="5" borderId="0" xfId="0" applyFont="1" applyFill="1" applyAlignment="1">
      <alignment horizontal="center"/>
    </xf>
    <xf numFmtId="2" fontId="0" fillId="0" borderId="0" xfId="0" applyNumberFormat="1"/>
    <xf numFmtId="0" fontId="0" fillId="4" borderId="0" xfId="0" applyFill="1"/>
    <xf numFmtId="0" fontId="0" fillId="4" borderId="0" xfId="0" applyFill="1" applyAlignment="1">
      <alignment horizontal="center"/>
    </xf>
    <xf numFmtId="0" fontId="0" fillId="4" borderId="0" xfId="0" applyFill="1" applyAlignment="1">
      <alignment horizontal="center" vertical="center"/>
    </xf>
    <xf numFmtId="0" fontId="0" fillId="7" borderId="0" xfId="0" applyFill="1"/>
    <xf numFmtId="0" fontId="0" fillId="0" borderId="0" xfId="0" applyFill="1" applyAlignment="1">
      <alignment vertical="center" wrapText="1"/>
    </xf>
    <xf numFmtId="0" fontId="0" fillId="9" borderId="0" xfId="0" applyFill="1"/>
    <xf numFmtId="0" fontId="2" fillId="10" borderId="0" xfId="0" applyFont="1" applyFill="1"/>
    <xf numFmtId="0" fontId="0" fillId="11" borderId="0" xfId="0" applyFill="1"/>
    <xf numFmtId="0" fontId="0" fillId="12" borderId="0" xfId="0" applyFill="1"/>
    <xf numFmtId="0" fontId="0" fillId="10" borderId="0" xfId="0" applyFill="1"/>
    <xf numFmtId="0" fontId="0" fillId="14" borderId="0" xfId="0" applyFill="1"/>
    <xf numFmtId="0" fontId="0" fillId="15" borderId="0" xfId="0" applyFill="1"/>
    <xf numFmtId="0" fontId="0" fillId="0" borderId="0" xfId="0" applyBorder="1"/>
    <xf numFmtId="0" fontId="0" fillId="16" borderId="1" xfId="0" applyFill="1" applyBorder="1"/>
    <xf numFmtId="164" fontId="0" fillId="0" borderId="0" xfId="0" applyNumberFormat="1" applyBorder="1"/>
    <xf numFmtId="0" fontId="3" fillId="0" borderId="0" xfId="0" applyFont="1"/>
    <xf numFmtId="0" fontId="4" fillId="10" borderId="0" xfId="0" applyFont="1" applyFill="1"/>
    <xf numFmtId="0" fontId="4" fillId="12" borderId="0" xfId="0" applyFont="1" applyFill="1"/>
    <xf numFmtId="0" fontId="0" fillId="0" borderId="0" xfId="0" applyNumberFormat="1" applyFill="1"/>
    <xf numFmtId="0" fontId="0" fillId="0" borderId="0" xfId="0" applyAlignment="1">
      <alignment horizontal="center"/>
    </xf>
    <xf numFmtId="0" fontId="0" fillId="0" borderId="0" xfId="0" applyFill="1" applyBorder="1"/>
    <xf numFmtId="0" fontId="2" fillId="0" borderId="0" xfId="0" applyFont="1" applyFill="1"/>
    <xf numFmtId="165" fontId="0" fillId="15" borderId="0" xfId="0" applyNumberFormat="1" applyFill="1"/>
    <xf numFmtId="0" fontId="0" fillId="9" borderId="0" xfId="0" applyFill="1" applyAlignment="1">
      <alignment horizontal="center"/>
    </xf>
    <xf numFmtId="0" fontId="0" fillId="10" borderId="0" xfId="0" applyFill="1" applyAlignment="1">
      <alignment horizontal="center" vertical="center" wrapText="1"/>
    </xf>
    <xf numFmtId="0" fontId="0" fillId="17" borderId="0" xfId="0" applyFill="1" applyAlignment="1">
      <alignment horizontal="center"/>
    </xf>
    <xf numFmtId="0" fontId="0" fillId="6" borderId="0" xfId="0" applyFill="1" applyAlignment="1">
      <alignment horizontal="center" vertical="center" wrapText="1"/>
    </xf>
    <xf numFmtId="0" fontId="0" fillId="10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0" borderId="0" xfId="0" applyFill="1" applyAlignment="1">
      <alignment horizontal="center" vertic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4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pt-PT"/>
              <a:t>Co2</a:t>
            </a:r>
            <a:r>
              <a:rPr lang="pt-PT" baseline="0"/>
              <a:t> emissions by source</a:t>
            </a:r>
            <a:endParaRPr lang="pt-P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43B-4BAB-A815-282458BE13A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43B-4BAB-A815-282458BE13A0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43B-4BAB-A815-282458BE13A0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PT"/>
              </a:p>
            </c:txPr>
            <c:dLblPos val="bestFit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Lit>
              <c:ptCount val="3"/>
              <c:pt idx="0">
                <c:v>Battery production</c:v>
              </c:pt>
              <c:pt idx="1">
                <c:v>Battery recharge</c:v>
              </c:pt>
              <c:pt idx="2">
                <c:v>Fuel</c:v>
              </c:pt>
            </c:strLit>
          </c:cat>
          <c:val>
            <c:numRef>
              <c:f>'Dados Atualizados'!$C$34:$C$36</c:f>
              <c:numCache>
                <c:formatCode>General</c:formatCode>
                <c:ptCount val="3"/>
                <c:pt idx="0">
                  <c:v>1.1000000000000001</c:v>
                </c:pt>
                <c:pt idx="1">
                  <c:v>9.64</c:v>
                </c:pt>
                <c:pt idx="2">
                  <c:v>23.82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C2-4F59-8135-9772F3B37949}"/>
            </c:ext>
          </c:extLst>
        </c:ser>
        <c:dLbls>
          <c:dLblPos val="bestFit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P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P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4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6.png"/><Relationship Id="rId1" Type="http://schemas.openxmlformats.org/officeDocument/2006/relationships/image" Target="../media/image5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39</xdr:row>
      <xdr:rowOff>0</xdr:rowOff>
    </xdr:from>
    <xdr:to>
      <xdr:col>6</xdr:col>
      <xdr:colOff>504825</xdr:colOff>
      <xdr:row>53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E6D82D2B-F0AE-43FE-9A0D-E90115F0E63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47625</xdr:rowOff>
    </xdr:from>
    <xdr:to>
      <xdr:col>5</xdr:col>
      <xdr:colOff>285750</xdr:colOff>
      <xdr:row>5</xdr:row>
      <xdr:rowOff>161925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C8638814-5EE1-4D5C-8501-1FBFD1B6B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47625"/>
          <a:ext cx="3333750" cy="1066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6</xdr:row>
      <xdr:rowOff>66675</xdr:rowOff>
    </xdr:from>
    <xdr:to>
      <xdr:col>5</xdr:col>
      <xdr:colOff>228600</xdr:colOff>
      <xdr:row>8</xdr:row>
      <xdr:rowOff>142875</xdr:rowOff>
    </xdr:to>
    <xdr:pic>
      <xdr:nvPicPr>
        <xdr:cNvPr id="7" name="Picture 2">
          <a:extLst>
            <a:ext uri="{FF2B5EF4-FFF2-40B4-BE49-F238E27FC236}">
              <a16:creationId xmlns:a16="http://schemas.microsoft.com/office/drawing/2014/main" id="{11E8265F-D88B-4398-9C6E-6044FD0FA15F}"/>
            </a:ext>
            <a:ext uri="{147F2762-F138-4A5C-976F-8EAC2B608ADB}">
              <a16:predDERef xmlns:a16="http://schemas.microsoft.com/office/drawing/2014/main" pred="{C8638814-5EE1-4D5C-8501-1FBFD1B6B9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209675"/>
          <a:ext cx="3276600" cy="457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9</xdr:row>
      <xdr:rowOff>57150</xdr:rowOff>
    </xdr:from>
    <xdr:to>
      <xdr:col>2</xdr:col>
      <xdr:colOff>161925</xdr:colOff>
      <xdr:row>11</xdr:row>
      <xdr:rowOff>104775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E2054ED-CC96-4E1D-BE3B-93B6A78435C3}"/>
            </a:ext>
            <a:ext uri="{147F2762-F138-4A5C-976F-8EAC2B608ADB}">
              <a16:predDERef xmlns:a16="http://schemas.microsoft.com/office/drawing/2014/main" pred="{11E8265F-D88B-4398-9C6E-6044FD0FA15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771650"/>
          <a:ext cx="1381125" cy="428625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</xdr:row>
      <xdr:rowOff>0</xdr:rowOff>
    </xdr:from>
    <xdr:to>
      <xdr:col>3</xdr:col>
      <xdr:colOff>409575</xdr:colOff>
      <xdr:row>13</xdr:row>
      <xdr:rowOff>152400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236D4579-9D78-44FF-8485-93B75939D022}"/>
            </a:ext>
            <a:ext uri="{147F2762-F138-4A5C-976F-8EAC2B608ADB}">
              <a16:predDERef xmlns:a16="http://schemas.microsoft.com/office/drawing/2014/main" pred="{AE2054ED-CC96-4E1D-BE3B-93B6A78435C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286000"/>
          <a:ext cx="2238375" cy="342900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17</xdr:col>
      <xdr:colOff>824194</xdr:colOff>
      <xdr:row>3</xdr:row>
      <xdr:rowOff>12887</xdr:rowOff>
    </xdr:from>
    <xdr:to>
      <xdr:col>22</xdr:col>
      <xdr:colOff>595322</xdr:colOff>
      <xdr:row>15</xdr:row>
      <xdr:rowOff>155233</xdr:rowOff>
    </xdr:to>
    <xdr:pic>
      <xdr:nvPicPr>
        <xdr:cNvPr id="7" name="Picture 1">
          <a:extLst>
            <a:ext uri="{FF2B5EF4-FFF2-40B4-BE49-F238E27FC236}">
              <a16:creationId xmlns:a16="http://schemas.microsoft.com/office/drawing/2014/main" id="{A83BED10-AA4A-4FA9-B396-3FB689940A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385988" y="774887"/>
          <a:ext cx="5105128" cy="2618846"/>
        </a:xfrm>
        <a:prstGeom prst="rect">
          <a:avLst/>
        </a:prstGeom>
      </xdr:spPr>
    </xdr:pic>
    <xdr:clientData/>
  </xdr:twoCellAnchor>
  <xdr:twoCellAnchor editAs="oneCell">
    <xdr:from>
      <xdr:col>17</xdr:col>
      <xdr:colOff>911038</xdr:colOff>
      <xdr:row>19</xdr:row>
      <xdr:rowOff>189381</xdr:rowOff>
    </xdr:from>
    <xdr:to>
      <xdr:col>24</xdr:col>
      <xdr:colOff>150719</xdr:colOff>
      <xdr:row>27</xdr:row>
      <xdr:rowOff>105848</xdr:rowOff>
    </xdr:to>
    <xdr:pic>
      <xdr:nvPicPr>
        <xdr:cNvPr id="8" name="Picture 2">
          <a:extLst>
            <a:ext uri="{FF2B5EF4-FFF2-40B4-BE49-F238E27FC236}">
              <a16:creationId xmlns:a16="http://schemas.microsoft.com/office/drawing/2014/main" id="{63F0A901-3B4A-4449-BE19-77BE12B0DEC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72832" y="4189881"/>
          <a:ext cx="5792881" cy="144046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85C7B7-E0E1-4B57-B7A7-5EBC070FCECA}">
  <dimension ref="A2:R48"/>
  <sheetViews>
    <sheetView topLeftCell="A20" workbookViewId="0">
      <selection activeCell="C37" sqref="C37"/>
    </sheetView>
  </sheetViews>
  <sheetFormatPr defaultRowHeight="15" x14ac:dyDescent="0.25"/>
  <cols>
    <col min="2" max="2" width="20.85546875" customWidth="1"/>
    <col min="6" max="6" width="12.85546875" customWidth="1"/>
    <col min="12" max="12" width="11.42578125" customWidth="1"/>
    <col min="14" max="15" width="12.42578125" customWidth="1"/>
    <col min="16" max="16" width="11.28515625" customWidth="1"/>
  </cols>
  <sheetData>
    <row r="2" spans="2:18" x14ac:dyDescent="0.25">
      <c r="B2" s="22" t="s">
        <v>0</v>
      </c>
      <c r="C2" s="22"/>
      <c r="D2" s="22"/>
      <c r="E2" s="22"/>
      <c r="F2" s="22" t="s">
        <v>1</v>
      </c>
      <c r="G2" s="22"/>
      <c r="H2" s="22"/>
      <c r="I2" s="22"/>
      <c r="J2" s="22" t="s">
        <v>2</v>
      </c>
      <c r="K2" s="22"/>
      <c r="L2" s="22"/>
    </row>
    <row r="3" spans="2:18" x14ac:dyDescent="0.25">
      <c r="O3" s="37" t="s">
        <v>3</v>
      </c>
      <c r="P3" s="37"/>
    </row>
    <row r="4" spans="2:18" x14ac:dyDescent="0.25">
      <c r="B4" s="21" t="s">
        <v>4</v>
      </c>
      <c r="C4" s="23">
        <v>8.3000000000000007</v>
      </c>
      <c r="F4" s="21" t="s">
        <v>5</v>
      </c>
      <c r="G4" s="23">
        <v>2282</v>
      </c>
      <c r="H4" t="s">
        <v>6</v>
      </c>
      <c r="J4" s="21" t="s">
        <v>7</v>
      </c>
      <c r="K4" s="20">
        <f>'Tail Design'!K14</f>
        <v>1.6801582099999997</v>
      </c>
      <c r="L4" t="s">
        <v>8</v>
      </c>
      <c r="M4" t="s">
        <v>9</v>
      </c>
      <c r="O4" s="21" t="s">
        <v>10</v>
      </c>
      <c r="P4" s="23">
        <v>2.4199999999999999E-2</v>
      </c>
    </row>
    <row r="5" spans="2:18" x14ac:dyDescent="0.25">
      <c r="B5" s="21" t="s">
        <v>11</v>
      </c>
      <c r="C5" s="23">
        <v>5.7295999999999996</v>
      </c>
      <c r="J5" s="21"/>
      <c r="K5" s="23"/>
      <c r="O5" s="21" t="s">
        <v>12</v>
      </c>
      <c r="P5" s="23">
        <v>8.5000000000000006E-3</v>
      </c>
    </row>
    <row r="6" spans="2:18" x14ac:dyDescent="0.25">
      <c r="B6" s="21" t="s">
        <v>13</v>
      </c>
      <c r="C6" s="23">
        <v>17.450749999999999</v>
      </c>
      <c r="F6" s="35" t="s">
        <v>14</v>
      </c>
      <c r="G6" s="35"/>
      <c r="J6" s="21" t="s">
        <v>15</v>
      </c>
      <c r="K6" s="20">
        <f>'Tail Design'!K16</f>
        <v>3.365377137499999</v>
      </c>
      <c r="L6" t="s">
        <v>8</v>
      </c>
      <c r="O6" s="21" t="s">
        <v>16</v>
      </c>
      <c r="P6" s="20">
        <f>2*G4*9.81/(C12*C15*C6*C12)</f>
        <v>0.34446872098311332</v>
      </c>
    </row>
    <row r="7" spans="2:18" x14ac:dyDescent="0.25">
      <c r="B7" s="21" t="s">
        <v>17</v>
      </c>
      <c r="C7" s="20">
        <f>SQRT(C6*C4)</f>
        <v>12.035</v>
      </c>
      <c r="F7" s="21" t="s">
        <v>18</v>
      </c>
      <c r="G7" s="23">
        <v>600</v>
      </c>
      <c r="H7" t="s">
        <v>6</v>
      </c>
      <c r="J7" s="21" t="s">
        <v>19</v>
      </c>
      <c r="K7" s="20">
        <f>'Tail Design'!J19</f>
        <v>3</v>
      </c>
      <c r="L7" t="s">
        <v>20</v>
      </c>
      <c r="O7" s="21" t="s">
        <v>21</v>
      </c>
      <c r="P7" s="20">
        <f>P6^2/(PI()*0.8*C4)</f>
        <v>5.6882887360844301E-3</v>
      </c>
    </row>
    <row r="8" spans="2:18" x14ac:dyDescent="0.25">
      <c r="B8" s="21" t="s">
        <v>22</v>
      </c>
      <c r="C8" s="20">
        <f>2*C7/(C4*(1+C9))</f>
        <v>1.45</v>
      </c>
      <c r="F8" s="21" t="s">
        <v>23</v>
      </c>
      <c r="G8" s="23">
        <v>215</v>
      </c>
      <c r="H8" t="s">
        <v>6</v>
      </c>
      <c r="J8" s="21" t="s">
        <v>24</v>
      </c>
      <c r="K8" s="20">
        <f>'Tail Design'!J20</f>
        <v>2.6742916565617758</v>
      </c>
      <c r="O8" s="21" t="s">
        <v>25</v>
      </c>
      <c r="P8" s="20">
        <f>P4+P5+P7</f>
        <v>3.8388288736084429E-2</v>
      </c>
    </row>
    <row r="9" spans="2:18" x14ac:dyDescent="0.25">
      <c r="B9" s="21" t="s">
        <v>26</v>
      </c>
      <c r="C9" s="23">
        <v>1</v>
      </c>
      <c r="F9" s="21" t="s">
        <v>27</v>
      </c>
      <c r="G9" s="23">
        <v>60</v>
      </c>
      <c r="H9" t="s">
        <v>6</v>
      </c>
      <c r="J9" s="21" t="s">
        <v>28</v>
      </c>
      <c r="K9" s="20">
        <f>'Tail Design'!J21</f>
        <v>1.1217923791666664</v>
      </c>
      <c r="L9" t="s">
        <v>20</v>
      </c>
      <c r="O9" s="21" t="s">
        <v>29</v>
      </c>
      <c r="P9" s="20">
        <f>0.5*C15*C12^2*C6*P8</f>
        <v>2494.7877771734866</v>
      </c>
      <c r="Q9" t="s">
        <v>30</v>
      </c>
    </row>
    <row r="10" spans="2:18" x14ac:dyDescent="0.25">
      <c r="F10" s="21" t="s">
        <v>31</v>
      </c>
      <c r="G10" s="23">
        <v>40</v>
      </c>
      <c r="H10" t="s">
        <v>6</v>
      </c>
      <c r="J10" s="21"/>
      <c r="K10" s="23"/>
      <c r="O10" s="21" t="s">
        <v>32</v>
      </c>
      <c r="P10" s="20">
        <f>0.5*C15*C6*C12^2*P6</f>
        <v>22386.420000000006</v>
      </c>
      <c r="Q10" t="s">
        <v>30</v>
      </c>
      <c r="R10" t="s">
        <v>33</v>
      </c>
    </row>
    <row r="11" spans="2:18" x14ac:dyDescent="0.25">
      <c r="B11" s="22" t="s">
        <v>34</v>
      </c>
      <c r="C11" s="22"/>
      <c r="D11" s="22"/>
      <c r="F11" s="21" t="s">
        <v>35</v>
      </c>
      <c r="G11" s="34">
        <f>152.2</f>
        <v>152.19999999999999</v>
      </c>
      <c r="H11" t="s">
        <v>6</v>
      </c>
      <c r="J11" s="21" t="s">
        <v>36</v>
      </c>
      <c r="K11" s="20">
        <f>'Tail Design'!G14</f>
        <v>10</v>
      </c>
      <c r="L11" t="s">
        <v>20</v>
      </c>
      <c r="O11" s="21" t="s">
        <v>37</v>
      </c>
      <c r="P11" s="20">
        <f>P10/P9</f>
        <v>8.9732762861950093</v>
      </c>
    </row>
    <row r="12" spans="2:18" x14ac:dyDescent="0.25">
      <c r="B12" s="21" t="s">
        <v>38</v>
      </c>
      <c r="C12" s="23">
        <v>84</v>
      </c>
      <c r="D12" t="s">
        <v>39</v>
      </c>
      <c r="F12" s="21" t="s">
        <v>40</v>
      </c>
      <c r="G12" s="23">
        <v>104</v>
      </c>
      <c r="H12" t="s">
        <v>6</v>
      </c>
      <c r="J12" s="21" t="s">
        <v>41</v>
      </c>
      <c r="K12" s="20">
        <f>'Tail Design'!G18</f>
        <v>5</v>
      </c>
      <c r="L12" t="s">
        <v>20</v>
      </c>
      <c r="O12" s="21" t="s">
        <v>42</v>
      </c>
      <c r="P12" s="20">
        <f>(P7+P5)*(0.5*C15*C12^2*C6)</f>
        <v>922.07208196074782</v>
      </c>
      <c r="Q12" t="s">
        <v>30</v>
      </c>
    </row>
    <row r="13" spans="2:18" x14ac:dyDescent="0.25">
      <c r="B13" s="21" t="s">
        <v>43</v>
      </c>
      <c r="C13" s="23">
        <v>1500</v>
      </c>
      <c r="D13" t="s">
        <v>20</v>
      </c>
      <c r="F13" s="21" t="s">
        <v>44</v>
      </c>
      <c r="G13" s="23">
        <v>10</v>
      </c>
      <c r="H13" t="s">
        <v>6</v>
      </c>
      <c r="J13" s="21" t="s">
        <v>45</v>
      </c>
      <c r="K13" s="20">
        <f>'Tail Design'!G21</f>
        <v>5</v>
      </c>
      <c r="L13" t="s">
        <v>20</v>
      </c>
      <c r="O13" s="21" t="s">
        <v>46</v>
      </c>
      <c r="P13" s="20">
        <f>P10/P12</f>
        <v>24.27838391158771</v>
      </c>
    </row>
    <row r="14" spans="2:18" x14ac:dyDescent="0.25">
      <c r="B14" s="21" t="s">
        <v>47</v>
      </c>
      <c r="C14" s="23">
        <v>278.5</v>
      </c>
      <c r="D14" t="s">
        <v>48</v>
      </c>
      <c r="F14" s="21" t="s">
        <v>49</v>
      </c>
      <c r="G14" s="23">
        <f>4*12</f>
        <v>48</v>
      </c>
      <c r="H14" t="s">
        <v>6</v>
      </c>
    </row>
    <row r="15" spans="2:18" x14ac:dyDescent="0.25">
      <c r="B15" s="21" t="s">
        <v>50</v>
      </c>
      <c r="C15" s="23">
        <v>1.0555825000000001</v>
      </c>
      <c r="D15" t="s">
        <v>51</v>
      </c>
      <c r="F15" s="21" t="s">
        <v>52</v>
      </c>
      <c r="G15" s="23">
        <f>8*20</f>
        <v>160</v>
      </c>
      <c r="H15" t="s">
        <v>6</v>
      </c>
      <c r="I15" s="24"/>
      <c r="J15" s="24"/>
      <c r="K15" s="26"/>
    </row>
    <row r="16" spans="2:18" x14ac:dyDescent="0.25">
      <c r="B16" s="21" t="s">
        <v>53</v>
      </c>
      <c r="C16" s="20">
        <f>SQRT(1.4*C14*287.058)</f>
        <v>334.55031639500805</v>
      </c>
      <c r="D16" t="s">
        <v>39</v>
      </c>
      <c r="F16" s="21" t="s">
        <v>54</v>
      </c>
      <c r="G16" s="23">
        <v>25.12</v>
      </c>
      <c r="H16" t="s">
        <v>6</v>
      </c>
      <c r="I16" s="24"/>
      <c r="J16" s="24"/>
      <c r="K16" s="24"/>
    </row>
    <row r="17" spans="2:14" x14ac:dyDescent="0.25">
      <c r="B17" s="21"/>
      <c r="C17" s="23"/>
      <c r="F17" s="21" t="s">
        <v>55</v>
      </c>
      <c r="G17" s="23">
        <v>60</v>
      </c>
      <c r="H17" t="s">
        <v>6</v>
      </c>
      <c r="I17" s="24"/>
      <c r="J17" s="24"/>
      <c r="K17" s="24"/>
    </row>
    <row r="18" spans="2:14" x14ac:dyDescent="0.25">
      <c r="B18" s="21" t="s">
        <v>56</v>
      </c>
      <c r="C18" s="20">
        <f>C12/C16</f>
        <v>0.25108330760273462</v>
      </c>
      <c r="F18" s="21" t="s">
        <v>57</v>
      </c>
      <c r="G18" s="23">
        <v>500</v>
      </c>
      <c r="H18" t="s">
        <v>6</v>
      </c>
      <c r="I18" s="24"/>
      <c r="J18" s="24"/>
      <c r="K18" s="24"/>
    </row>
    <row r="19" spans="2:14" x14ac:dyDescent="0.25">
      <c r="F19" s="21" t="s">
        <v>58</v>
      </c>
      <c r="G19" s="23">
        <v>283</v>
      </c>
      <c r="H19" t="s">
        <v>6</v>
      </c>
      <c r="I19" s="24"/>
      <c r="J19" s="24"/>
      <c r="K19" s="24"/>
    </row>
    <row r="20" spans="2:14" x14ac:dyDescent="0.25">
      <c r="F20" s="21" t="s">
        <v>59</v>
      </c>
      <c r="G20" s="23">
        <v>5</v>
      </c>
      <c r="H20" t="s">
        <v>6</v>
      </c>
      <c r="I20" s="24"/>
      <c r="J20" s="24"/>
      <c r="K20" s="24"/>
    </row>
    <row r="21" spans="2:14" x14ac:dyDescent="0.25">
      <c r="F21" s="21" t="s">
        <v>60</v>
      </c>
      <c r="G21" s="23">
        <v>65</v>
      </c>
      <c r="H21" t="s">
        <v>6</v>
      </c>
      <c r="I21" s="24"/>
      <c r="J21" s="24"/>
      <c r="K21" s="24"/>
      <c r="M21" s="1"/>
    </row>
    <row r="22" spans="2:14" x14ac:dyDescent="0.25">
      <c r="F22" s="21" t="s">
        <v>61</v>
      </c>
      <c r="G22" s="23">
        <v>100</v>
      </c>
      <c r="H22" t="s">
        <v>6</v>
      </c>
      <c r="I22" s="24"/>
      <c r="J22" s="24"/>
      <c r="K22" s="24"/>
      <c r="M22" s="1"/>
    </row>
    <row r="23" spans="2:14" x14ac:dyDescent="0.25">
      <c r="F23" s="28" t="s">
        <v>62</v>
      </c>
      <c r="G23" s="29">
        <f>SUM(G7:G22)</f>
        <v>2427.3199999999997</v>
      </c>
      <c r="H23" t="s">
        <v>6</v>
      </c>
      <c r="I23" s="24"/>
      <c r="J23" s="24"/>
      <c r="K23" s="24"/>
    </row>
    <row r="24" spans="2:14" x14ac:dyDescent="0.25">
      <c r="F24" s="21" t="s">
        <v>63</v>
      </c>
      <c r="G24" s="20">
        <f>G23-0.95*G16-0.8*G11</f>
        <v>2281.6959999999999</v>
      </c>
      <c r="H24" t="s">
        <v>6</v>
      </c>
    </row>
    <row r="25" spans="2:14" x14ac:dyDescent="0.25">
      <c r="B25" s="3"/>
      <c r="C25" s="3"/>
      <c r="D25" s="3"/>
      <c r="E25" s="3"/>
      <c r="I25" s="32"/>
    </row>
    <row r="26" spans="2:14" x14ac:dyDescent="0.25">
      <c r="B26" s="3"/>
      <c r="C26" s="3"/>
      <c r="D26" s="3"/>
      <c r="E26" s="3"/>
      <c r="F26" s="36" t="s">
        <v>64</v>
      </c>
      <c r="G26" s="20">
        <f>G23-G16-G18-G22</f>
        <v>1802.1999999999998</v>
      </c>
      <c r="H26" t="s">
        <v>6</v>
      </c>
    </row>
    <row r="27" spans="2:14" x14ac:dyDescent="0.25">
      <c r="B27" s="3"/>
      <c r="C27" s="3"/>
      <c r="D27" s="3"/>
      <c r="E27" s="3"/>
      <c r="F27" s="36"/>
      <c r="G27" s="20">
        <f>G26/0.4536</f>
        <v>3973.1040564373893</v>
      </c>
      <c r="H27" t="s">
        <v>65</v>
      </c>
    </row>
    <row r="28" spans="2:14" x14ac:dyDescent="0.25">
      <c r="B28" s="22" t="s">
        <v>66</v>
      </c>
      <c r="C28" s="22"/>
      <c r="D28" s="22"/>
      <c r="E28" s="3"/>
      <c r="L28" s="37" t="s">
        <v>52</v>
      </c>
      <c r="M28" s="37"/>
    </row>
    <row r="29" spans="2:14" x14ac:dyDescent="0.25">
      <c r="B29" s="21" t="s">
        <v>67</v>
      </c>
      <c r="C29" s="20">
        <f>C37/C33*1000</f>
        <v>48.403361344537821</v>
      </c>
      <c r="D29" t="s">
        <v>68</v>
      </c>
      <c r="L29" s="21" t="s">
        <v>69</v>
      </c>
      <c r="M29" s="23">
        <v>8</v>
      </c>
    </row>
    <row r="30" spans="2:14" x14ac:dyDescent="0.25">
      <c r="B30" s="21" t="s">
        <v>70</v>
      </c>
      <c r="C30" s="23">
        <f>120*300/1000</f>
        <v>36</v>
      </c>
      <c r="D30" t="s">
        <v>68</v>
      </c>
      <c r="L30" s="21" t="s">
        <v>71</v>
      </c>
      <c r="M30" s="23">
        <v>1</v>
      </c>
      <c r="N30" t="s">
        <v>20</v>
      </c>
    </row>
    <row r="31" spans="2:14" x14ac:dyDescent="0.25">
      <c r="L31" s="21" t="s">
        <v>72</v>
      </c>
      <c r="M31" s="23">
        <v>6</v>
      </c>
      <c r="N31" t="s">
        <v>73</v>
      </c>
    </row>
    <row r="32" spans="2:14" x14ac:dyDescent="0.25">
      <c r="B32" s="22" t="s">
        <v>74</v>
      </c>
      <c r="C32" s="22"/>
      <c r="D32" s="22"/>
      <c r="L32" s="21" t="s">
        <v>75</v>
      </c>
      <c r="M32" s="23">
        <v>891</v>
      </c>
      <c r="N32" t="s">
        <v>76</v>
      </c>
    </row>
    <row r="33" spans="1:15" x14ac:dyDescent="0.25">
      <c r="B33" s="21" t="s">
        <v>77</v>
      </c>
      <c r="C33" s="23">
        <v>714</v>
      </c>
      <c r="L33" s="21" t="s">
        <v>78</v>
      </c>
      <c r="M33" s="23">
        <v>25.125050505050499</v>
      </c>
      <c r="N33" t="s">
        <v>8</v>
      </c>
    </row>
    <row r="34" spans="1:15" x14ac:dyDescent="0.25">
      <c r="B34" s="21" t="s">
        <v>79</v>
      </c>
      <c r="C34" s="23">
        <v>1.1000000000000001</v>
      </c>
      <c r="D34" t="s">
        <v>80</v>
      </c>
      <c r="L34" s="21" t="s">
        <v>81</v>
      </c>
      <c r="M34" s="23">
        <f>0.418815/8</f>
        <v>5.2351874999999999E-2</v>
      </c>
      <c r="N34" t="s">
        <v>20</v>
      </c>
    </row>
    <row r="35" spans="1:15" x14ac:dyDescent="0.25">
      <c r="B35" s="21" t="s">
        <v>82</v>
      </c>
      <c r="C35" s="23">
        <v>9.64</v>
      </c>
      <c r="D35" t="s">
        <v>80</v>
      </c>
      <c r="L35" s="21" t="s">
        <v>83</v>
      </c>
      <c r="M35" s="23">
        <v>1298.9000000000001</v>
      </c>
      <c r="N35" t="s">
        <v>83</v>
      </c>
    </row>
    <row r="36" spans="1:15" x14ac:dyDescent="0.25">
      <c r="B36" s="21" t="s">
        <v>84</v>
      </c>
      <c r="C36" s="23">
        <v>23.82</v>
      </c>
      <c r="D36" t="s">
        <v>80</v>
      </c>
      <c r="L36" s="21" t="s">
        <v>85</v>
      </c>
      <c r="M36" s="23">
        <v>0.4</v>
      </c>
      <c r="O36" s="27"/>
    </row>
    <row r="37" spans="1:15" x14ac:dyDescent="0.25">
      <c r="B37" s="21" t="s">
        <v>86</v>
      </c>
      <c r="C37" s="20">
        <f>C35+C34+C36</f>
        <v>34.56</v>
      </c>
      <c r="D37" t="s">
        <v>80</v>
      </c>
      <c r="L37" s="21" t="s">
        <v>87</v>
      </c>
      <c r="M37" s="23">
        <v>0.1</v>
      </c>
    </row>
    <row r="38" spans="1:15" x14ac:dyDescent="0.25">
      <c r="B38" s="21" t="s">
        <v>88</v>
      </c>
      <c r="C38" s="23">
        <v>74.16</v>
      </c>
      <c r="D38" t="s">
        <v>89</v>
      </c>
      <c r="E38" s="3"/>
      <c r="L38" s="21" t="s">
        <v>88</v>
      </c>
      <c r="M38" s="23">
        <v>74.160116000000002</v>
      </c>
      <c r="N38" s="3" t="s">
        <v>90</v>
      </c>
    </row>
    <row r="39" spans="1:15" x14ac:dyDescent="0.25">
      <c r="L39" s="21" t="s">
        <v>91</v>
      </c>
      <c r="M39" s="23">
        <v>136</v>
      </c>
      <c r="N39" t="s">
        <v>39</v>
      </c>
    </row>
    <row r="40" spans="1:15" x14ac:dyDescent="0.25">
      <c r="A40" s="3"/>
      <c r="B40" s="3"/>
      <c r="C40" s="3"/>
      <c r="D40" s="3"/>
      <c r="E40" s="3"/>
    </row>
    <row r="41" spans="1:15" x14ac:dyDescent="0.25">
      <c r="A41" s="3"/>
      <c r="B41" s="3"/>
      <c r="C41" s="3"/>
      <c r="D41" s="3"/>
      <c r="E41" s="3"/>
    </row>
    <row r="42" spans="1:15" x14ac:dyDescent="0.25">
      <c r="A42" s="3"/>
      <c r="B42" s="3"/>
      <c r="C42" s="3"/>
      <c r="D42" s="3"/>
      <c r="E42" s="3"/>
      <c r="N42" s="31"/>
    </row>
    <row r="43" spans="1:15" x14ac:dyDescent="0.25">
      <c r="A43" s="3"/>
      <c r="B43" s="3"/>
      <c r="C43" s="3"/>
      <c r="D43" s="3"/>
      <c r="E43" s="3"/>
      <c r="N43" s="31"/>
    </row>
    <row r="44" spans="1:15" x14ac:dyDescent="0.25">
      <c r="A44" s="3"/>
      <c r="B44" s="3"/>
      <c r="C44" s="3"/>
      <c r="D44" s="3"/>
      <c r="E44" s="3"/>
    </row>
    <row r="45" spans="1:15" x14ac:dyDescent="0.25">
      <c r="A45" s="3"/>
      <c r="B45" s="3"/>
      <c r="C45" s="30"/>
      <c r="D45" s="3"/>
      <c r="E45" s="3"/>
    </row>
    <row r="46" spans="1:15" x14ac:dyDescent="0.25">
      <c r="A46" s="3"/>
      <c r="B46" s="3"/>
      <c r="C46" s="3"/>
      <c r="D46" s="3"/>
      <c r="E46" s="3"/>
    </row>
    <row r="47" spans="1:15" x14ac:dyDescent="0.25">
      <c r="A47" s="3"/>
      <c r="B47" s="3"/>
      <c r="C47" s="3"/>
      <c r="D47" s="3"/>
      <c r="E47" s="3"/>
    </row>
    <row r="48" spans="1:15" x14ac:dyDescent="0.25">
      <c r="A48" s="3"/>
      <c r="B48" s="3"/>
      <c r="C48" s="3"/>
      <c r="D48" s="3"/>
      <c r="E48" s="3"/>
    </row>
  </sheetData>
  <mergeCells count="4">
    <mergeCell ref="F6:G6"/>
    <mergeCell ref="F26:F27"/>
    <mergeCell ref="O3:P3"/>
    <mergeCell ref="L28:M28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2043F-8EF4-4D84-A76B-A65B0EEC7628}">
  <dimension ref="G1:T19"/>
  <sheetViews>
    <sheetView workbookViewId="0">
      <selection activeCell="J3" sqref="J3"/>
    </sheetView>
  </sheetViews>
  <sheetFormatPr defaultRowHeight="15" x14ac:dyDescent="0.25"/>
  <cols>
    <col min="7" max="7" width="11.7109375" customWidth="1"/>
    <col min="9" max="9" width="10.5703125" bestFit="1" customWidth="1"/>
    <col min="11" max="11" width="5.7109375" customWidth="1"/>
    <col min="12" max="12" width="21.5703125" customWidth="1"/>
    <col min="13" max="13" width="11.140625" customWidth="1"/>
    <col min="15" max="15" width="10.85546875" customWidth="1"/>
  </cols>
  <sheetData>
    <row r="1" spans="7:20" x14ac:dyDescent="0.25">
      <c r="G1" t="s">
        <v>31</v>
      </c>
      <c r="L1" t="s">
        <v>92</v>
      </c>
      <c r="O1" t="s">
        <v>93</v>
      </c>
    </row>
    <row r="2" spans="7:20" x14ac:dyDescent="0.25">
      <c r="G2" s="21" t="s">
        <v>94</v>
      </c>
      <c r="H2" s="20">
        <f>'Static margin'!M43</f>
        <v>5.7247044332338302</v>
      </c>
      <c r="I2" s="21" t="s">
        <v>95</v>
      </c>
      <c r="J2" s="23">
        <v>1.1000000000000001</v>
      </c>
      <c r="L2" s="21" t="s">
        <v>26</v>
      </c>
      <c r="M2" s="20">
        <f>'Dados Atualizados'!C9</f>
        <v>1</v>
      </c>
      <c r="O2" s="21" t="s">
        <v>96</v>
      </c>
      <c r="P2" s="23">
        <v>16</v>
      </c>
      <c r="Q2" t="s">
        <v>97</v>
      </c>
    </row>
    <row r="3" spans="7:20" x14ac:dyDescent="0.25">
      <c r="G3" s="21" t="s">
        <v>98</v>
      </c>
      <c r="H3" s="20">
        <f>'Tail Design'!K14*2</f>
        <v>3.3603164199999993</v>
      </c>
      <c r="I3" s="21" t="s">
        <v>99</v>
      </c>
      <c r="J3" s="23">
        <f>35*PI()/180</f>
        <v>0.6108652381980153</v>
      </c>
      <c r="K3" s="3"/>
      <c r="L3" s="21" t="s">
        <v>16</v>
      </c>
      <c r="M3" s="20">
        <f>'Dados Atualizados'!P6</f>
        <v>0.34446872098311332</v>
      </c>
      <c r="O3" s="21" t="s">
        <v>100</v>
      </c>
      <c r="P3" s="20">
        <f>'Dados Atualizados'!C6</f>
        <v>17.450749999999999</v>
      </c>
      <c r="Q3" t="s">
        <v>8</v>
      </c>
    </row>
    <row r="4" spans="7:20" x14ac:dyDescent="0.25">
      <c r="G4" s="21" t="s">
        <v>101</v>
      </c>
      <c r="H4" s="20">
        <f>H2*H3/(P3*P4)</f>
        <v>9.159527093174126E-2</v>
      </c>
      <c r="I4" s="21" t="s">
        <v>102</v>
      </c>
      <c r="J4" s="20">
        <f>'Static margin'!K15</f>
        <v>2.2550111989264958</v>
      </c>
      <c r="L4" s="21" t="s">
        <v>4</v>
      </c>
      <c r="M4" s="20">
        <f>'Dados Atualizados'!C4</f>
        <v>8.3000000000000007</v>
      </c>
      <c r="O4" s="21" t="s">
        <v>103</v>
      </c>
      <c r="P4" s="20">
        <f>'Dados Atualizados'!C7</f>
        <v>12.035</v>
      </c>
      <c r="Q4" t="s">
        <v>20</v>
      </c>
    </row>
    <row r="5" spans="7:20" x14ac:dyDescent="0.25">
      <c r="G5" s="21" t="s">
        <v>104</v>
      </c>
      <c r="H5" s="20">
        <f>0.724+((3.06*H3/P3)/(1+COS(J3)))+0.4*J2/P5+0.009*M4</f>
        <v>1.3181611916181528</v>
      </c>
      <c r="L5" s="21" t="s">
        <v>105</v>
      </c>
      <c r="M5" s="23">
        <f>0*PI()/180</f>
        <v>0</v>
      </c>
      <c r="N5" t="s">
        <v>106</v>
      </c>
      <c r="O5" s="21" t="s">
        <v>107</v>
      </c>
      <c r="P5" s="23">
        <v>2.25</v>
      </c>
      <c r="Q5" t="s">
        <v>20</v>
      </c>
    </row>
    <row r="6" spans="7:20" x14ac:dyDescent="0.25">
      <c r="G6" s="21" t="s">
        <v>108</v>
      </c>
      <c r="H6" s="20">
        <f>H4*J4*H5</f>
        <v>0.27226403461132653</v>
      </c>
      <c r="L6" s="21" t="s">
        <v>109</v>
      </c>
      <c r="M6" s="20">
        <f>M3^2*(1/(4*PI()*M4))</f>
        <v>1.1376577472168861E-3</v>
      </c>
      <c r="O6" s="21" t="s">
        <v>110</v>
      </c>
      <c r="P6" s="23">
        <v>2.25</v>
      </c>
      <c r="Q6" t="s">
        <v>20</v>
      </c>
    </row>
    <row r="7" spans="7:20" x14ac:dyDescent="0.25">
      <c r="L7" s="21" t="s">
        <v>111</v>
      </c>
      <c r="M7" s="20">
        <f>M3^2*(TAN(M5)/(PI()*M4*(M4+4*COS(M5))))*(COS(M5)-1*M4/2-M4*M4/(8*COS(M5))+6*0.25*SIN(M5)/M4)</f>
        <v>0</v>
      </c>
      <c r="O7" s="21" t="s">
        <v>112</v>
      </c>
      <c r="P7" s="20">
        <f>-1.3*P2*P5/(P3*P4*P6)</f>
        <v>-9.9038292352242235E-2</v>
      </c>
    </row>
    <row r="8" spans="7:20" x14ac:dyDescent="0.25">
      <c r="L8" s="21" t="s">
        <v>113</v>
      </c>
      <c r="M8" s="20">
        <f>M6-M7</f>
        <v>1.1376577472168861E-3</v>
      </c>
    </row>
    <row r="10" spans="7:20" x14ac:dyDescent="0.25">
      <c r="Q10" s="32"/>
      <c r="R10" s="32"/>
      <c r="S10" s="32"/>
      <c r="T10" s="32"/>
    </row>
    <row r="11" spans="7:20" x14ac:dyDescent="0.25">
      <c r="G11" s="21" t="s">
        <v>114</v>
      </c>
      <c r="H11" s="20">
        <f>H6+M8+P7</f>
        <v>0.17436340000630121</v>
      </c>
      <c r="Q11" s="32"/>
      <c r="R11" s="32"/>
      <c r="S11" s="32"/>
      <c r="T11" s="32"/>
    </row>
    <row r="12" spans="7:20" x14ac:dyDescent="0.25">
      <c r="Q12" s="32"/>
      <c r="R12" s="32"/>
      <c r="S12" s="32"/>
      <c r="T12" s="32"/>
    </row>
    <row r="13" spans="7:20" x14ac:dyDescent="0.25">
      <c r="Q13" s="32"/>
      <c r="R13" s="32"/>
      <c r="S13" s="32"/>
      <c r="T13" s="32"/>
    </row>
    <row r="14" spans="7:20" x14ac:dyDescent="0.25">
      <c r="Q14" s="32"/>
      <c r="R14" s="32"/>
      <c r="S14" s="32"/>
      <c r="T14" s="32"/>
    </row>
    <row r="15" spans="7:20" x14ac:dyDescent="0.25">
      <c r="Q15" s="32"/>
      <c r="R15" s="32"/>
      <c r="S15" s="32"/>
      <c r="T15" s="32"/>
    </row>
    <row r="16" spans="7:20" x14ac:dyDescent="0.25">
      <c r="Q16" s="32"/>
      <c r="R16" s="32"/>
      <c r="S16" s="32"/>
      <c r="T16" s="32"/>
    </row>
    <row r="17" spans="7:20" x14ac:dyDescent="0.25">
      <c r="Q17" s="32"/>
      <c r="R17" s="32"/>
      <c r="S17" s="32"/>
      <c r="T17" s="32"/>
    </row>
    <row r="18" spans="7:20" x14ac:dyDescent="0.25">
      <c r="Q18" s="32"/>
      <c r="R18" s="32"/>
      <c r="S18" s="32"/>
      <c r="T18" s="32"/>
    </row>
    <row r="19" spans="7:20" x14ac:dyDescent="0.25">
      <c r="G19" s="21" t="s">
        <v>98</v>
      </c>
      <c r="H19" s="20">
        <f>'Tail Design'!K14*2</f>
        <v>3.3603164199999993</v>
      </c>
      <c r="Q19" s="3"/>
      <c r="R19" s="3"/>
      <c r="S19" s="3"/>
      <c r="T19" s="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7199D-D3CD-48BA-A130-D391F9E158F9}">
  <dimension ref="A2:M25"/>
  <sheetViews>
    <sheetView workbookViewId="0">
      <selection activeCell="F24" sqref="F24"/>
    </sheetView>
  </sheetViews>
  <sheetFormatPr defaultRowHeight="15" x14ac:dyDescent="0.25"/>
  <cols>
    <col min="2" max="2" width="15" customWidth="1"/>
    <col min="6" max="6" width="12.85546875" customWidth="1"/>
    <col min="9" max="9" width="12.140625" customWidth="1"/>
    <col min="16" max="16" width="0" hidden="1" customWidth="1"/>
  </cols>
  <sheetData>
    <row r="2" spans="1:13" x14ac:dyDescent="0.25">
      <c r="B2" s="22" t="s">
        <v>0</v>
      </c>
      <c r="C2" s="22"/>
      <c r="D2" s="22"/>
      <c r="E2" s="22"/>
      <c r="F2" s="22" t="s">
        <v>1</v>
      </c>
      <c r="G2" s="22"/>
      <c r="H2" s="22"/>
      <c r="I2" s="22"/>
      <c r="J2" s="22"/>
      <c r="K2" s="22"/>
      <c r="L2" s="22"/>
    </row>
    <row r="4" spans="1:13" x14ac:dyDescent="0.25">
      <c r="B4" s="21" t="s">
        <v>4</v>
      </c>
      <c r="C4" s="20">
        <f>'Dados Atualizados'!C4</f>
        <v>8.3000000000000007</v>
      </c>
      <c r="F4" s="21" t="s">
        <v>115</v>
      </c>
      <c r="G4" s="23">
        <f>'Dados Atualizados'!G4</f>
        <v>2282</v>
      </c>
      <c r="H4" t="s">
        <v>6</v>
      </c>
      <c r="J4" s="3"/>
      <c r="K4" s="3"/>
    </row>
    <row r="5" spans="1:13" x14ac:dyDescent="0.25">
      <c r="A5" t="s">
        <v>116</v>
      </c>
      <c r="B5" s="21" t="s">
        <v>117</v>
      </c>
      <c r="C5" s="20">
        <f>'Dados Atualizados'!C5</f>
        <v>5.7295999999999996</v>
      </c>
      <c r="J5" s="3"/>
      <c r="K5" s="3"/>
    </row>
    <row r="6" spans="1:13" x14ac:dyDescent="0.25">
      <c r="B6" s="21" t="s">
        <v>13</v>
      </c>
      <c r="C6" s="20">
        <f>'Dados Atualizados'!C6</f>
        <v>17.450749999999999</v>
      </c>
      <c r="F6" s="35" t="s">
        <v>14</v>
      </c>
      <c r="G6" s="35"/>
      <c r="I6" s="35" t="s">
        <v>118</v>
      </c>
      <c r="J6" s="35"/>
      <c r="K6" s="35"/>
      <c r="M6" s="17" t="s">
        <v>119</v>
      </c>
    </row>
    <row r="7" spans="1:13" x14ac:dyDescent="0.25">
      <c r="B7" s="21" t="s">
        <v>17</v>
      </c>
      <c r="C7" s="20">
        <f>'Dados Atualizados'!C7</f>
        <v>12.035</v>
      </c>
      <c r="F7" s="21" t="s">
        <v>18</v>
      </c>
      <c r="G7" s="20">
        <f>'Dados Atualizados'!G7</f>
        <v>600</v>
      </c>
      <c r="H7" t="s">
        <v>6</v>
      </c>
      <c r="I7" s="21" t="s">
        <v>18</v>
      </c>
      <c r="J7" s="23">
        <v>4</v>
      </c>
      <c r="K7" t="s">
        <v>20</v>
      </c>
      <c r="M7">
        <f>G7*J7/G$23</f>
        <v>0.98874478849101077</v>
      </c>
    </row>
    <row r="8" spans="1:13" x14ac:dyDescent="0.25">
      <c r="B8" s="21" t="s">
        <v>22</v>
      </c>
      <c r="C8" s="20">
        <f>'Dados Atualizados'!C8</f>
        <v>1.45</v>
      </c>
      <c r="F8" s="21" t="s">
        <v>23</v>
      </c>
      <c r="G8" s="20">
        <f>'Dados Atualizados'!G8</f>
        <v>215</v>
      </c>
      <c r="H8" t="s">
        <v>6</v>
      </c>
      <c r="I8" s="21" t="s">
        <v>23</v>
      </c>
      <c r="J8" s="23">
        <v>4.8</v>
      </c>
      <c r="K8" t="s">
        <v>20</v>
      </c>
      <c r="M8">
        <f>G8*J8/G$23</f>
        <v>0.42516025905113464</v>
      </c>
    </row>
    <row r="9" spans="1:13" x14ac:dyDescent="0.25">
      <c r="B9" s="21" t="s">
        <v>26</v>
      </c>
      <c r="C9" s="20">
        <f>'Dados Atualizados'!C9</f>
        <v>1</v>
      </c>
      <c r="F9" s="21" t="s">
        <v>27</v>
      </c>
      <c r="G9" s="20">
        <f>'Dados Atualizados'!G9</f>
        <v>60</v>
      </c>
      <c r="H9" t="s">
        <v>6</v>
      </c>
      <c r="I9" s="21" t="s">
        <v>27</v>
      </c>
      <c r="J9" s="23">
        <f>3.8+6</f>
        <v>9.8000000000000007</v>
      </c>
      <c r="K9" t="s">
        <v>20</v>
      </c>
      <c r="M9">
        <f>G9*J9/G$23</f>
        <v>0.24224247318029765</v>
      </c>
    </row>
    <row r="10" spans="1:13" x14ac:dyDescent="0.25">
      <c r="F10" s="21" t="s">
        <v>31</v>
      </c>
      <c r="G10" s="20">
        <f>'Dados Atualizados'!G10</f>
        <v>40</v>
      </c>
      <c r="H10" t="s">
        <v>6</v>
      </c>
      <c r="I10" s="21" t="s">
        <v>31</v>
      </c>
      <c r="J10" s="23">
        <f>3.8+6</f>
        <v>9.8000000000000007</v>
      </c>
      <c r="K10" t="s">
        <v>20</v>
      </c>
      <c r="M10">
        <f>G10*J10/G$23</f>
        <v>0.16149498212019842</v>
      </c>
    </row>
    <row r="11" spans="1:13" x14ac:dyDescent="0.25">
      <c r="B11" s="22" t="s">
        <v>34</v>
      </c>
      <c r="C11" s="22"/>
      <c r="D11" s="22"/>
      <c r="F11" s="21" t="s">
        <v>35</v>
      </c>
      <c r="G11" s="20">
        <f>'Dados Atualizados'!G11</f>
        <v>152.19999999999999</v>
      </c>
      <c r="H11" t="s">
        <v>6</v>
      </c>
      <c r="I11" s="21" t="s">
        <v>35</v>
      </c>
      <c r="J11" s="20">
        <f>G23/G11*(J25-SUM(M7:M22))</f>
        <v>5.8135114002815946</v>
      </c>
      <c r="K11" t="s">
        <v>20</v>
      </c>
      <c r="M11" s="25"/>
    </row>
    <row r="12" spans="1:13" x14ac:dyDescent="0.25">
      <c r="B12" s="21" t="s">
        <v>38</v>
      </c>
      <c r="C12" s="20">
        <f>'Dados Atualizados'!C12</f>
        <v>84</v>
      </c>
      <c r="D12" t="s">
        <v>39</v>
      </c>
      <c r="F12" s="21" t="s">
        <v>40</v>
      </c>
      <c r="G12" s="20">
        <f>'Dados Atualizados'!G12</f>
        <v>104</v>
      </c>
      <c r="H12" t="s">
        <v>6</v>
      </c>
      <c r="I12" s="21" t="s">
        <v>40</v>
      </c>
      <c r="J12" s="23">
        <v>0.5</v>
      </c>
      <c r="K12" t="s">
        <v>20</v>
      </c>
      <c r="M12">
        <f t="shared" ref="M12:M22" si="0">G12*J12/G$23</f>
        <v>2.1422803750638566E-2</v>
      </c>
    </row>
    <row r="13" spans="1:13" x14ac:dyDescent="0.25">
      <c r="B13" s="21" t="s">
        <v>43</v>
      </c>
      <c r="C13" s="20">
        <f>'Dados Atualizados'!C13</f>
        <v>1500</v>
      </c>
      <c r="D13" t="s">
        <v>20</v>
      </c>
      <c r="F13" s="21" t="s">
        <v>44</v>
      </c>
      <c r="G13" s="20">
        <f>'Dados Atualizados'!G13</f>
        <v>10</v>
      </c>
      <c r="H13" t="s">
        <v>6</v>
      </c>
      <c r="I13" s="21" t="s">
        <v>44</v>
      </c>
      <c r="J13" s="23">
        <v>0</v>
      </c>
      <c r="K13" t="s">
        <v>20</v>
      </c>
      <c r="M13">
        <f t="shared" si="0"/>
        <v>0</v>
      </c>
    </row>
    <row r="14" spans="1:13" x14ac:dyDescent="0.25">
      <c r="B14" s="21" t="s">
        <v>47</v>
      </c>
      <c r="C14" s="20">
        <f>'Dados Atualizados'!C14</f>
        <v>278.5</v>
      </c>
      <c r="D14" t="s">
        <v>48</v>
      </c>
      <c r="F14" s="21" t="s">
        <v>49</v>
      </c>
      <c r="G14" s="20">
        <f>'Dados Atualizados'!G14</f>
        <v>48</v>
      </c>
      <c r="H14" t="s">
        <v>6</v>
      </c>
      <c r="I14" s="21" t="s">
        <v>49</v>
      </c>
      <c r="J14" s="23">
        <v>4</v>
      </c>
      <c r="K14" t="s">
        <v>20</v>
      </c>
      <c r="M14">
        <f t="shared" si="0"/>
        <v>7.9099583079280861E-2</v>
      </c>
    </row>
    <row r="15" spans="1:13" x14ac:dyDescent="0.25">
      <c r="B15" s="21" t="s">
        <v>50</v>
      </c>
      <c r="C15" s="20">
        <f>'Dados Atualizados'!C15</f>
        <v>1.0555825000000001</v>
      </c>
      <c r="D15" t="s">
        <v>51</v>
      </c>
      <c r="F15" s="21" t="s">
        <v>52</v>
      </c>
      <c r="G15" s="20">
        <f>'Dados Atualizados'!G15</f>
        <v>160</v>
      </c>
      <c r="H15" t="s">
        <v>6</v>
      </c>
      <c r="I15" s="21" t="s">
        <v>52</v>
      </c>
      <c r="J15" s="23">
        <v>4</v>
      </c>
      <c r="K15" t="s">
        <v>20</v>
      </c>
      <c r="M15">
        <f t="shared" si="0"/>
        <v>0.26366527693093622</v>
      </c>
    </row>
    <row r="16" spans="1:13" x14ac:dyDescent="0.25">
      <c r="B16" s="21" t="s">
        <v>53</v>
      </c>
      <c r="C16" s="20">
        <f>'Dados Atualizados'!C16</f>
        <v>334.55031639500805</v>
      </c>
      <c r="D16" t="s">
        <v>39</v>
      </c>
      <c r="F16" s="21" t="s">
        <v>54</v>
      </c>
      <c r="G16" s="20">
        <f>'Dados Atualizados'!G16</f>
        <v>25.12</v>
      </c>
      <c r="H16" t="s">
        <v>6</v>
      </c>
      <c r="I16" s="21" t="s">
        <v>54</v>
      </c>
      <c r="J16" s="23">
        <v>4</v>
      </c>
      <c r="K16" t="s">
        <v>20</v>
      </c>
      <c r="M16">
        <f t="shared" si="0"/>
        <v>4.1395448478156988E-2</v>
      </c>
    </row>
    <row r="17" spans="2:13" x14ac:dyDescent="0.25">
      <c r="B17" s="21"/>
      <c r="C17" s="23"/>
      <c r="F17" s="21" t="s">
        <v>55</v>
      </c>
      <c r="G17" s="20">
        <f>'Dados Atualizados'!G17</f>
        <v>60</v>
      </c>
      <c r="H17" t="s">
        <v>6</v>
      </c>
      <c r="I17" s="21" t="s">
        <v>55</v>
      </c>
      <c r="J17" s="23">
        <v>3</v>
      </c>
      <c r="K17" t="s">
        <v>20</v>
      </c>
      <c r="M17">
        <f t="shared" si="0"/>
        <v>7.4155859136825805E-2</v>
      </c>
    </row>
    <row r="18" spans="2:13" x14ac:dyDescent="0.25">
      <c r="B18" s="21" t="s">
        <v>56</v>
      </c>
      <c r="C18" s="20">
        <f>'Dados Atualizados'!C18</f>
        <v>0.25108330760273462</v>
      </c>
      <c r="F18" s="21" t="s">
        <v>57</v>
      </c>
      <c r="G18" s="20">
        <f>'Dados Atualizados'!G18</f>
        <v>500</v>
      </c>
      <c r="H18" t="s">
        <v>6</v>
      </c>
      <c r="I18" s="21" t="s">
        <v>57</v>
      </c>
      <c r="J18" s="23">
        <v>4</v>
      </c>
      <c r="K18" t="s">
        <v>20</v>
      </c>
      <c r="M18">
        <f t="shared" si="0"/>
        <v>0.82395399040917561</v>
      </c>
    </row>
    <row r="19" spans="2:13" x14ac:dyDescent="0.25">
      <c r="F19" s="21" t="s">
        <v>120</v>
      </c>
      <c r="G19" s="20">
        <f>'Dados Atualizados'!G19</f>
        <v>283</v>
      </c>
      <c r="H19" t="s">
        <v>6</v>
      </c>
      <c r="I19" s="21" t="s">
        <v>120</v>
      </c>
      <c r="J19" s="23">
        <v>4</v>
      </c>
      <c r="K19" t="s">
        <v>20</v>
      </c>
      <c r="M19">
        <f t="shared" si="0"/>
        <v>0.4663579585715934</v>
      </c>
    </row>
    <row r="20" spans="2:13" x14ac:dyDescent="0.25">
      <c r="F20" s="21" t="s">
        <v>59</v>
      </c>
      <c r="G20" s="20">
        <f>'Dados Atualizados'!G20</f>
        <v>5</v>
      </c>
      <c r="H20" t="s">
        <v>6</v>
      </c>
      <c r="I20" s="21" t="s">
        <v>59</v>
      </c>
      <c r="J20" s="23">
        <v>0.25</v>
      </c>
      <c r="K20" t="s">
        <v>20</v>
      </c>
      <c r="M20">
        <f>G20*J20/G$23</f>
        <v>5.1497124400573481E-4</v>
      </c>
    </row>
    <row r="21" spans="2:13" x14ac:dyDescent="0.25">
      <c r="F21" s="21" t="s">
        <v>60</v>
      </c>
      <c r="G21" s="20">
        <f>'Dados Atualizados'!G21</f>
        <v>65</v>
      </c>
      <c r="H21" t="s">
        <v>6</v>
      </c>
      <c r="I21" s="21" t="s">
        <v>60</v>
      </c>
      <c r="J21" s="23">
        <v>1.5</v>
      </c>
      <c r="K21" t="s">
        <v>20</v>
      </c>
      <c r="M21">
        <f t="shared" si="0"/>
        <v>4.0167757032447314E-2</v>
      </c>
    </row>
    <row r="22" spans="2:13" x14ac:dyDescent="0.25">
      <c r="F22" s="21" t="s">
        <v>61</v>
      </c>
      <c r="G22" s="20">
        <f>'Dados Atualizados'!G22</f>
        <v>100</v>
      </c>
      <c r="H22" t="s">
        <v>6</v>
      </c>
      <c r="I22" s="21" t="s">
        <v>61</v>
      </c>
      <c r="J22" s="23">
        <v>2</v>
      </c>
      <c r="K22" t="s">
        <v>20</v>
      </c>
      <c r="M22">
        <f t="shared" si="0"/>
        <v>8.2395399040917569E-2</v>
      </c>
    </row>
    <row r="23" spans="2:13" x14ac:dyDescent="0.25">
      <c r="F23" s="21" t="s">
        <v>62</v>
      </c>
      <c r="G23" s="20">
        <f>'Dados Atualizados'!G23</f>
        <v>2427.3199999999997</v>
      </c>
      <c r="H23" t="s">
        <v>6</v>
      </c>
    </row>
    <row r="24" spans="2:13" x14ac:dyDescent="0.25">
      <c r="F24" s="21" t="s">
        <v>63</v>
      </c>
      <c r="G24" s="20">
        <f>G23-0.95*G16-0.8*G11</f>
        <v>2281.6959999999999</v>
      </c>
      <c r="H24" t="s">
        <v>6</v>
      </c>
    </row>
    <row r="25" spans="2:13" x14ac:dyDescent="0.25">
      <c r="I25" s="21" t="s">
        <v>121</v>
      </c>
      <c r="J25" s="20">
        <f>'Static margin'!D41</f>
        <v>4.0752955667661697</v>
      </c>
    </row>
  </sheetData>
  <mergeCells count="2">
    <mergeCell ref="F6:G6"/>
    <mergeCell ref="I6:K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F59C33-B731-4FF4-97AB-D97C069D30BC}">
  <dimension ref="B1:Q56"/>
  <sheetViews>
    <sheetView topLeftCell="A4" zoomScale="85" zoomScaleNormal="85" workbookViewId="0">
      <selection activeCell="D52" sqref="D52"/>
    </sheetView>
  </sheetViews>
  <sheetFormatPr defaultRowHeight="15" x14ac:dyDescent="0.25"/>
  <cols>
    <col min="3" max="4" width="20.140625" customWidth="1"/>
    <col min="5" max="5" width="15.140625" customWidth="1"/>
    <col min="6" max="6" width="10.42578125" customWidth="1"/>
    <col min="10" max="10" width="10.7109375" customWidth="1"/>
    <col min="15" max="15" width="12" customWidth="1"/>
    <col min="18" max="18" width="43.42578125" customWidth="1"/>
  </cols>
  <sheetData>
    <row r="1" spans="4:17" x14ac:dyDescent="0.25">
      <c r="E1" s="15" t="s">
        <v>122</v>
      </c>
      <c r="F1" s="15"/>
      <c r="G1" s="15"/>
      <c r="H1" s="3"/>
      <c r="I1" s="15"/>
      <c r="J1" s="15" t="s">
        <v>123</v>
      </c>
      <c r="K1" s="15"/>
    </row>
    <row r="2" spans="4:17" ht="30" customHeight="1" x14ac:dyDescent="0.25">
      <c r="E2" s="21" t="s">
        <v>124</v>
      </c>
      <c r="F2" s="23">
        <v>0</v>
      </c>
      <c r="G2" t="s">
        <v>106</v>
      </c>
      <c r="I2" s="38" t="s">
        <v>125</v>
      </c>
      <c r="J2" s="21"/>
      <c r="K2" s="23"/>
      <c r="N2" s="21" t="s">
        <v>126</v>
      </c>
      <c r="O2" s="20">
        <f>'Tail Design'!K16</f>
        <v>3.365377137499999</v>
      </c>
    </row>
    <row r="3" spans="4:17" x14ac:dyDescent="0.25">
      <c r="E3" s="21" t="s">
        <v>127</v>
      </c>
      <c r="F3" s="20">
        <f>'Dados Atualizados'!C18</f>
        <v>0.25108330760273462</v>
      </c>
      <c r="I3" s="38"/>
      <c r="J3" s="21" t="s">
        <v>128</v>
      </c>
      <c r="K3" s="20">
        <f>F3*COS(F2)</f>
        <v>0.25108330760273462</v>
      </c>
      <c r="N3" s="21" t="s">
        <v>100</v>
      </c>
      <c r="O3" s="20">
        <f>'Dados Atualizados'!C6</f>
        <v>17.450749999999999</v>
      </c>
    </row>
    <row r="4" spans="4:17" x14ac:dyDescent="0.25">
      <c r="E4" s="21" t="s">
        <v>129</v>
      </c>
      <c r="F4" s="23">
        <v>0</v>
      </c>
      <c r="G4" t="s">
        <v>106</v>
      </c>
      <c r="I4" s="38"/>
      <c r="J4" s="21" t="s">
        <v>130</v>
      </c>
      <c r="K4" s="20">
        <f>SQRT(1-K3^2)</f>
        <v>0.96796548112175496</v>
      </c>
      <c r="N4" s="21" t="s">
        <v>131</v>
      </c>
      <c r="O4" s="20">
        <f>'Tail Design'!G21</f>
        <v>5</v>
      </c>
    </row>
    <row r="5" spans="4:17" x14ac:dyDescent="0.25">
      <c r="E5" s="21" t="s">
        <v>132</v>
      </c>
      <c r="F5" s="20">
        <f>'Dados Atualizados'!C4</f>
        <v>8.3000000000000007</v>
      </c>
      <c r="I5" s="38"/>
      <c r="J5" s="21"/>
      <c r="K5" s="23"/>
      <c r="N5" s="21"/>
      <c r="O5" s="20"/>
    </row>
    <row r="6" spans="4:17" x14ac:dyDescent="0.25">
      <c r="E6" s="21"/>
      <c r="F6" s="23"/>
      <c r="I6" s="38"/>
      <c r="J6" s="21" t="s">
        <v>133</v>
      </c>
      <c r="K6" s="20">
        <f>(2*PI()*F5)/(2+ SQRT(4+(F5*K4)^2*(1+(((TAN(F4))^2)/(K4^2)))))</f>
        <v>5.0733401706898107</v>
      </c>
      <c r="N6" s="21" t="s">
        <v>134</v>
      </c>
      <c r="O6" s="23">
        <v>4.8</v>
      </c>
    </row>
    <row r="7" spans="4:17" x14ac:dyDescent="0.25">
      <c r="D7" t="s">
        <v>135</v>
      </c>
      <c r="E7" s="21" t="s">
        <v>117</v>
      </c>
      <c r="F7" s="20">
        <f>'Dados Atualizados'!C5</f>
        <v>5.7295999999999996</v>
      </c>
      <c r="I7" s="38"/>
      <c r="J7" s="21"/>
      <c r="K7" s="23"/>
      <c r="N7" s="21"/>
      <c r="O7" s="20"/>
    </row>
    <row r="8" spans="4:17" x14ac:dyDescent="0.25">
      <c r="E8" s="21"/>
      <c r="F8" s="23"/>
      <c r="I8" s="38"/>
      <c r="J8" s="21"/>
      <c r="K8" s="23"/>
    </row>
    <row r="9" spans="4:17" x14ac:dyDescent="0.25">
      <c r="D9" t="s">
        <v>135</v>
      </c>
      <c r="E9" s="21" t="s">
        <v>136</v>
      </c>
      <c r="F9" s="23">
        <v>0.8</v>
      </c>
    </row>
    <row r="10" spans="4:17" ht="30" customHeight="1" x14ac:dyDescent="0.25">
      <c r="I10" s="38" t="s">
        <v>137</v>
      </c>
      <c r="J10" s="21" t="s">
        <v>138</v>
      </c>
      <c r="K10" s="23"/>
      <c r="N10" s="3"/>
      <c r="O10" s="3"/>
      <c r="P10" s="3"/>
      <c r="Q10" s="3"/>
    </row>
    <row r="11" spans="4:17" x14ac:dyDescent="0.25">
      <c r="I11" s="38"/>
      <c r="J11" s="21" t="s">
        <v>133</v>
      </c>
      <c r="K11" s="20">
        <f>(F7)/(1+(F7)/(PI()*F5*F9))</f>
        <v>4.4949781993798217</v>
      </c>
      <c r="N11" s="3"/>
      <c r="O11" s="3"/>
      <c r="P11" s="3"/>
      <c r="Q11" s="3"/>
    </row>
    <row r="12" spans="4:17" x14ac:dyDescent="0.25">
      <c r="I12" s="38"/>
      <c r="J12" s="21" t="s">
        <v>139</v>
      </c>
      <c r="K12" s="23"/>
      <c r="N12" s="3"/>
      <c r="O12" s="3"/>
      <c r="P12" s="3"/>
      <c r="Q12" s="3"/>
    </row>
    <row r="13" spans="4:17" x14ac:dyDescent="0.25">
      <c r="I13" s="38"/>
      <c r="J13" s="21" t="s">
        <v>133</v>
      </c>
      <c r="K13" s="20">
        <f>(F15)/(1+(F15)/(PI()*F17*F16))</f>
        <v>3.3987444019373689</v>
      </c>
      <c r="N13" s="3"/>
      <c r="O13" s="3"/>
      <c r="P13" s="3"/>
      <c r="Q13" s="3"/>
    </row>
    <row r="14" spans="4:17" x14ac:dyDescent="0.25">
      <c r="F14" s="21" t="s">
        <v>27</v>
      </c>
      <c r="G14" s="21" t="s">
        <v>31</v>
      </c>
      <c r="I14" s="38"/>
      <c r="J14" s="21" t="s">
        <v>140</v>
      </c>
      <c r="K14" s="23"/>
    </row>
    <row r="15" spans="4:17" x14ac:dyDescent="0.25">
      <c r="D15" t="s">
        <v>141</v>
      </c>
      <c r="E15" s="21" t="s">
        <v>142</v>
      </c>
      <c r="F15" s="23">
        <v>6.8754999999999997</v>
      </c>
      <c r="G15" s="23">
        <v>6.8754999999999997</v>
      </c>
      <c r="I15" s="38"/>
      <c r="J15" s="21" t="s">
        <v>133</v>
      </c>
      <c r="K15" s="20">
        <f>(G15)/(1+(G15)/(PI()*G17*G16))</f>
        <v>2.2550111989264958</v>
      </c>
    </row>
    <row r="16" spans="4:17" x14ac:dyDescent="0.25">
      <c r="E16" s="21" t="s">
        <v>136</v>
      </c>
      <c r="F16" s="23">
        <v>0.8</v>
      </c>
      <c r="G16" s="23">
        <v>0.8</v>
      </c>
      <c r="I16" s="16"/>
    </row>
    <row r="17" spans="3:17" x14ac:dyDescent="0.25">
      <c r="E17" s="21" t="s">
        <v>4</v>
      </c>
      <c r="F17" s="20">
        <f>'Tail Design'!J20</f>
        <v>2.6742916565617758</v>
      </c>
      <c r="G17" s="20">
        <f>'Tail Design'!J22</f>
        <v>1.3351350826744506</v>
      </c>
      <c r="I17" s="16"/>
      <c r="Q17" s="3"/>
    </row>
    <row r="19" spans="3:17" x14ac:dyDescent="0.25">
      <c r="I19" s="3"/>
      <c r="J19" s="3"/>
      <c r="K19" s="3"/>
      <c r="L19" s="3"/>
      <c r="M19" s="3"/>
      <c r="N19" s="3"/>
      <c r="O19" s="3"/>
      <c r="P19" s="3"/>
    </row>
    <row r="20" spans="3:17" x14ac:dyDescent="0.25"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</row>
    <row r="21" spans="3:17" x14ac:dyDescent="0.25">
      <c r="C21" s="21" t="s">
        <v>143</v>
      </c>
      <c r="D21" s="23"/>
      <c r="E21" s="3"/>
      <c r="F21" s="3"/>
      <c r="G21" s="3"/>
      <c r="H21" s="3"/>
      <c r="I21" s="3"/>
      <c r="J21" s="33"/>
      <c r="K21" s="33"/>
      <c r="L21" s="3"/>
      <c r="M21" s="3"/>
      <c r="N21" s="3"/>
      <c r="O21" s="3"/>
      <c r="P21" s="3"/>
    </row>
    <row r="22" spans="3:17" x14ac:dyDescent="0.25">
      <c r="C22" s="21" t="s">
        <v>144</v>
      </c>
      <c r="D22" s="20">
        <f>'Dados Atualizados'!C8</f>
        <v>1.45</v>
      </c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</row>
    <row r="23" spans="3:17" x14ac:dyDescent="0.25">
      <c r="C23" s="21" t="s">
        <v>145</v>
      </c>
      <c r="D23" s="20">
        <f>O4*O2/(O3*D22)</f>
        <v>0.66499999999999981</v>
      </c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3"/>
    </row>
    <row r="24" spans="3:17" x14ac:dyDescent="0.25">
      <c r="C24" s="21" t="s">
        <v>146</v>
      </c>
      <c r="D24" s="23">
        <v>0.95</v>
      </c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</row>
    <row r="25" spans="3:17" x14ac:dyDescent="0.25">
      <c r="C25" s="21" t="s">
        <v>147</v>
      </c>
      <c r="D25" s="23">
        <v>0.25</v>
      </c>
      <c r="I25" s="3"/>
      <c r="J25" s="3"/>
      <c r="K25" s="3"/>
      <c r="L25" s="3"/>
      <c r="M25" s="3"/>
      <c r="N25" s="3"/>
      <c r="O25" s="3"/>
      <c r="P25" s="3"/>
    </row>
    <row r="26" spans="3:17" x14ac:dyDescent="0.25">
      <c r="C26" s="21" t="s">
        <v>148</v>
      </c>
      <c r="D26" s="23">
        <v>1.6</v>
      </c>
      <c r="I26" s="3"/>
      <c r="J26" s="3"/>
      <c r="K26" s="3"/>
      <c r="L26" s="3"/>
      <c r="M26" s="3"/>
      <c r="N26" s="3"/>
      <c r="O26" s="3"/>
      <c r="P26" s="3"/>
    </row>
    <row r="27" spans="3:17" x14ac:dyDescent="0.25">
      <c r="C27" s="21"/>
      <c r="D27" s="23"/>
      <c r="I27" s="3"/>
      <c r="J27" s="3"/>
      <c r="K27" s="3"/>
      <c r="L27" s="3"/>
      <c r="M27" s="3"/>
      <c r="N27" s="3"/>
      <c r="O27" s="3"/>
      <c r="P27" s="3"/>
    </row>
    <row r="28" spans="3:17" x14ac:dyDescent="0.25">
      <c r="C28" s="21" t="s">
        <v>149</v>
      </c>
      <c r="D28" s="20">
        <f>'Dados Atualizados'!C12*D29*PI()*(D30^2)</f>
        <v>337.05960749849788</v>
      </c>
      <c r="E28" t="s">
        <v>150</v>
      </c>
      <c r="F28" s="21" t="s">
        <v>151</v>
      </c>
      <c r="G28" s="20">
        <f>'Dados Atualizados'!K13/('Dados Atualizados'!C7/2)</f>
        <v>0.83090984628167841</v>
      </c>
      <c r="I28" s="3"/>
      <c r="J28" s="3"/>
      <c r="K28" s="3"/>
      <c r="L28" s="3"/>
      <c r="M28" s="3"/>
      <c r="N28" s="3"/>
      <c r="O28" s="3"/>
      <c r="P28" s="3"/>
    </row>
    <row r="29" spans="3:17" x14ac:dyDescent="0.25">
      <c r="C29" s="21" t="s">
        <v>152</v>
      </c>
      <c r="D29" s="20">
        <f>'Dados Atualizados'!C15</f>
        <v>1.0555825000000001</v>
      </c>
      <c r="E29" t="s">
        <v>51</v>
      </c>
      <c r="F29" t="s">
        <v>153</v>
      </c>
      <c r="I29" s="3"/>
      <c r="J29" s="3"/>
      <c r="K29" s="3"/>
      <c r="L29" s="3"/>
      <c r="M29" s="3"/>
      <c r="N29" s="3"/>
      <c r="O29" s="3"/>
      <c r="P29" s="3"/>
    </row>
    <row r="30" spans="3:17" x14ac:dyDescent="0.25">
      <c r="C30" s="21" t="s">
        <v>154</v>
      </c>
      <c r="D30" s="23">
        <v>1.1000000000000001</v>
      </c>
      <c r="E30" t="s">
        <v>20</v>
      </c>
      <c r="I30" s="3"/>
      <c r="J30" s="3"/>
      <c r="K30" s="3"/>
      <c r="L30" s="3"/>
      <c r="M30" s="3"/>
      <c r="N30" s="3"/>
      <c r="O30" s="3"/>
      <c r="P30" s="3"/>
    </row>
    <row r="33" spans="3:14" x14ac:dyDescent="0.25">
      <c r="F33" t="s">
        <v>155</v>
      </c>
      <c r="G33" s="20">
        <f>'Dados Atualizados'!K13</f>
        <v>5</v>
      </c>
      <c r="H33" t="s">
        <v>156</v>
      </c>
      <c r="N33">
        <f>K11/D22-K13*(1-D25)*O2*D24/(O3*D22)</f>
        <v>2.7779114487009426</v>
      </c>
    </row>
    <row r="34" spans="3:14" x14ac:dyDescent="0.25">
      <c r="F34" t="s">
        <v>134</v>
      </c>
      <c r="G34" s="20">
        <f>CG_Position!J8</f>
        <v>4.8</v>
      </c>
      <c r="H34" t="s">
        <v>157</v>
      </c>
    </row>
    <row r="36" spans="3:14" x14ac:dyDescent="0.25">
      <c r="J36">
        <f>K13*(1-D25)*G33*O2*D24/(D22*O3)</f>
        <v>1.6103675819429493</v>
      </c>
    </row>
    <row r="38" spans="3:14" x14ac:dyDescent="0.25">
      <c r="C38" s="22"/>
      <c r="D38" s="22" t="s">
        <v>158</v>
      </c>
      <c r="E38" s="22"/>
      <c r="F38" s="22"/>
      <c r="G38" s="22" t="s">
        <v>159</v>
      </c>
      <c r="H38" s="22">
        <f>J36/N33</f>
        <v>0.57970443323383058</v>
      </c>
      <c r="I38" s="22"/>
    </row>
    <row r="39" spans="3:14" x14ac:dyDescent="0.25">
      <c r="C39" s="22"/>
      <c r="D39" s="22">
        <f>$G$34-$H$38</f>
        <v>4.2202955667661692</v>
      </c>
      <c r="E39" s="22"/>
      <c r="F39" s="22"/>
      <c r="G39" s="22"/>
      <c r="H39" s="22"/>
      <c r="I39" s="22"/>
    </row>
    <row r="40" spans="3:14" x14ac:dyDescent="0.25">
      <c r="C40" s="22"/>
      <c r="D40" s="22"/>
      <c r="E40" s="22"/>
      <c r="F40" s="22"/>
      <c r="G40" s="22"/>
      <c r="H40" s="22"/>
      <c r="I40" s="22"/>
    </row>
    <row r="41" spans="3:14" x14ac:dyDescent="0.25">
      <c r="C41" s="22" t="s">
        <v>160</v>
      </c>
      <c r="D41" s="22">
        <f>-0.1*D22 + D39</f>
        <v>4.0752955667661697</v>
      </c>
      <c r="E41" s="22"/>
      <c r="F41" s="22"/>
      <c r="G41" s="22"/>
      <c r="H41" s="22"/>
      <c r="I41" s="22"/>
    </row>
    <row r="42" spans="3:14" x14ac:dyDescent="0.25">
      <c r="C42" s="22"/>
      <c r="D42" s="22"/>
      <c r="E42" s="22"/>
      <c r="F42" s="22"/>
      <c r="G42" s="22"/>
      <c r="H42" s="22"/>
      <c r="I42" s="22"/>
    </row>
    <row r="43" spans="3:14" x14ac:dyDescent="0.25">
      <c r="C43" s="22"/>
      <c r="D43" s="22"/>
      <c r="E43" s="22"/>
      <c r="F43" s="22"/>
      <c r="G43" s="22"/>
      <c r="H43" s="22"/>
      <c r="I43" s="22"/>
      <c r="L43" t="s">
        <v>161</v>
      </c>
      <c r="M43" s="20">
        <f>4.8-D41+G33</f>
        <v>5.7247044332338302</v>
      </c>
    </row>
    <row r="44" spans="3:14" x14ac:dyDescent="0.25">
      <c r="C44" s="22"/>
      <c r="D44" s="22"/>
      <c r="E44" s="22"/>
      <c r="F44" s="22"/>
      <c r="G44" s="22"/>
      <c r="H44" s="22"/>
      <c r="I44" s="22"/>
    </row>
    <row r="45" spans="3:14" x14ac:dyDescent="0.25">
      <c r="C45" s="22"/>
      <c r="D45" s="22" t="s">
        <v>162</v>
      </c>
      <c r="E45" s="22">
        <f>5-D41</f>
        <v>0.92470443323383034</v>
      </c>
      <c r="F45" s="22"/>
      <c r="G45" s="22"/>
      <c r="H45" s="22"/>
      <c r="I45" s="22"/>
    </row>
    <row r="46" spans="3:14" x14ac:dyDescent="0.25">
      <c r="C46" s="22"/>
      <c r="D46" s="22"/>
      <c r="E46" s="22"/>
      <c r="F46" s="22"/>
      <c r="G46" s="22"/>
      <c r="H46" s="22"/>
      <c r="I46" s="22"/>
    </row>
    <row r="47" spans="3:14" x14ac:dyDescent="0.25">
      <c r="C47" s="22"/>
      <c r="D47" s="22"/>
      <c r="E47" s="22"/>
      <c r="F47" s="22"/>
      <c r="G47" s="22"/>
      <c r="H47" s="22"/>
      <c r="I47" s="22"/>
    </row>
    <row r="48" spans="3:14" x14ac:dyDescent="0.25">
      <c r="C48" s="22"/>
      <c r="D48" s="22"/>
      <c r="E48" s="22"/>
      <c r="F48" s="22"/>
      <c r="G48" s="22"/>
      <c r="H48" s="22"/>
      <c r="I48" s="22"/>
    </row>
    <row r="49" spans="2:10" x14ac:dyDescent="0.25">
      <c r="C49" s="22"/>
      <c r="D49" s="22"/>
      <c r="E49" s="22"/>
      <c r="F49" s="22"/>
      <c r="G49" s="22"/>
      <c r="H49" s="22"/>
      <c r="I49" s="22"/>
    </row>
    <row r="50" spans="2:10" x14ac:dyDescent="0.25">
      <c r="C50" s="22"/>
      <c r="D50" s="22"/>
      <c r="E50" s="22" t="s">
        <v>163</v>
      </c>
      <c r="F50" s="22">
        <f>-(E45/D22*K11 - K13*(1-D25)*(G34+E45)*O2*D24/(D22*O3))</f>
        <v>-1.0227941530795428</v>
      </c>
      <c r="G50" s="22"/>
      <c r="H50" s="22"/>
      <c r="I50" s="22"/>
    </row>
    <row r="51" spans="2:10" x14ac:dyDescent="0.25">
      <c r="B51" s="3"/>
      <c r="C51" s="3"/>
      <c r="D51" s="3"/>
      <c r="E51" s="3"/>
      <c r="F51" s="3"/>
      <c r="G51" s="3"/>
      <c r="H51" s="3"/>
      <c r="I51" s="3"/>
      <c r="J51" s="3"/>
    </row>
    <row r="52" spans="2:10" x14ac:dyDescent="0.25">
      <c r="B52" s="3"/>
      <c r="C52" s="3"/>
      <c r="D52" s="3"/>
      <c r="E52" s="3"/>
      <c r="F52" s="3"/>
      <c r="G52" s="3"/>
      <c r="H52" s="3"/>
      <c r="I52" s="3"/>
      <c r="J52" s="3"/>
    </row>
    <row r="53" spans="2:10" x14ac:dyDescent="0.25">
      <c r="B53" s="3"/>
      <c r="C53" s="3"/>
      <c r="D53" s="3"/>
      <c r="E53" s="3"/>
      <c r="F53" s="3"/>
      <c r="G53" s="3"/>
      <c r="H53" s="3"/>
      <c r="I53" s="3"/>
      <c r="J53" s="3"/>
    </row>
    <row r="54" spans="2:10" x14ac:dyDescent="0.25">
      <c r="B54" s="3"/>
      <c r="C54" s="3"/>
      <c r="D54" s="3"/>
      <c r="E54" s="3"/>
      <c r="F54" s="3"/>
      <c r="G54" s="3"/>
      <c r="H54" s="3"/>
      <c r="I54" s="3"/>
      <c r="J54" s="3"/>
    </row>
    <row r="55" spans="2:10" x14ac:dyDescent="0.25">
      <c r="B55" s="3"/>
      <c r="C55" s="3"/>
      <c r="D55" s="3"/>
      <c r="E55" s="3"/>
      <c r="F55" s="3"/>
      <c r="G55" s="3"/>
      <c r="H55" s="3"/>
      <c r="I55" s="3"/>
      <c r="J55" s="3"/>
    </row>
    <row r="56" spans="2:10" x14ac:dyDescent="0.25">
      <c r="B56" s="3"/>
      <c r="C56" s="3"/>
      <c r="D56" s="3"/>
      <c r="E56" s="3"/>
      <c r="F56" s="3"/>
      <c r="G56" s="3"/>
      <c r="H56" s="3"/>
      <c r="I56" s="3"/>
      <c r="J56" s="3"/>
    </row>
  </sheetData>
  <mergeCells count="2">
    <mergeCell ref="I2:I8"/>
    <mergeCell ref="I10:I15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A5C8DA-8E3C-4BD2-B7F6-1A131AAB4C80}">
  <dimension ref="A1:P26"/>
  <sheetViews>
    <sheetView tabSelected="1" workbookViewId="0">
      <selection activeCell="L19" sqref="L19"/>
    </sheetView>
  </sheetViews>
  <sheetFormatPr defaultRowHeight="15" x14ac:dyDescent="0.25"/>
  <sheetData>
    <row r="1" spans="1:12" x14ac:dyDescent="0.25">
      <c r="A1" s="42" t="s">
        <v>0</v>
      </c>
      <c r="B1" s="42"/>
      <c r="C1" s="42"/>
      <c r="D1" s="42"/>
      <c r="E1" s="42"/>
      <c r="F1" s="42"/>
      <c r="G1" s="42"/>
      <c r="H1" s="42"/>
    </row>
    <row r="2" spans="1:12" x14ac:dyDescent="0.25">
      <c r="A2" s="18" t="s">
        <v>38</v>
      </c>
      <c r="B2" s="20">
        <f>'Dados Atualizados'!C12</f>
        <v>84</v>
      </c>
      <c r="C2" t="s">
        <v>39</v>
      </c>
      <c r="D2" s="21" t="s">
        <v>132</v>
      </c>
      <c r="E2" s="20">
        <f>'Dados Atualizados'!C4</f>
        <v>8.3000000000000007</v>
      </c>
      <c r="G2" s="21" t="s">
        <v>103</v>
      </c>
      <c r="H2" s="20">
        <f>SQRT(E2*E6)</f>
        <v>12.035</v>
      </c>
    </row>
    <row r="3" spans="1:12" x14ac:dyDescent="0.25">
      <c r="A3" s="18"/>
      <c r="B3" s="19"/>
      <c r="D3" s="21"/>
      <c r="E3" s="19"/>
      <c r="G3" s="21"/>
      <c r="H3" s="19"/>
    </row>
    <row r="4" spans="1:12" x14ac:dyDescent="0.25">
      <c r="A4" s="18" t="s">
        <v>47</v>
      </c>
      <c r="B4" s="20">
        <f>'Dados Atualizados'!C14</f>
        <v>278.5</v>
      </c>
      <c r="C4" t="s">
        <v>48</v>
      </c>
      <c r="D4" s="21" t="s">
        <v>115</v>
      </c>
      <c r="E4" s="20">
        <f>'Dados Atualizados'!G4</f>
        <v>2282</v>
      </c>
      <c r="F4" t="s">
        <v>6</v>
      </c>
      <c r="G4" s="21"/>
      <c r="H4" s="19"/>
    </row>
    <row r="5" spans="1:12" x14ac:dyDescent="0.25">
      <c r="A5" s="18"/>
      <c r="B5" s="19"/>
      <c r="D5" s="21"/>
      <c r="E5" s="19"/>
      <c r="G5" s="21"/>
      <c r="H5" s="19"/>
    </row>
    <row r="6" spans="1:12" x14ac:dyDescent="0.25">
      <c r="A6" s="18" t="s">
        <v>53</v>
      </c>
      <c r="B6" s="20">
        <f>SQRT(1.4*B4*287.058)</f>
        <v>334.55031639500805</v>
      </c>
      <c r="C6" t="s">
        <v>39</v>
      </c>
      <c r="D6" s="21" t="s">
        <v>164</v>
      </c>
      <c r="E6" s="20">
        <f>'Dados Atualizados'!C6</f>
        <v>17.450749999999999</v>
      </c>
      <c r="F6" t="s">
        <v>8</v>
      </c>
      <c r="G6" s="21" t="s">
        <v>165</v>
      </c>
      <c r="H6" s="20">
        <f>2*H2/(E2*(1+E8))</f>
        <v>1.45</v>
      </c>
    </row>
    <row r="7" spans="1:12" x14ac:dyDescent="0.25">
      <c r="A7" s="18"/>
      <c r="B7" s="19"/>
      <c r="D7" s="21"/>
      <c r="E7" s="19"/>
      <c r="G7" s="21" t="s">
        <v>166</v>
      </c>
      <c r="H7" s="20">
        <f>(H6+H8)/2</f>
        <v>1.4499999999999997</v>
      </c>
    </row>
    <row r="8" spans="1:12" x14ac:dyDescent="0.25">
      <c r="A8" s="18" t="s">
        <v>167</v>
      </c>
      <c r="B8" s="20">
        <f>B2/B6</f>
        <v>0.25108330760273462</v>
      </c>
      <c r="D8" s="21" t="s">
        <v>26</v>
      </c>
      <c r="E8" s="20">
        <f>'Dados Atualizados'!C9</f>
        <v>1</v>
      </c>
      <c r="G8" s="21" t="s">
        <v>168</v>
      </c>
      <c r="H8" s="20">
        <f>(2/3) *H6 * (1+E8+E8^2)/(1+E8)</f>
        <v>1.4499999999999997</v>
      </c>
    </row>
    <row r="9" spans="1:12" x14ac:dyDescent="0.25">
      <c r="D9" s="40" t="s">
        <v>169</v>
      </c>
      <c r="E9" s="40"/>
      <c r="F9" s="40"/>
      <c r="G9" s="40"/>
      <c r="H9" s="40"/>
    </row>
    <row r="11" spans="1:12" x14ac:dyDescent="0.25">
      <c r="A11" s="42" t="s">
        <v>170</v>
      </c>
      <c r="B11" s="42"/>
      <c r="C11" s="42"/>
      <c r="E11" s="42" t="s">
        <v>171</v>
      </c>
      <c r="F11" s="42"/>
      <c r="G11" s="42"/>
    </row>
    <row r="12" spans="1:12" x14ac:dyDescent="0.25">
      <c r="A12" s="17" t="s">
        <v>172</v>
      </c>
      <c r="B12" s="17"/>
      <c r="C12" s="17"/>
    </row>
    <row r="13" spans="1:12" x14ac:dyDescent="0.25">
      <c r="A13" s="39" t="s">
        <v>173</v>
      </c>
      <c r="B13" s="39"/>
      <c r="C13" s="19">
        <v>0.08</v>
      </c>
      <c r="E13" s="41" t="s">
        <v>36</v>
      </c>
      <c r="F13" s="19" t="s">
        <v>174</v>
      </c>
      <c r="G13" s="19">
        <v>10</v>
      </c>
      <c r="I13" s="40" t="s">
        <v>169</v>
      </c>
      <c r="J13" s="40"/>
      <c r="K13" s="40"/>
    </row>
    <row r="14" spans="1:12" x14ac:dyDescent="0.25">
      <c r="A14" s="39" t="s">
        <v>175</v>
      </c>
      <c r="B14" s="39"/>
      <c r="C14" s="19">
        <v>0.7</v>
      </c>
      <c r="E14" s="41"/>
      <c r="F14" s="19" t="s">
        <v>176</v>
      </c>
      <c r="G14" s="19">
        <v>10</v>
      </c>
      <c r="I14" s="41" t="s">
        <v>7</v>
      </c>
      <c r="J14" s="19" t="s">
        <v>176</v>
      </c>
      <c r="K14" s="20">
        <f>C25*H2*E6/G17</f>
        <v>1.6801582099999997</v>
      </c>
      <c r="L14" t="s">
        <v>177</v>
      </c>
    </row>
    <row r="15" spans="1:12" x14ac:dyDescent="0.25">
      <c r="E15" s="41"/>
      <c r="F15" s="19" t="s">
        <v>178</v>
      </c>
      <c r="G15" s="19"/>
      <c r="I15" s="41"/>
      <c r="J15" s="19" t="s">
        <v>174</v>
      </c>
      <c r="K15" s="20">
        <f>C25*H2*E6/G18</f>
        <v>1.6801582099999997</v>
      </c>
    </row>
    <row r="16" spans="1:12" x14ac:dyDescent="0.25">
      <c r="A16" s="17" t="s">
        <v>179</v>
      </c>
      <c r="B16" s="17"/>
      <c r="C16" s="17"/>
      <c r="I16" s="41" t="s">
        <v>15</v>
      </c>
      <c r="J16" s="19" t="s">
        <v>176</v>
      </c>
      <c r="K16" s="20">
        <f>C26*H7*E6/G17</f>
        <v>3.365377137499999</v>
      </c>
    </row>
    <row r="17" spans="1:16" x14ac:dyDescent="0.25">
      <c r="A17" s="39" t="s">
        <v>180</v>
      </c>
      <c r="B17" s="39"/>
      <c r="C17" s="19">
        <v>0.5</v>
      </c>
      <c r="E17" s="41" t="s">
        <v>41</v>
      </c>
      <c r="F17" s="19" t="s">
        <v>174</v>
      </c>
      <c r="G17" s="20">
        <f>G13*C17</f>
        <v>5</v>
      </c>
      <c r="I17" s="41"/>
      <c r="J17" s="19" t="s">
        <v>174</v>
      </c>
      <c r="K17" s="20">
        <f>C26*H7*E6/G18</f>
        <v>3.365377137499999</v>
      </c>
    </row>
    <row r="18" spans="1:16" x14ac:dyDescent="0.25">
      <c r="E18" s="41"/>
      <c r="F18" s="19" t="s">
        <v>176</v>
      </c>
      <c r="G18" s="20">
        <f>G14*C17</f>
        <v>5</v>
      </c>
      <c r="P18" t="s">
        <v>181</v>
      </c>
    </row>
    <row r="19" spans="1:16" x14ac:dyDescent="0.25">
      <c r="I19" s="21" t="s">
        <v>19</v>
      </c>
      <c r="J19" s="19">
        <v>3</v>
      </c>
      <c r="K19" t="s">
        <v>20</v>
      </c>
    </row>
    <row r="20" spans="1:16" x14ac:dyDescent="0.25">
      <c r="A20" s="35" t="s">
        <v>182</v>
      </c>
      <c r="B20" s="35"/>
      <c r="C20" s="35"/>
      <c r="E20" s="41" t="s">
        <v>45</v>
      </c>
      <c r="F20" s="19" t="s">
        <v>174</v>
      </c>
      <c r="G20" s="20">
        <f>G13*C17</f>
        <v>5</v>
      </c>
      <c r="I20" s="21" t="s">
        <v>24</v>
      </c>
      <c r="J20" s="20">
        <f>J19/J21</f>
        <v>2.6742916565617758</v>
      </c>
      <c r="K20" s="3"/>
    </row>
    <row r="21" spans="1:16" x14ac:dyDescent="0.25">
      <c r="A21" s="39" t="s">
        <v>183</v>
      </c>
      <c r="B21" s="39"/>
      <c r="C21" s="19">
        <v>0.5</v>
      </c>
      <c r="E21" s="41"/>
      <c r="F21" s="19" t="s">
        <v>176</v>
      </c>
      <c r="G21" s="20">
        <f>G14*C17</f>
        <v>5</v>
      </c>
      <c r="I21" s="21" t="s">
        <v>28</v>
      </c>
      <c r="J21" s="20">
        <f>K16/J19</f>
        <v>1.1217923791666664</v>
      </c>
      <c r="K21" t="s">
        <v>20</v>
      </c>
    </row>
    <row r="22" spans="1:16" x14ac:dyDescent="0.25">
      <c r="A22" s="39" t="s">
        <v>184</v>
      </c>
      <c r="B22" s="39"/>
      <c r="C22" s="19">
        <v>0.95</v>
      </c>
      <c r="I22" s="21" t="s">
        <v>185</v>
      </c>
      <c r="J22" s="20">
        <f>K14/J21^2</f>
        <v>1.3351350826744506</v>
      </c>
    </row>
    <row r="23" spans="1:16" x14ac:dyDescent="0.25">
      <c r="I23" s="21" t="s">
        <v>186</v>
      </c>
      <c r="J23" s="20">
        <f>J22*J21</f>
        <v>1.4977443609022558</v>
      </c>
    </row>
    <row r="24" spans="1:16" x14ac:dyDescent="0.25">
      <c r="A24" s="35" t="s">
        <v>187</v>
      </c>
      <c r="B24" s="35"/>
      <c r="C24" s="35"/>
    </row>
    <row r="25" spans="1:16" x14ac:dyDescent="0.25">
      <c r="A25" s="39" t="s">
        <v>173</v>
      </c>
      <c r="B25" s="39"/>
      <c r="C25" s="20">
        <f>C13*C21</f>
        <v>0.04</v>
      </c>
    </row>
    <row r="26" spans="1:16" x14ac:dyDescent="0.25">
      <c r="A26" s="39" t="s">
        <v>175</v>
      </c>
      <c r="B26" s="39"/>
      <c r="C26" s="20">
        <f>C14*C22</f>
        <v>0.66499999999999992</v>
      </c>
    </row>
  </sheetData>
  <mergeCells count="19">
    <mergeCell ref="A1:H1"/>
    <mergeCell ref="D9:H9"/>
    <mergeCell ref="A11:C11"/>
    <mergeCell ref="E11:G11"/>
    <mergeCell ref="A13:B13"/>
    <mergeCell ref="A25:B25"/>
    <mergeCell ref="A26:B26"/>
    <mergeCell ref="A20:C20"/>
    <mergeCell ref="I13:K13"/>
    <mergeCell ref="E17:E18"/>
    <mergeCell ref="E20:E21"/>
    <mergeCell ref="I14:I15"/>
    <mergeCell ref="I16:I17"/>
    <mergeCell ref="E13:E15"/>
    <mergeCell ref="A17:B17"/>
    <mergeCell ref="A21:B21"/>
    <mergeCell ref="A22:B22"/>
    <mergeCell ref="A24:C24"/>
    <mergeCell ref="A14:B1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557FE2-7942-402B-81A6-7DC690FAAC11}">
  <dimension ref="A1:AL23"/>
  <sheetViews>
    <sheetView workbookViewId="0">
      <pane xSplit="1" topLeftCell="B1" activePane="topRight" state="frozen"/>
      <selection pane="topRight" activeCell="AA11" sqref="AA11"/>
    </sheetView>
  </sheetViews>
  <sheetFormatPr defaultRowHeight="15" x14ac:dyDescent="0.25"/>
  <cols>
    <col min="1" max="1" width="22.7109375" customWidth="1"/>
  </cols>
  <sheetData>
    <row r="1" spans="1:38" x14ac:dyDescent="0.25">
      <c r="A1" t="s">
        <v>188</v>
      </c>
      <c r="B1" s="2" t="s">
        <v>189</v>
      </c>
      <c r="C1" s="3"/>
      <c r="D1" t="s">
        <v>190</v>
      </c>
      <c r="E1" t="s">
        <v>191</v>
      </c>
      <c r="F1" t="s">
        <v>192</v>
      </c>
      <c r="H1" t="s">
        <v>190</v>
      </c>
      <c r="I1" t="s">
        <v>191</v>
      </c>
      <c r="J1" t="s">
        <v>192</v>
      </c>
      <c r="L1" t="s">
        <v>190</v>
      </c>
      <c r="M1" t="s">
        <v>191</v>
      </c>
      <c r="N1" t="s">
        <v>192</v>
      </c>
      <c r="P1" t="s">
        <v>190</v>
      </c>
      <c r="Q1" t="s">
        <v>191</v>
      </c>
      <c r="R1" t="s">
        <v>192</v>
      </c>
      <c r="T1" t="s">
        <v>190</v>
      </c>
      <c r="U1" t="s">
        <v>191</v>
      </c>
      <c r="V1" t="s">
        <v>192</v>
      </c>
      <c r="X1" t="s">
        <v>190</v>
      </c>
      <c r="Y1" t="s">
        <v>191</v>
      </c>
      <c r="Z1" t="s">
        <v>192</v>
      </c>
      <c r="AB1" t="s">
        <v>190</v>
      </c>
      <c r="AC1" t="s">
        <v>191</v>
      </c>
      <c r="AD1" t="s">
        <v>192</v>
      </c>
      <c r="AF1" t="s">
        <v>190</v>
      </c>
      <c r="AG1" t="s">
        <v>191</v>
      </c>
      <c r="AH1" t="s">
        <v>192</v>
      </c>
      <c r="AJ1" t="s">
        <v>190</v>
      </c>
      <c r="AK1" t="s">
        <v>191</v>
      </c>
      <c r="AL1" t="s">
        <v>192</v>
      </c>
    </row>
    <row r="2" spans="1:38" x14ac:dyDescent="0.25">
      <c r="A2" t="s">
        <v>4</v>
      </c>
      <c r="B2" s="2">
        <v>8</v>
      </c>
      <c r="C2" s="3"/>
      <c r="D2" s="4">
        <v>6</v>
      </c>
      <c r="E2" s="4">
        <v>7</v>
      </c>
      <c r="F2" s="4">
        <v>9</v>
      </c>
      <c r="H2">
        <v>8</v>
      </c>
      <c r="I2">
        <v>8</v>
      </c>
      <c r="J2">
        <v>8</v>
      </c>
      <c r="L2">
        <v>8</v>
      </c>
      <c r="M2">
        <v>8</v>
      </c>
      <c r="N2">
        <v>8</v>
      </c>
      <c r="P2">
        <v>8</v>
      </c>
      <c r="Q2">
        <v>8</v>
      </c>
      <c r="R2">
        <v>8</v>
      </c>
      <c r="T2">
        <v>8</v>
      </c>
      <c r="U2">
        <v>8</v>
      </c>
      <c r="V2">
        <v>8</v>
      </c>
      <c r="X2">
        <v>8</v>
      </c>
      <c r="Y2">
        <v>8</v>
      </c>
      <c r="Z2">
        <v>8</v>
      </c>
      <c r="AB2">
        <v>8</v>
      </c>
      <c r="AC2">
        <v>8</v>
      </c>
      <c r="AD2">
        <v>8</v>
      </c>
      <c r="AF2">
        <v>8</v>
      </c>
      <c r="AG2">
        <v>8</v>
      </c>
      <c r="AH2">
        <v>8</v>
      </c>
      <c r="AJ2">
        <v>8</v>
      </c>
      <c r="AK2">
        <v>8</v>
      </c>
      <c r="AL2">
        <v>8</v>
      </c>
    </row>
    <row r="3" spans="1:38" x14ac:dyDescent="0.25">
      <c r="A3" t="s">
        <v>193</v>
      </c>
      <c r="B3" s="2">
        <v>75</v>
      </c>
      <c r="C3" s="3"/>
      <c r="D3">
        <v>75</v>
      </c>
      <c r="E3">
        <v>75</v>
      </c>
      <c r="F3">
        <v>75</v>
      </c>
      <c r="H3" s="9">
        <v>60</v>
      </c>
      <c r="I3" s="9">
        <v>80</v>
      </c>
      <c r="J3" s="9">
        <v>100</v>
      </c>
      <c r="L3">
        <v>75</v>
      </c>
      <c r="M3">
        <v>75</v>
      </c>
      <c r="N3">
        <v>75</v>
      </c>
      <c r="P3">
        <v>75</v>
      </c>
      <c r="Q3">
        <v>75</v>
      </c>
      <c r="R3">
        <v>75</v>
      </c>
      <c r="T3">
        <v>75</v>
      </c>
      <c r="U3">
        <v>75</v>
      </c>
      <c r="V3">
        <v>75</v>
      </c>
      <c r="X3">
        <v>75</v>
      </c>
      <c r="Y3">
        <v>75</v>
      </c>
      <c r="Z3">
        <v>75</v>
      </c>
      <c r="AB3">
        <v>75</v>
      </c>
      <c r="AC3">
        <v>75</v>
      </c>
      <c r="AD3">
        <v>75</v>
      </c>
      <c r="AF3">
        <v>75</v>
      </c>
      <c r="AG3">
        <v>75</v>
      </c>
      <c r="AH3">
        <v>75</v>
      </c>
      <c r="AJ3">
        <v>75</v>
      </c>
      <c r="AK3">
        <v>75</v>
      </c>
      <c r="AL3">
        <v>75</v>
      </c>
    </row>
    <row r="4" spans="1:38" x14ac:dyDescent="0.25">
      <c r="A4" t="s">
        <v>194</v>
      </c>
      <c r="B4" s="2">
        <v>8</v>
      </c>
      <c r="C4" s="3"/>
      <c r="D4">
        <v>8</v>
      </c>
      <c r="E4">
        <v>8</v>
      </c>
      <c r="F4">
        <v>8</v>
      </c>
      <c r="H4">
        <v>8</v>
      </c>
      <c r="I4">
        <v>8</v>
      </c>
      <c r="J4">
        <v>8</v>
      </c>
      <c r="L4" s="9">
        <v>6</v>
      </c>
      <c r="M4" s="9">
        <v>10</v>
      </c>
      <c r="N4" s="9">
        <v>12</v>
      </c>
      <c r="P4">
        <v>8</v>
      </c>
      <c r="Q4">
        <v>8</v>
      </c>
      <c r="R4">
        <v>8</v>
      </c>
      <c r="T4">
        <v>8</v>
      </c>
      <c r="U4">
        <v>8</v>
      </c>
      <c r="V4">
        <v>8</v>
      </c>
      <c r="X4">
        <v>8</v>
      </c>
      <c r="Y4">
        <v>8</v>
      </c>
      <c r="Z4">
        <v>8</v>
      </c>
      <c r="AB4">
        <v>8</v>
      </c>
      <c r="AC4">
        <v>8</v>
      </c>
      <c r="AD4">
        <v>8</v>
      </c>
      <c r="AF4">
        <v>8</v>
      </c>
      <c r="AG4">
        <v>8</v>
      </c>
      <c r="AH4">
        <v>8</v>
      </c>
      <c r="AJ4">
        <v>8</v>
      </c>
      <c r="AK4">
        <v>8</v>
      </c>
      <c r="AL4">
        <v>8</v>
      </c>
    </row>
    <row r="5" spans="1:38" x14ac:dyDescent="0.25">
      <c r="A5" t="s">
        <v>195</v>
      </c>
      <c r="B5" s="2">
        <v>4</v>
      </c>
      <c r="C5" s="3"/>
      <c r="D5">
        <v>4</v>
      </c>
      <c r="E5">
        <v>4</v>
      </c>
      <c r="F5">
        <v>4</v>
      </c>
      <c r="H5">
        <v>4</v>
      </c>
      <c r="I5">
        <v>4</v>
      </c>
      <c r="J5">
        <v>4</v>
      </c>
      <c r="L5">
        <v>4</v>
      </c>
      <c r="M5">
        <v>4</v>
      </c>
      <c r="N5">
        <v>4</v>
      </c>
      <c r="P5" s="12">
        <v>3</v>
      </c>
      <c r="Q5" s="12">
        <v>5</v>
      </c>
      <c r="R5" s="12">
        <v>6</v>
      </c>
      <c r="T5">
        <v>4</v>
      </c>
      <c r="U5">
        <v>4</v>
      </c>
      <c r="V5">
        <v>4</v>
      </c>
      <c r="X5">
        <v>4</v>
      </c>
      <c r="Y5">
        <v>4</v>
      </c>
      <c r="Z5">
        <v>4</v>
      </c>
      <c r="AB5">
        <v>4</v>
      </c>
      <c r="AC5">
        <v>4</v>
      </c>
      <c r="AD5">
        <v>4</v>
      </c>
      <c r="AF5">
        <v>4</v>
      </c>
      <c r="AG5">
        <v>4</v>
      </c>
      <c r="AH5">
        <v>4</v>
      </c>
      <c r="AJ5">
        <v>4</v>
      </c>
      <c r="AK5">
        <v>4</v>
      </c>
      <c r="AL5">
        <v>4</v>
      </c>
    </row>
    <row r="6" spans="1:38" x14ac:dyDescent="0.25">
      <c r="A6" t="s">
        <v>196</v>
      </c>
      <c r="B6" s="2">
        <v>-8</v>
      </c>
      <c r="C6" s="3"/>
      <c r="D6">
        <v>-8</v>
      </c>
      <c r="E6">
        <v>-8</v>
      </c>
      <c r="F6">
        <v>-8</v>
      </c>
      <c r="H6">
        <v>-8</v>
      </c>
      <c r="I6">
        <v>-8</v>
      </c>
      <c r="J6">
        <v>-8</v>
      </c>
      <c r="L6">
        <v>-8</v>
      </c>
      <c r="M6">
        <v>-8</v>
      </c>
      <c r="N6">
        <v>-8</v>
      </c>
      <c r="P6">
        <v>-8</v>
      </c>
      <c r="Q6">
        <v>-8</v>
      </c>
      <c r="R6">
        <v>-8</v>
      </c>
      <c r="T6" s="12">
        <v>-12</v>
      </c>
      <c r="U6" s="12">
        <v>-10</v>
      </c>
      <c r="V6" s="12">
        <v>-6</v>
      </c>
      <c r="X6">
        <v>-8</v>
      </c>
      <c r="Y6">
        <v>-8</v>
      </c>
      <c r="Z6">
        <v>-8</v>
      </c>
      <c r="AB6">
        <v>-8</v>
      </c>
      <c r="AC6">
        <v>-8</v>
      </c>
      <c r="AD6">
        <v>-8</v>
      </c>
      <c r="AF6">
        <v>-8</v>
      </c>
      <c r="AG6">
        <v>-8</v>
      </c>
      <c r="AH6">
        <v>-8</v>
      </c>
      <c r="AJ6">
        <v>-8</v>
      </c>
      <c r="AK6">
        <v>-8</v>
      </c>
      <c r="AL6">
        <v>-8</v>
      </c>
    </row>
    <row r="7" spans="1:38" x14ac:dyDescent="0.25">
      <c r="A7" t="s">
        <v>197</v>
      </c>
      <c r="B7" s="2">
        <v>-5</v>
      </c>
      <c r="C7" s="3"/>
      <c r="D7">
        <v>-5</v>
      </c>
      <c r="E7">
        <v>-5</v>
      </c>
      <c r="F7">
        <v>-5</v>
      </c>
      <c r="H7">
        <v>-5</v>
      </c>
      <c r="I7">
        <v>-5</v>
      </c>
      <c r="J7">
        <v>-5</v>
      </c>
      <c r="L7">
        <v>-5</v>
      </c>
      <c r="M7">
        <v>-5</v>
      </c>
      <c r="N7">
        <v>-5</v>
      </c>
      <c r="P7">
        <v>-5</v>
      </c>
      <c r="Q7">
        <v>-5</v>
      </c>
      <c r="R7">
        <v>-5</v>
      </c>
      <c r="T7">
        <v>-5</v>
      </c>
      <c r="U7">
        <v>-5</v>
      </c>
      <c r="V7">
        <v>-5</v>
      </c>
      <c r="X7" s="12">
        <v>-7</v>
      </c>
      <c r="Y7" s="12">
        <v>-6</v>
      </c>
      <c r="Z7" s="12">
        <v>-4</v>
      </c>
      <c r="AB7">
        <v>-5</v>
      </c>
      <c r="AC7">
        <v>-5</v>
      </c>
      <c r="AD7">
        <v>-5</v>
      </c>
      <c r="AF7">
        <v>-5</v>
      </c>
      <c r="AG7">
        <v>-5</v>
      </c>
      <c r="AH7">
        <v>-5</v>
      </c>
      <c r="AJ7">
        <v>-5</v>
      </c>
      <c r="AK7">
        <v>-5</v>
      </c>
      <c r="AL7">
        <v>-5</v>
      </c>
    </row>
    <row r="8" spans="1:38" x14ac:dyDescent="0.25">
      <c r="A8" t="s">
        <v>57</v>
      </c>
      <c r="B8" s="2">
        <v>500</v>
      </c>
      <c r="C8" s="3"/>
      <c r="D8">
        <v>500</v>
      </c>
      <c r="E8">
        <v>500</v>
      </c>
      <c r="F8">
        <v>500</v>
      </c>
      <c r="H8">
        <v>500</v>
      </c>
      <c r="I8">
        <v>500</v>
      </c>
      <c r="J8">
        <v>500</v>
      </c>
      <c r="L8">
        <v>500</v>
      </c>
      <c r="M8">
        <v>500</v>
      </c>
      <c r="N8">
        <v>500</v>
      </c>
      <c r="P8">
        <v>500</v>
      </c>
      <c r="Q8">
        <v>500</v>
      </c>
      <c r="R8">
        <v>500</v>
      </c>
      <c r="T8">
        <v>500</v>
      </c>
      <c r="U8">
        <v>500</v>
      </c>
      <c r="V8">
        <v>500</v>
      </c>
      <c r="X8">
        <v>500</v>
      </c>
      <c r="Y8">
        <v>500</v>
      </c>
      <c r="Z8">
        <v>500</v>
      </c>
      <c r="AB8" s="12">
        <v>400</v>
      </c>
      <c r="AC8" s="12">
        <v>600</v>
      </c>
      <c r="AD8" s="12">
        <v>700</v>
      </c>
      <c r="AF8">
        <v>500</v>
      </c>
      <c r="AG8">
        <v>500</v>
      </c>
      <c r="AH8">
        <v>500</v>
      </c>
      <c r="AJ8">
        <v>500</v>
      </c>
      <c r="AK8">
        <v>500</v>
      </c>
      <c r="AL8">
        <v>500</v>
      </c>
    </row>
    <row r="9" spans="1:38" x14ac:dyDescent="0.25">
      <c r="A9" t="s">
        <v>198</v>
      </c>
      <c r="B9" s="2" t="s">
        <v>199</v>
      </c>
      <c r="C9" s="3"/>
      <c r="D9" t="s">
        <v>199</v>
      </c>
      <c r="E9" t="s">
        <v>199</v>
      </c>
      <c r="F9" t="s">
        <v>199</v>
      </c>
      <c r="H9" t="s">
        <v>199</v>
      </c>
      <c r="I9" t="s">
        <v>199</v>
      </c>
      <c r="J9" t="s">
        <v>199</v>
      </c>
      <c r="L9" t="s">
        <v>199</v>
      </c>
      <c r="M9" t="s">
        <v>199</v>
      </c>
      <c r="N9" t="s">
        <v>199</v>
      </c>
      <c r="P9" t="s">
        <v>199</v>
      </c>
      <c r="Q9" t="s">
        <v>199</v>
      </c>
      <c r="R9" t="s">
        <v>199</v>
      </c>
      <c r="T9" t="s">
        <v>199</v>
      </c>
      <c r="U9" t="s">
        <v>199</v>
      </c>
      <c r="V9" t="s">
        <v>199</v>
      </c>
      <c r="X9" t="s">
        <v>199</v>
      </c>
      <c r="Y9" t="s">
        <v>199</v>
      </c>
      <c r="Z9" t="s">
        <v>199</v>
      </c>
      <c r="AB9" t="s">
        <v>199</v>
      </c>
      <c r="AC9" t="s">
        <v>199</v>
      </c>
      <c r="AD9" t="s">
        <v>199</v>
      </c>
      <c r="AF9" s="12" t="s">
        <v>200</v>
      </c>
      <c r="AG9" s="12" t="s">
        <v>201</v>
      </c>
      <c r="AH9" s="12" t="s">
        <v>202</v>
      </c>
      <c r="AJ9" t="s">
        <v>199</v>
      </c>
      <c r="AK9" t="s">
        <v>199</v>
      </c>
      <c r="AL9" t="s">
        <v>199</v>
      </c>
    </row>
    <row r="10" spans="1:38" x14ac:dyDescent="0.25">
      <c r="A10" t="s">
        <v>203</v>
      </c>
      <c r="B10" s="2">
        <v>300</v>
      </c>
      <c r="C10" s="3"/>
      <c r="D10">
        <v>300</v>
      </c>
      <c r="E10">
        <v>300</v>
      </c>
      <c r="F10">
        <v>300</v>
      </c>
      <c r="H10">
        <v>300</v>
      </c>
      <c r="I10">
        <v>300</v>
      </c>
      <c r="J10">
        <v>300</v>
      </c>
      <c r="L10">
        <v>300</v>
      </c>
      <c r="M10">
        <v>300</v>
      </c>
      <c r="N10">
        <v>300</v>
      </c>
      <c r="P10">
        <v>300</v>
      </c>
      <c r="Q10">
        <v>300</v>
      </c>
      <c r="R10">
        <v>300</v>
      </c>
      <c r="T10">
        <v>300</v>
      </c>
      <c r="U10">
        <v>300</v>
      </c>
      <c r="V10">
        <v>300</v>
      </c>
      <c r="X10">
        <v>300</v>
      </c>
      <c r="Y10">
        <v>300</v>
      </c>
      <c r="Z10">
        <v>300</v>
      </c>
      <c r="AB10">
        <v>300</v>
      </c>
      <c r="AC10">
        <v>300</v>
      </c>
      <c r="AD10">
        <v>300</v>
      </c>
      <c r="AF10">
        <v>300</v>
      </c>
      <c r="AG10">
        <v>300</v>
      </c>
      <c r="AH10">
        <v>300</v>
      </c>
      <c r="AJ10" s="12">
        <v>250</v>
      </c>
      <c r="AK10" s="12">
        <v>350</v>
      </c>
      <c r="AL10" s="12">
        <v>400</v>
      </c>
    </row>
    <row r="11" spans="1:38" x14ac:dyDescent="0.25">
      <c r="D11" s="4"/>
      <c r="E11" s="4"/>
      <c r="F11" s="4"/>
      <c r="G11" s="4"/>
      <c r="H11" s="4"/>
      <c r="I11" s="5"/>
      <c r="J11" s="4"/>
      <c r="K11" s="4"/>
      <c r="L11" s="4"/>
      <c r="M11" s="4"/>
      <c r="N11" s="4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8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</row>
    <row r="12" spans="1:38" x14ac:dyDescent="0.25">
      <c r="A12" t="s">
        <v>204</v>
      </c>
      <c r="B12" t="s">
        <v>205</v>
      </c>
      <c r="D12" t="s">
        <v>206</v>
      </c>
      <c r="E12" t="s">
        <v>206</v>
      </c>
      <c r="F12" t="s">
        <v>205</v>
      </c>
      <c r="H12" t="s">
        <v>205</v>
      </c>
      <c r="I12" t="s">
        <v>206</v>
      </c>
      <c r="J12" t="s">
        <v>206</v>
      </c>
      <c r="L12" t="s">
        <v>205</v>
      </c>
      <c r="M12" t="s">
        <v>205</v>
      </c>
      <c r="N12" t="s">
        <v>205</v>
      </c>
      <c r="P12" t="s">
        <v>205</v>
      </c>
      <c r="Q12" t="s">
        <v>206</v>
      </c>
      <c r="R12" t="s">
        <v>206</v>
      </c>
      <c r="T12" t="s">
        <v>205</v>
      </c>
      <c r="U12" t="s">
        <v>205</v>
      </c>
      <c r="V12" t="s">
        <v>205</v>
      </c>
      <c r="X12" t="s">
        <v>205</v>
      </c>
      <c r="Y12" t="s">
        <v>205</v>
      </c>
      <c r="Z12" t="s">
        <v>205</v>
      </c>
      <c r="AB12" t="s">
        <v>205</v>
      </c>
      <c r="AC12" t="s">
        <v>205</v>
      </c>
      <c r="AD12" t="s">
        <v>206</v>
      </c>
      <c r="AF12" t="s">
        <v>205</v>
      </c>
      <c r="AG12" t="s">
        <v>205</v>
      </c>
      <c r="AH12" t="s">
        <v>205</v>
      </c>
      <c r="AJ12" t="s">
        <v>205</v>
      </c>
      <c r="AK12" t="s">
        <v>205</v>
      </c>
      <c r="AL12" t="s">
        <v>205</v>
      </c>
    </row>
    <row r="13" spans="1:38" x14ac:dyDescent="0.25">
      <c r="A13" t="s">
        <v>207</v>
      </c>
      <c r="B13">
        <v>8.3489999999999995E-2</v>
      </c>
      <c r="D13">
        <v>8.3489999999999995E-2</v>
      </c>
      <c r="E13">
        <v>8.3489999999999995E-2</v>
      </c>
      <c r="F13">
        <v>8.3489999999999995E-2</v>
      </c>
      <c r="H13">
        <v>8.3489999999999995E-2</v>
      </c>
      <c r="I13">
        <v>8.3489999999999995E-2</v>
      </c>
      <c r="J13">
        <v>8.3489999999999995E-2</v>
      </c>
      <c r="L13">
        <v>8.3769999999999997E-2</v>
      </c>
      <c r="M13">
        <v>8.3330000000000001E-2</v>
      </c>
      <c r="N13">
        <v>8.3220000000000002E-2</v>
      </c>
      <c r="P13">
        <v>8.3489999999999995E-2</v>
      </c>
      <c r="Q13">
        <v>8.3489999999999995E-2</v>
      </c>
      <c r="R13">
        <v>8.3489999999999995E-2</v>
      </c>
      <c r="T13">
        <v>8.3169999999999994E-2</v>
      </c>
      <c r="U13">
        <v>8.3299999999999999E-2</v>
      </c>
      <c r="V13">
        <v>8.3809999999999996E-2</v>
      </c>
      <c r="X13">
        <v>8.3489999999999995E-2</v>
      </c>
      <c r="Y13">
        <v>8.3489999999999995E-2</v>
      </c>
      <c r="Z13">
        <v>8.3489999999999995E-2</v>
      </c>
      <c r="AB13">
        <v>8.0259999999999998E-2</v>
      </c>
      <c r="AC13">
        <v>8.6720000000000005E-2</v>
      </c>
      <c r="AD13">
        <v>8.9950000000000002E-2</v>
      </c>
      <c r="AF13">
        <v>8.3489999999999995E-2</v>
      </c>
      <c r="AG13">
        <v>8.3489999999999995E-2</v>
      </c>
      <c r="AH13">
        <v>8.3500000000000005E-2</v>
      </c>
      <c r="AJ13">
        <v>8.3180000000000004E-2</v>
      </c>
      <c r="AK13">
        <v>8.3799999999999999E-2</v>
      </c>
      <c r="AL13">
        <v>8.412E-2</v>
      </c>
    </row>
    <row r="14" spans="1:38" x14ac:dyDescent="0.25">
      <c r="A14" t="s">
        <v>208</v>
      </c>
      <c r="B14">
        <v>1452</v>
      </c>
      <c r="D14">
        <v>1936</v>
      </c>
      <c r="E14">
        <v>1659</v>
      </c>
      <c r="F14">
        <v>1291</v>
      </c>
      <c r="H14">
        <v>1452</v>
      </c>
      <c r="I14">
        <v>1452</v>
      </c>
      <c r="J14">
        <v>1452</v>
      </c>
      <c r="L14">
        <v>1457</v>
      </c>
      <c r="M14">
        <v>1449</v>
      </c>
      <c r="N14">
        <v>1447</v>
      </c>
      <c r="P14">
        <v>1452</v>
      </c>
      <c r="Q14">
        <v>1452</v>
      </c>
      <c r="R14">
        <v>1452</v>
      </c>
      <c r="T14">
        <v>1446</v>
      </c>
      <c r="U14">
        <v>1448</v>
      </c>
      <c r="V14">
        <v>1457</v>
      </c>
      <c r="X14">
        <v>1452</v>
      </c>
      <c r="Y14">
        <v>1452</v>
      </c>
      <c r="Z14">
        <v>1452</v>
      </c>
      <c r="AB14">
        <v>1396</v>
      </c>
      <c r="AC14">
        <v>1508</v>
      </c>
      <c r="AD14">
        <v>1564</v>
      </c>
      <c r="AF14">
        <v>1452</v>
      </c>
      <c r="AG14">
        <v>1452</v>
      </c>
      <c r="AH14">
        <v>1452</v>
      </c>
      <c r="AJ14">
        <v>1446</v>
      </c>
      <c r="AK14">
        <v>1457</v>
      </c>
      <c r="AL14">
        <v>1463</v>
      </c>
    </row>
    <row r="15" spans="1:38" x14ac:dyDescent="0.25">
      <c r="A15" t="s">
        <v>209</v>
      </c>
      <c r="B15">
        <v>3.1109999999999999E-2</v>
      </c>
      <c r="D15">
        <v>3.1109999999999999E-2</v>
      </c>
      <c r="E15">
        <v>3.1109999999999999E-2</v>
      </c>
      <c r="F15">
        <v>3.1109999999999999E-2</v>
      </c>
      <c r="H15">
        <v>3.1109999999999999E-2</v>
      </c>
      <c r="I15">
        <v>3.1109999999999999E-2</v>
      </c>
      <c r="J15">
        <v>3.1109999999999999E-2</v>
      </c>
      <c r="L15">
        <v>3.1210000000000002E-2</v>
      </c>
      <c r="M15">
        <v>3.1050000000000001E-2</v>
      </c>
      <c r="N15">
        <v>3.0099999999999998E-2</v>
      </c>
      <c r="P15">
        <v>3.1109999999999999E-2</v>
      </c>
      <c r="Q15">
        <v>3.1109999999999999E-2</v>
      </c>
      <c r="R15">
        <v>3.1109999999999999E-2</v>
      </c>
      <c r="T15">
        <v>3.099E-2</v>
      </c>
      <c r="U15">
        <v>3.1040000000000002E-2</v>
      </c>
      <c r="V15">
        <v>3.1230000000000001E-2</v>
      </c>
      <c r="X15">
        <v>3.1109999999999999E-2</v>
      </c>
      <c r="Y15">
        <v>3.1109999999999999E-2</v>
      </c>
      <c r="Z15">
        <v>3.1109999999999999E-2</v>
      </c>
      <c r="AB15">
        <v>2.9909999999999999E-2</v>
      </c>
      <c r="AC15">
        <v>3.2309999999999998E-2</v>
      </c>
      <c r="AD15">
        <v>3.3520000000000001E-2</v>
      </c>
      <c r="AF15">
        <v>3.1109999999999999E-2</v>
      </c>
      <c r="AG15">
        <v>3.1109999999999999E-2</v>
      </c>
      <c r="AH15">
        <v>3.1109999999999999E-2</v>
      </c>
      <c r="AJ15">
        <v>3.1E-2</v>
      </c>
      <c r="AK15">
        <v>3.1230000000000001E-2</v>
      </c>
      <c r="AL15">
        <v>3.134E-2</v>
      </c>
    </row>
    <row r="16" spans="1:38" x14ac:dyDescent="0.25">
      <c r="A16" t="s">
        <v>210</v>
      </c>
      <c r="B16">
        <v>1040</v>
      </c>
      <c r="D16">
        <v>1040</v>
      </c>
      <c r="E16">
        <v>1040</v>
      </c>
      <c r="F16">
        <v>1040</v>
      </c>
      <c r="H16">
        <v>1040</v>
      </c>
      <c r="I16">
        <v>1040</v>
      </c>
      <c r="J16">
        <v>1040</v>
      </c>
      <c r="L16">
        <v>1043</v>
      </c>
      <c r="M16">
        <v>1038</v>
      </c>
      <c r="N16">
        <v>1036</v>
      </c>
      <c r="P16">
        <v>1040</v>
      </c>
      <c r="Q16">
        <v>1040</v>
      </c>
      <c r="R16">
        <v>1040</v>
      </c>
      <c r="T16">
        <v>1036</v>
      </c>
      <c r="U16">
        <v>1037</v>
      </c>
      <c r="V16">
        <v>1044</v>
      </c>
      <c r="X16">
        <v>1040</v>
      </c>
      <c r="Y16">
        <v>1040</v>
      </c>
      <c r="Z16">
        <v>1040</v>
      </c>
      <c r="AB16">
        <v>999.6</v>
      </c>
      <c r="AC16">
        <v>1080</v>
      </c>
      <c r="AD16">
        <v>1120</v>
      </c>
      <c r="AF16">
        <v>1040</v>
      </c>
      <c r="AG16">
        <v>1040</v>
      </c>
      <c r="AH16">
        <v>1040</v>
      </c>
      <c r="AJ16">
        <v>1036</v>
      </c>
      <c r="AK16">
        <v>1044</v>
      </c>
      <c r="AL16">
        <v>1048</v>
      </c>
    </row>
    <row r="17" spans="1:38" x14ac:dyDescent="0.25">
      <c r="A17" t="s">
        <v>115</v>
      </c>
      <c r="B17" s="11">
        <v>2663.8921651526198</v>
      </c>
      <c r="C17" s="11"/>
      <c r="D17" s="11">
        <v>2663.9284124803598</v>
      </c>
      <c r="E17" s="11">
        <v>2663.9284124803598</v>
      </c>
      <c r="F17" s="11">
        <v>2663.9284124803598</v>
      </c>
      <c r="G17" s="11"/>
      <c r="H17" s="11">
        <v>2663.8921651526198</v>
      </c>
      <c r="I17" s="11">
        <v>2663.8921651526198</v>
      </c>
      <c r="J17" s="11">
        <v>2663.8921651526198</v>
      </c>
      <c r="L17" s="11">
        <v>2672.6738753104401</v>
      </c>
      <c r="M17" s="1">
        <v>2658.7009864679499</v>
      </c>
      <c r="N17" s="1">
        <v>2655.2882518430902</v>
      </c>
      <c r="P17" s="11">
        <v>2663.8921651526198</v>
      </c>
      <c r="Q17">
        <v>2663.8921651526198</v>
      </c>
      <c r="R17">
        <v>2663.8921651526198</v>
      </c>
      <c r="T17">
        <v>2653.7589939917798</v>
      </c>
      <c r="U17">
        <v>2657.7658164966101</v>
      </c>
      <c r="V17">
        <v>2674.2043669164</v>
      </c>
      <c r="X17">
        <v>2663.8921651526198</v>
      </c>
      <c r="Y17">
        <v>2663.8921651526198</v>
      </c>
      <c r="Z17">
        <v>2663.8921651526198</v>
      </c>
      <c r="AB17">
        <v>2560.9166647127099</v>
      </c>
      <c r="AC17">
        <v>2766.9248764542499</v>
      </c>
      <c r="AD17">
        <v>2870.0137844051801</v>
      </c>
      <c r="AF17">
        <v>2663.7921297400098</v>
      </c>
      <c r="AG17">
        <v>2663.9552598201799</v>
      </c>
      <c r="AH17">
        <v>2664.0228239483899</v>
      </c>
      <c r="AJ17">
        <v>2654.0305189798</v>
      </c>
      <c r="AK17">
        <v>2673.8519026142199</v>
      </c>
      <c r="AL17">
        <v>2683.9114825258498</v>
      </c>
    </row>
    <row r="18" spans="1:38" x14ac:dyDescent="0.25">
      <c r="A18" t="s">
        <v>211</v>
      </c>
      <c r="B18" s="11">
        <v>230.88217615659099</v>
      </c>
      <c r="C18" s="11"/>
      <c r="D18" s="11">
        <v>230.93013084393201</v>
      </c>
      <c r="E18" s="11">
        <v>230.93013084393201</v>
      </c>
      <c r="F18" s="11">
        <v>230.93013084393201</v>
      </c>
      <c r="G18" s="11"/>
      <c r="H18" s="11">
        <v>230.88217615659099</v>
      </c>
      <c r="I18" s="11">
        <v>230.88217615659099</v>
      </c>
      <c r="J18" s="11">
        <v>230.88217615659099</v>
      </c>
      <c r="L18" s="11">
        <v>265.98961157353602</v>
      </c>
      <c r="M18" s="1">
        <v>210.12893252466</v>
      </c>
      <c r="N18" s="1">
        <v>196.485535250032</v>
      </c>
      <c r="P18" s="11">
        <v>230.88217615659201</v>
      </c>
      <c r="Q18" s="1">
        <v>230.88217615659201</v>
      </c>
      <c r="R18">
        <v>230.88217615659201</v>
      </c>
      <c r="T18">
        <v>190.37188309260699</v>
      </c>
      <c r="U18">
        <v>206.390319113061</v>
      </c>
      <c r="V18">
        <v>272.10819602313802</v>
      </c>
      <c r="X18">
        <v>230.88217615659201</v>
      </c>
      <c r="Y18">
        <v>230.88217615659201</v>
      </c>
      <c r="Z18">
        <v>230.88217615659201</v>
      </c>
      <c r="AB18">
        <v>219.20772252728301</v>
      </c>
      <c r="AC18">
        <v>242.785346811859</v>
      </c>
      <c r="AD18">
        <v>254.91317988473099</v>
      </c>
      <c r="AF18">
        <v>230.75715421253</v>
      </c>
      <c r="AG18">
        <v>230.965181866965</v>
      </c>
      <c r="AH18">
        <v>231.06772183719499</v>
      </c>
      <c r="AJ18">
        <v>191.460331690494</v>
      </c>
      <c r="AK18">
        <v>270.69614187957598</v>
      </c>
      <c r="AL18">
        <v>310.909229233193</v>
      </c>
    </row>
    <row r="19" spans="1:38" x14ac:dyDescent="0.25">
      <c r="A19" t="s">
        <v>212</v>
      </c>
      <c r="B19" s="11">
        <v>29.432422273144201</v>
      </c>
      <c r="C19" s="11"/>
      <c r="D19" s="11">
        <v>29.917595389600599</v>
      </c>
      <c r="E19" s="11">
        <v>29.6607248891643</v>
      </c>
      <c r="F19" s="11">
        <v>29.228172821369999</v>
      </c>
      <c r="G19" s="11"/>
      <c r="H19" s="11">
        <v>29.432422273144201</v>
      </c>
      <c r="I19" s="11">
        <v>29.432422273144201</v>
      </c>
      <c r="J19" s="11">
        <v>29.432422273144201</v>
      </c>
      <c r="L19" s="11">
        <v>29.5294483483836</v>
      </c>
      <c r="M19">
        <v>29.375066737082701</v>
      </c>
      <c r="N19">
        <v>29.337360613727199</v>
      </c>
      <c r="P19" s="11">
        <v>29.432422273144301</v>
      </c>
      <c r="Q19">
        <v>29.432422273144301</v>
      </c>
      <c r="R19">
        <v>29.432422273144301</v>
      </c>
      <c r="T19">
        <v>29.320464373168701</v>
      </c>
      <c r="U19">
        <v>29.364734367832199</v>
      </c>
      <c r="V19">
        <v>29.546358220270001</v>
      </c>
      <c r="X19">
        <v>29.432422273144301</v>
      </c>
      <c r="Y19">
        <v>29.432422273144301</v>
      </c>
      <c r="Z19">
        <v>29.432422273144301</v>
      </c>
      <c r="AB19">
        <v>28.294681619681199</v>
      </c>
      <c r="AC19">
        <v>30.570795029611599</v>
      </c>
      <c r="AD19">
        <v>31.709788683401399</v>
      </c>
      <c r="AF19">
        <v>28.056823739899599</v>
      </c>
      <c r="AG19">
        <v>30.279287071230801</v>
      </c>
      <c r="AH19">
        <v>31.117869783120099</v>
      </c>
      <c r="AJ19">
        <v>29.308721143510098</v>
      </c>
      <c r="AK19">
        <v>29.557342894928802</v>
      </c>
      <c r="AL19">
        <v>29.683504373786899</v>
      </c>
    </row>
    <row r="20" spans="1:38" x14ac:dyDescent="0.25">
      <c r="D20" s="5"/>
      <c r="E20" s="5" t="s">
        <v>213</v>
      </c>
      <c r="F20" s="5"/>
      <c r="H20" s="4"/>
      <c r="I20" s="5" t="s">
        <v>214</v>
      </c>
      <c r="J20" s="5"/>
      <c r="L20" s="9"/>
      <c r="M20" s="10" t="s">
        <v>215</v>
      </c>
      <c r="N20" s="9"/>
      <c r="P20" s="12"/>
      <c r="Q20" s="13" t="s">
        <v>216</v>
      </c>
      <c r="R20" s="12"/>
      <c r="T20" s="12"/>
      <c r="U20" s="13" t="s">
        <v>217</v>
      </c>
      <c r="V20" s="12"/>
      <c r="X20" s="12"/>
      <c r="Y20" s="13" t="s">
        <v>218</v>
      </c>
      <c r="Z20" s="12"/>
      <c r="AB20" s="12"/>
      <c r="AC20" s="14" t="s">
        <v>219</v>
      </c>
      <c r="AD20" s="12"/>
      <c r="AF20" s="12"/>
      <c r="AG20" s="13" t="s">
        <v>220</v>
      </c>
      <c r="AH20" s="12"/>
      <c r="AJ20" s="12"/>
      <c r="AK20" s="13" t="s">
        <v>221</v>
      </c>
      <c r="AL20" s="12"/>
    </row>
    <row r="21" spans="1:38" x14ac:dyDescent="0.25">
      <c r="H21" s="3"/>
      <c r="I21" s="3"/>
      <c r="J21" s="3"/>
      <c r="T21" s="6" t="s">
        <v>222</v>
      </c>
    </row>
    <row r="22" spans="1:38" x14ac:dyDescent="0.25">
      <c r="A22" t="s">
        <v>223</v>
      </c>
      <c r="E22" s="31" t="s">
        <v>224</v>
      </c>
      <c r="I22" s="31" t="s">
        <v>225</v>
      </c>
      <c r="M22" s="31" t="s">
        <v>226</v>
      </c>
      <c r="T22" s="6" t="s">
        <v>227</v>
      </c>
    </row>
    <row r="23" spans="1:38" x14ac:dyDescent="0.25">
      <c r="A23" t="s">
        <v>228</v>
      </c>
    </row>
  </sheetData>
  <conditionalFormatting sqref="B12:T12">
    <cfRule type="cellIs" dxfId="3" priority="4" operator="equal">
      <formula>"Nao"</formula>
    </cfRule>
    <cfRule type="containsText" dxfId="2" priority="5" operator="containsText" text="Sim">
      <formula>NOT(ISERROR(SEARCH("Sim",B12)))</formula>
    </cfRule>
    <cfRule type="colorScale" priority="6">
      <colorScale>
        <cfvo type="min"/>
        <cfvo type="max"/>
        <color rgb="FFFCFCFF"/>
        <color rgb="FF63BE7B"/>
      </colorScale>
    </cfRule>
  </conditionalFormatting>
  <conditionalFormatting sqref="U12:AL12">
    <cfRule type="cellIs" dxfId="1" priority="1" operator="equal">
      <formula>"Nao"</formula>
    </cfRule>
    <cfRule type="containsText" dxfId="0" priority="2" operator="containsText" text="Sim">
      <formula>NOT(ISERROR(SEARCH("Sim",U12)))</formula>
    </cfRule>
    <cfRule type="colorScale" priority="3">
      <colorScale>
        <cfvo type="min"/>
        <cfvo type="max"/>
        <color rgb="FFFCFCFF"/>
        <color rgb="FF63BE7B"/>
      </colorScale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Dados Atualizados</vt:lpstr>
      <vt:lpstr>Directional stability</vt:lpstr>
      <vt:lpstr>CG_Position</vt:lpstr>
      <vt:lpstr>Static margin</vt:lpstr>
      <vt:lpstr>Tail Design</vt:lpstr>
      <vt:lpstr>Param. Study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André Rocha</dc:creator>
  <cp:keywords/>
  <dc:description/>
  <cp:lastModifiedBy>Francisco Sargento</cp:lastModifiedBy>
  <cp:revision/>
  <dcterms:created xsi:type="dcterms:W3CDTF">2020-11-27T14:04:26Z</dcterms:created>
  <dcterms:modified xsi:type="dcterms:W3CDTF">2021-01-12T22:33:24Z</dcterms:modified>
  <cp:category/>
  <cp:contentStatus/>
</cp:coreProperties>
</file>