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9f7407c20d533/Desktop/feup-rcom/tp04/docs/"/>
    </mc:Choice>
  </mc:AlternateContent>
  <xr:revisionPtr revIDLastSave="0" documentId="8_{B5EA587C-4F57-49A8-A0FB-DBD5FC2536BE}" xr6:coauthVersionLast="45" xr6:coauthVersionMax="45" xr10:uidLastSave="{00000000-0000-0000-0000-000000000000}"/>
  <bookViews>
    <workbookView xWindow="-120" yWindow="-120" windowWidth="29040" windowHeight="15840" activeTab="1" xr2:uid="{8409AE14-3601-4532-878C-7288FC68BF5A}"/>
  </bookViews>
  <sheets>
    <sheet name="var packet size" sheetId="1" r:id="rId1"/>
    <sheet name="var baudrate" sheetId="2" r:id="rId2"/>
    <sheet name="var erro" sheetId="3" r:id="rId3"/>
    <sheet name="var del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D23" i="4" l="1"/>
  <c r="E23" i="4" s="1"/>
  <c r="F23" i="4" s="1"/>
  <c r="D22" i="4"/>
  <c r="E22" i="4" s="1"/>
  <c r="F22" i="4" s="1"/>
  <c r="D21" i="4"/>
  <c r="E21" i="4" s="1"/>
  <c r="F21" i="4" s="1"/>
  <c r="G21" i="4" s="1"/>
  <c r="D20" i="4"/>
  <c r="E20" i="4" s="1"/>
  <c r="F20" i="4" s="1"/>
  <c r="D19" i="4"/>
  <c r="E19" i="4" s="1"/>
  <c r="F19" i="4" s="1"/>
  <c r="D18" i="4"/>
  <c r="E18" i="4" s="1"/>
  <c r="F18" i="4" s="1"/>
  <c r="G18" i="4" s="1"/>
  <c r="D17" i="4"/>
  <c r="E17" i="4" s="1"/>
  <c r="F17" i="4" s="1"/>
  <c r="D16" i="4"/>
  <c r="E16" i="4" s="1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G12" i="4" s="1"/>
  <c r="D11" i="4"/>
  <c r="E11" i="4" s="1"/>
  <c r="F11" i="4" s="1"/>
  <c r="D10" i="4"/>
  <c r="E10" i="4" s="1"/>
  <c r="F10" i="4" s="1"/>
  <c r="D9" i="4"/>
  <c r="E9" i="4" s="1"/>
  <c r="F9" i="4" s="1"/>
  <c r="G9" i="4" s="1"/>
  <c r="D8" i="4"/>
  <c r="E8" i="4" s="1"/>
  <c r="F8" i="4" s="1"/>
  <c r="D7" i="4"/>
  <c r="E7" i="4" s="1"/>
  <c r="F7" i="4" s="1"/>
  <c r="D6" i="4"/>
  <c r="E6" i="4" s="1"/>
  <c r="F6" i="4" s="1"/>
  <c r="G6" i="4" l="1"/>
  <c r="G15" i="4"/>
  <c r="D6" i="3"/>
  <c r="D7" i="3"/>
  <c r="E7" i="3" s="1"/>
  <c r="F7" i="3" s="1"/>
  <c r="D8" i="3"/>
  <c r="D9" i="3"/>
  <c r="E9" i="3" s="1"/>
  <c r="F9" i="3" s="1"/>
  <c r="D10" i="3"/>
  <c r="E10" i="3" s="1"/>
  <c r="F10" i="3" s="1"/>
  <c r="D11" i="3"/>
  <c r="D12" i="3"/>
  <c r="E12" i="3" s="1"/>
  <c r="F12" i="3" s="1"/>
  <c r="D13" i="3"/>
  <c r="E13" i="3" s="1"/>
  <c r="F13" i="3" s="1"/>
  <c r="D14" i="3"/>
  <c r="D15" i="3"/>
  <c r="D16" i="3"/>
  <c r="D17" i="3"/>
  <c r="D18" i="3"/>
  <c r="E18" i="3" s="1"/>
  <c r="F18" i="3" s="1"/>
  <c r="D19" i="3"/>
  <c r="D20" i="3"/>
  <c r="E20" i="3" s="1"/>
  <c r="F20" i="3" s="1"/>
  <c r="D21" i="3"/>
  <c r="E21" i="3" s="1"/>
  <c r="F21" i="3" s="1"/>
  <c r="D22" i="3"/>
  <c r="D26" i="3"/>
  <c r="E26" i="3" s="1"/>
  <c r="F26" i="3" s="1"/>
  <c r="D25" i="3"/>
  <c r="E25" i="3" s="1"/>
  <c r="F25" i="3" s="1"/>
  <c r="D24" i="3"/>
  <c r="E24" i="3" s="1"/>
  <c r="F24" i="3" s="1"/>
  <c r="D23" i="3"/>
  <c r="E23" i="3" s="1"/>
  <c r="F23" i="3" s="1"/>
  <c r="E22" i="3"/>
  <c r="F22" i="3" s="1"/>
  <c r="E19" i="3"/>
  <c r="F19" i="3" s="1"/>
  <c r="E8" i="3"/>
  <c r="F8" i="3" s="1"/>
  <c r="D13" i="2"/>
  <c r="E13" i="2" s="1"/>
  <c r="F13" i="2" s="1"/>
  <c r="D5" i="2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23" i="2"/>
  <c r="E23" i="2" s="1"/>
  <c r="F23" i="2" s="1"/>
  <c r="D24" i="2"/>
  <c r="E24" i="2" s="1"/>
  <c r="F24" i="2" s="1"/>
  <c r="D25" i="2"/>
  <c r="D26" i="2"/>
  <c r="E26" i="2" s="1"/>
  <c r="F26" i="2" s="1"/>
  <c r="D27" i="2"/>
  <c r="E27" i="2" s="1"/>
  <c r="F27" i="2" s="1"/>
  <c r="D28" i="2"/>
  <c r="E28" i="2" s="1"/>
  <c r="F28" i="2" s="1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2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  <c r="D23" i="1"/>
  <c r="D24" i="1"/>
  <c r="D25" i="1"/>
  <c r="E26" i="1"/>
  <c r="D27" i="1"/>
  <c r="D28" i="1"/>
  <c r="E28" i="1" s="1"/>
  <c r="D22" i="1"/>
  <c r="E22" i="1" s="1"/>
  <c r="D21" i="1"/>
  <c r="D20" i="1"/>
  <c r="D19" i="1"/>
  <c r="D18" i="1"/>
  <c r="D17" i="1"/>
  <c r="E17" i="1" s="1"/>
  <c r="D16" i="1"/>
  <c r="D15" i="1"/>
  <c r="D14" i="1"/>
  <c r="D13" i="1"/>
  <c r="D12" i="1"/>
  <c r="D11" i="1"/>
  <c r="D10" i="1"/>
  <c r="D9" i="1"/>
  <c r="D8" i="1"/>
  <c r="D7" i="1"/>
  <c r="D6" i="1"/>
  <c r="E6" i="1"/>
  <c r="E7" i="1"/>
  <c r="E8" i="1"/>
  <c r="E9" i="1"/>
  <c r="E10" i="1"/>
  <c r="E11" i="1"/>
  <c r="G11" i="1" s="1"/>
  <c r="E12" i="1"/>
  <c r="E13" i="1"/>
  <c r="E14" i="1"/>
  <c r="E15" i="1"/>
  <c r="E16" i="1"/>
  <c r="E18" i="1"/>
  <c r="E19" i="1"/>
  <c r="E20" i="1"/>
  <c r="E21" i="1"/>
  <c r="E23" i="1"/>
  <c r="E24" i="1"/>
  <c r="E25" i="1"/>
  <c r="E27" i="1"/>
  <c r="E5" i="1"/>
  <c r="D5" i="1"/>
  <c r="G18" i="3" l="1"/>
  <c r="E11" i="3"/>
  <c r="F11" i="3" s="1"/>
  <c r="G24" i="3"/>
  <c r="G9" i="3"/>
  <c r="E14" i="3"/>
  <c r="F14" i="3" s="1"/>
  <c r="G12" i="3" s="1"/>
  <c r="E16" i="3"/>
  <c r="F16" i="3" s="1"/>
  <c r="G21" i="3"/>
  <c r="E15" i="3"/>
  <c r="F15" i="3" s="1"/>
  <c r="E6" i="3"/>
  <c r="F6" i="3" s="1"/>
  <c r="G6" i="3" s="1"/>
  <c r="E17" i="3"/>
  <c r="F17" i="3" s="1"/>
  <c r="E5" i="2"/>
  <c r="F5" i="2" s="1"/>
  <c r="E25" i="2"/>
  <c r="F25" i="2" s="1"/>
  <c r="G14" i="2"/>
  <c r="G26" i="1"/>
  <c r="G23" i="1"/>
  <c r="G20" i="1"/>
  <c r="G17" i="1"/>
  <c r="G14" i="1"/>
  <c r="G8" i="1"/>
  <c r="G5" i="1"/>
  <c r="G15" i="3" l="1"/>
  <c r="G11" i="2"/>
  <c r="G26" i="2"/>
  <c r="G23" i="2"/>
  <c r="G20" i="2"/>
  <c r="G17" i="2"/>
  <c r="G8" i="2"/>
  <c r="G5" i="2"/>
</calcChain>
</file>

<file path=xl/sharedStrings.xml><?xml version="1.0" encoding="utf-8"?>
<sst xmlns="http://schemas.openxmlformats.org/spreadsheetml/2006/main" count="34" uniqueCount="11">
  <si>
    <t>Nº Bytes</t>
  </si>
  <si>
    <t>Baudrate</t>
  </si>
  <si>
    <t>Tamanho do Pacote (byte)</t>
  </si>
  <si>
    <t>Tempo (s)</t>
  </si>
  <si>
    <t>R (bits/s)</t>
  </si>
  <si>
    <t>S (R/C)</t>
  </si>
  <si>
    <t>S(media)</t>
  </si>
  <si>
    <t>Tempo (ms)</t>
  </si>
  <si>
    <t>Tamanho do pacote (byte)</t>
  </si>
  <si>
    <t>Probabilidade de Erro (%bcc1 = %bcc2)</t>
  </si>
  <si>
    <t>Delay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</si>
</sst>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da Eficiência em relação ao PACKET-SIZE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packet size'!$B$5:$B$28</c:f>
              <c:numCache>
                <c:formatCode>General</c:formatCode>
                <c:ptCount val="24"/>
                <c:pt idx="0">
                  <c:v>8</c:v>
                </c:pt>
                <c:pt idx="3">
                  <c:v>16</c:v>
                </c:pt>
                <c:pt idx="6">
                  <c:v>32</c:v>
                </c:pt>
                <c:pt idx="9">
                  <c:v>64</c:v>
                </c:pt>
                <c:pt idx="12">
                  <c:v>128</c:v>
                </c:pt>
                <c:pt idx="15">
                  <c:v>256</c:v>
                </c:pt>
                <c:pt idx="18">
                  <c:v>512</c:v>
                </c:pt>
                <c:pt idx="21">
                  <c:v>1024</c:v>
                </c:pt>
              </c:numCache>
            </c:numRef>
          </c:xVal>
          <c:yVal>
            <c:numRef>
              <c:f>'var packet size'!$G$5:$G$28</c:f>
              <c:numCache>
                <c:formatCode>General</c:formatCode>
                <c:ptCount val="24"/>
                <c:pt idx="0">
                  <c:v>0.19965367066187736</c:v>
                </c:pt>
                <c:pt idx="3">
                  <c:v>0.31812417504722379</c:v>
                </c:pt>
                <c:pt idx="6">
                  <c:v>0.45270126042048958</c:v>
                </c:pt>
                <c:pt idx="9">
                  <c:v>0.57366575906765893</c:v>
                </c:pt>
                <c:pt idx="12">
                  <c:v>0.66712701520982165</c:v>
                </c:pt>
                <c:pt idx="15">
                  <c:v>0.72382601553778592</c:v>
                </c:pt>
                <c:pt idx="18">
                  <c:v>0.75509110179073036</c:v>
                </c:pt>
                <c:pt idx="21">
                  <c:v>0.77324726516237219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D-4E91-A7B7-BF8DBB91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29824"/>
        <c:axId val="527485248"/>
      </c:scatterChart>
      <c:valAx>
        <c:axId val="868929824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</a:t>
                </a:r>
                <a:r>
                  <a:rPr lang="pt-PT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7485248"/>
        <c:crosses val="autoZero"/>
        <c:crossBetween val="midCat"/>
      </c:valAx>
      <c:valAx>
        <c:axId val="5274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8929824"/>
        <c:crossesAt val="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</a:t>
            </a:r>
            <a:r>
              <a:rPr lang="en-US" baseline="0"/>
              <a:t> da Eficiência em relação ao BAUDRATE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 baudrate'!$G$4</c:f>
              <c:strCache>
                <c:ptCount val="1"/>
                <c:pt idx="0">
                  <c:v>S(media)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baudrate'!$B$5:$B$28</c:f>
              <c:numCache>
                <c:formatCode>General</c:formatCode>
                <c:ptCount val="24"/>
                <c:pt idx="0">
                  <c:v>1200</c:v>
                </c:pt>
                <c:pt idx="3">
                  <c:v>2400</c:v>
                </c:pt>
                <c:pt idx="6">
                  <c:v>4800</c:v>
                </c:pt>
                <c:pt idx="9">
                  <c:v>9600</c:v>
                </c:pt>
                <c:pt idx="12">
                  <c:v>19200</c:v>
                </c:pt>
                <c:pt idx="15">
                  <c:v>38400</c:v>
                </c:pt>
                <c:pt idx="18">
                  <c:v>57600</c:v>
                </c:pt>
                <c:pt idx="21">
                  <c:v>115200</c:v>
                </c:pt>
              </c:numCache>
            </c:numRef>
          </c:xVal>
          <c:yVal>
            <c:numRef>
              <c:f>'var baudrate'!$G$5:$G$28</c:f>
              <c:numCache>
                <c:formatCode>General</c:formatCode>
                <c:ptCount val="24"/>
                <c:pt idx="0">
                  <c:v>0.7176558328734991</c:v>
                </c:pt>
                <c:pt idx="3">
                  <c:v>0.73887121779157028</c:v>
                </c:pt>
                <c:pt idx="6">
                  <c:v>0.74949576783802685</c:v>
                </c:pt>
                <c:pt idx="9">
                  <c:v>0.74924301691169226</c:v>
                </c:pt>
                <c:pt idx="12">
                  <c:v>0.7487345912354767</c:v>
                </c:pt>
                <c:pt idx="15">
                  <c:v>0.74736366775204799</c:v>
                </c:pt>
                <c:pt idx="18">
                  <c:v>0.74672105375992504</c:v>
                </c:pt>
                <c:pt idx="21">
                  <c:v>0.74380923436994062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7-454E-85F2-A2940FBA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95952"/>
        <c:axId val="819439248"/>
      </c:scatterChart>
      <c:valAx>
        <c:axId val="872695952"/>
        <c:scaling>
          <c:logBase val="2"/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BAUDRATE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9439248"/>
        <c:crosses val="autoZero"/>
        <c:crossBetween val="midCat"/>
      </c:valAx>
      <c:valAx>
        <c:axId val="819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S(media)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26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 da</a:t>
            </a:r>
            <a:r>
              <a:rPr lang="pt-PT" baseline="0"/>
              <a:t> Eficiência</a:t>
            </a:r>
            <a:r>
              <a:rPr lang="pt-PT"/>
              <a:t> em relação a % erro</a:t>
            </a:r>
            <a:r>
              <a:rPr lang="pt-PT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 erro'!$G$5</c:f>
              <c:strCache>
                <c:ptCount val="1"/>
                <c:pt idx="0">
                  <c:v>S(media)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erro'!$B$6:$B$26</c:f>
              <c:numCache>
                <c:formatCode>General</c:formatCode>
                <c:ptCount val="21"/>
                <c:pt idx="0">
                  <c:v>0</c:v>
                </c:pt>
                <c:pt idx="3">
                  <c:v>2</c:v>
                </c:pt>
                <c:pt idx="6">
                  <c:v>4</c:v>
                </c:pt>
                <c:pt idx="9">
                  <c:v>6</c:v>
                </c:pt>
                <c:pt idx="12">
                  <c:v>8</c:v>
                </c:pt>
                <c:pt idx="15">
                  <c:v>10</c:v>
                </c:pt>
                <c:pt idx="18">
                  <c:v>12</c:v>
                </c:pt>
              </c:numCache>
            </c:numRef>
          </c:xVal>
          <c:yVal>
            <c:numRef>
              <c:f>'var erro'!$G$6:$G$26</c:f>
              <c:numCache>
                <c:formatCode>General</c:formatCode>
                <c:ptCount val="21"/>
                <c:pt idx="0">
                  <c:v>0.68666816094692706</c:v>
                </c:pt>
                <c:pt idx="3">
                  <c:v>0.66353449343656978</c:v>
                </c:pt>
                <c:pt idx="6">
                  <c:v>0.64200788904310579</c:v>
                </c:pt>
                <c:pt idx="9">
                  <c:v>0.61713354479418714</c:v>
                </c:pt>
                <c:pt idx="12">
                  <c:v>0.60289609654241805</c:v>
                </c:pt>
                <c:pt idx="15">
                  <c:v>0.57374952086710274</c:v>
                </c:pt>
                <c:pt idx="18">
                  <c:v>0.53338126203985159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B8E-A766-7D9AEC3D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23039"/>
        <c:axId val="1742253999"/>
      </c:scatterChart>
      <c:valAx>
        <c:axId val="174112303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erro (%BCC1 = %BB2)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2253999"/>
        <c:crosses val="autoZero"/>
        <c:crossBetween val="midCat"/>
      </c:valAx>
      <c:valAx>
        <c:axId val="17422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S(média)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112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 da</a:t>
            </a:r>
            <a:r>
              <a:rPr lang="pt-PT" baseline="0"/>
              <a:t> Eficiência</a:t>
            </a:r>
            <a:r>
              <a:rPr lang="pt-PT"/>
              <a:t> em relação a</a:t>
            </a:r>
            <a:r>
              <a:rPr lang="pt-PT" baseline="0"/>
              <a:t> um atraso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 delay'!$G$5</c:f>
              <c:strCache>
                <c:ptCount val="1"/>
                <c:pt idx="0">
                  <c:v>S(media)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delay'!$B$6:$B$23</c:f>
              <c:numCache>
                <c:formatCode>General</c:formatCode>
                <c:ptCount val="18"/>
                <c:pt idx="0">
                  <c:v>1E-4</c:v>
                </c:pt>
                <c:pt idx="3">
                  <c:v>1E-3</c:v>
                </c:pt>
                <c:pt idx="6">
                  <c:v>0.01</c:v>
                </c:pt>
                <c:pt idx="7">
                  <c:v>1.1999999999999999E-3</c:v>
                </c:pt>
                <c:pt idx="8">
                  <c:v>1.3666666666666701E-3</c:v>
                </c:pt>
                <c:pt idx="9">
                  <c:v>0.1</c:v>
                </c:pt>
                <c:pt idx="10">
                  <c:v>1.6999999999999999E-3</c:v>
                </c:pt>
                <c:pt idx="11">
                  <c:v>1.8666666666666699E-3</c:v>
                </c:pt>
                <c:pt idx="12">
                  <c:v>1</c:v>
                </c:pt>
                <c:pt idx="15">
                  <c:v>4</c:v>
                </c:pt>
                <c:pt idx="16">
                  <c:v>2.3666666666666701E-3</c:v>
                </c:pt>
                <c:pt idx="17">
                  <c:v>2.5333333333333401E-3</c:v>
                </c:pt>
              </c:numCache>
            </c:numRef>
          </c:xVal>
          <c:yVal>
            <c:numRef>
              <c:f>'var delay'!$G$6:$G$23</c:f>
              <c:numCache>
                <c:formatCode>General</c:formatCode>
                <c:ptCount val="18"/>
                <c:pt idx="0">
                  <c:v>0.66723945263971107</c:v>
                </c:pt>
                <c:pt idx="3">
                  <c:v>0.65220560539301198</c:v>
                </c:pt>
                <c:pt idx="6">
                  <c:v>0.53193517887873598</c:v>
                </c:pt>
                <c:pt idx="9">
                  <c:v>0.1870479833201549</c:v>
                </c:pt>
                <c:pt idx="12">
                  <c:v>2.4996027761491305E-2</c:v>
                </c:pt>
                <c:pt idx="15">
                  <c:v>6.4907859980272804E-3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F-48EE-B451-BD6994C7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312735"/>
        <c:axId val="1663016079"/>
      </c:scatterChart>
      <c:valAx>
        <c:axId val="18893127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u="none"/>
                  <a:t>Atraso</a:t>
                </a:r>
                <a:r>
                  <a:rPr lang="pt-PT" u="none" baseline="0"/>
                  <a:t> (s)</a:t>
                </a:r>
                <a:endParaRPr lang="pt-PT" u="non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016079"/>
        <c:crosses val="autoZero"/>
        <c:crossBetween val="midCat"/>
      </c:valAx>
      <c:valAx>
        <c:axId val="16630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</a:t>
                </a:r>
                <a:r>
                  <a:rPr lang="pt-PT" baseline="0"/>
                  <a:t> (media)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931273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</xdr:row>
      <xdr:rowOff>4762</xdr:rowOff>
    </xdr:from>
    <xdr:to>
      <xdr:col>14</xdr:col>
      <xdr:colOff>409575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F6B95-5F24-49F6-9D55-61472C983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166687</xdr:rowOff>
    </xdr:from>
    <xdr:to>
      <xdr:col>14</xdr:col>
      <xdr:colOff>514350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769C9-E608-4C47-A5F4-7422E47A6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404812</xdr:rowOff>
    </xdr:from>
    <xdr:to>
      <xdr:col>15</xdr:col>
      <xdr:colOff>76200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B4E441-A690-4653-94F0-11FB7EF7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4</xdr:row>
      <xdr:rowOff>171450</xdr:rowOff>
    </xdr:from>
    <xdr:to>
      <xdr:col>14</xdr:col>
      <xdr:colOff>600075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E54DEB-F05D-457B-8EAE-A38FA008A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7FF9-0AE0-450B-B05C-90DD213A6237}">
  <dimension ref="B2:G28"/>
  <sheetViews>
    <sheetView workbookViewId="0">
      <selection activeCell="B2" sqref="B2:G28"/>
    </sheetView>
  </sheetViews>
  <sheetFormatPr defaultRowHeight="15" x14ac:dyDescent="0.25"/>
  <cols>
    <col min="2" max="3" width="13.5703125" customWidth="1"/>
    <col min="4" max="4" width="14.7109375" customWidth="1"/>
    <col min="5" max="5" width="15.7109375" customWidth="1"/>
    <col min="6" max="6" width="15.42578125" customWidth="1"/>
    <col min="7" max="7" width="14.42578125" customWidth="1"/>
  </cols>
  <sheetData>
    <row r="2" spans="2:7" x14ac:dyDescent="0.25">
      <c r="B2" s="2" t="s">
        <v>0</v>
      </c>
      <c r="C2" s="2">
        <v>10968</v>
      </c>
      <c r="E2" s="1"/>
      <c r="F2" s="1"/>
      <c r="G2" s="1"/>
    </row>
    <row r="3" spans="2:7" x14ac:dyDescent="0.25">
      <c r="B3" s="2" t="s">
        <v>1</v>
      </c>
      <c r="C3" s="2">
        <v>38400</v>
      </c>
      <c r="E3" s="1"/>
      <c r="F3" s="1"/>
      <c r="G3" s="1"/>
    </row>
    <row r="4" spans="2:7" ht="42.75" customHeight="1" x14ac:dyDescent="0.25">
      <c r="B4" s="3" t="s">
        <v>2</v>
      </c>
      <c r="C4" s="3" t="s">
        <v>7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25">
      <c r="B5" s="7">
        <v>8</v>
      </c>
      <c r="C5" s="2">
        <f>D5*1000</f>
        <v>11441.993148</v>
      </c>
      <c r="D5" s="6">
        <f>11441.993148/1000</f>
        <v>11.441993148</v>
      </c>
      <c r="E5" s="6">
        <f t="shared" ref="E5:E28" si="0">$C$2*8/D5</f>
        <v>7668.5939997558198</v>
      </c>
      <c r="F5" s="6">
        <f>E5/$C$3</f>
        <v>0.19970296874364113</v>
      </c>
      <c r="G5" s="7">
        <f>AVERAGE(F5:F7)</f>
        <v>0.19965367066187736</v>
      </c>
    </row>
    <row r="6" spans="2:7" x14ac:dyDescent="0.25">
      <c r="B6" s="7"/>
      <c r="C6" s="2">
        <f t="shared" ref="C6:C21" si="1">D6*1000</f>
        <v>11443.309305999999</v>
      </c>
      <c r="D6" s="6">
        <f>11443.309306/1000</f>
        <v>11.443309306</v>
      </c>
      <c r="E6" s="6">
        <f t="shared" si="0"/>
        <v>7667.7119925434272</v>
      </c>
      <c r="F6" s="6">
        <f t="shared" ref="F6:F28" si="2">E6/$C$3</f>
        <v>0.19967999980581841</v>
      </c>
      <c r="G6" s="7"/>
    </row>
    <row r="7" spans="2:7" x14ac:dyDescent="0.25">
      <c r="B7" s="7"/>
      <c r="C7" s="2">
        <f t="shared" si="1"/>
        <v>11449.155231000001</v>
      </c>
      <c r="D7" s="6">
        <f>11449.155231/1000</f>
        <v>11.449155231000001</v>
      </c>
      <c r="E7" s="6">
        <f t="shared" si="0"/>
        <v>7663.796867949025</v>
      </c>
      <c r="F7" s="6">
        <f t="shared" si="2"/>
        <v>0.19957804343617253</v>
      </c>
      <c r="G7" s="7"/>
    </row>
    <row r="8" spans="2:7" x14ac:dyDescent="0.25">
      <c r="B8" s="7">
        <v>16</v>
      </c>
      <c r="C8" s="2">
        <f t="shared" si="1"/>
        <v>7182.1675789999999</v>
      </c>
      <c r="D8" s="6">
        <f>7182.167579/1000</f>
        <v>7.1821675789999997</v>
      </c>
      <c r="E8" s="6">
        <f t="shared" si="0"/>
        <v>12216.924631020225</v>
      </c>
      <c r="F8" s="6">
        <f t="shared" si="2"/>
        <v>0.31814907893281835</v>
      </c>
      <c r="G8" s="7">
        <f t="shared" ref="G8" si="3">AVERAGE(F8:F10)</f>
        <v>0.31812417504722379</v>
      </c>
    </row>
    <row r="9" spans="2:7" x14ac:dyDescent="0.25">
      <c r="B9" s="7"/>
      <c r="C9" s="2">
        <f t="shared" si="1"/>
        <v>7183.1236360000003</v>
      </c>
      <c r="D9" s="6">
        <f>7183.123636/1000</f>
        <v>7.1831236360000004</v>
      </c>
      <c r="E9" s="6">
        <f t="shared" si="0"/>
        <v>12215.298586850051</v>
      </c>
      <c r="F9" s="6">
        <f t="shared" si="2"/>
        <v>0.31810673403255341</v>
      </c>
      <c r="G9" s="7"/>
    </row>
    <row r="10" spans="2:7" x14ac:dyDescent="0.25">
      <c r="B10" s="7"/>
      <c r="C10" s="2">
        <f t="shared" si="1"/>
        <v>7182.8983280000002</v>
      </c>
      <c r="D10" s="6">
        <f>7182.898328/1000</f>
        <v>7.1828983280000003</v>
      </c>
      <c r="E10" s="6">
        <f t="shared" si="0"/>
        <v>12215.681747569906</v>
      </c>
      <c r="F10" s="6">
        <f t="shared" si="2"/>
        <v>0.31811671217629967</v>
      </c>
      <c r="G10" s="7"/>
    </row>
    <row r="11" spans="2:7" x14ac:dyDescent="0.25">
      <c r="B11" s="7">
        <v>32</v>
      </c>
      <c r="C11" s="2">
        <f t="shared" si="1"/>
        <v>5046.9197940000004</v>
      </c>
      <c r="D11" s="6">
        <f>5046.919794/1000</f>
        <v>5.0469197940000008</v>
      </c>
      <c r="E11" s="6">
        <f t="shared" si="0"/>
        <v>17385.653741577964</v>
      </c>
      <c r="F11" s="6">
        <f t="shared" si="2"/>
        <v>0.4527513995202595</v>
      </c>
      <c r="G11" s="7">
        <f t="shared" ref="G11" si="4">AVERAGE(F11:F13)</f>
        <v>0.45270126042048958</v>
      </c>
    </row>
    <row r="12" spans="2:7" x14ac:dyDescent="0.25">
      <c r="B12" s="7"/>
      <c r="C12" s="2">
        <f t="shared" si="1"/>
        <v>5047.5664539999998</v>
      </c>
      <c r="D12" s="6">
        <f>5047.566454/1000</f>
        <v>5.047566454</v>
      </c>
      <c r="E12" s="6">
        <f t="shared" si="0"/>
        <v>17383.426409466345</v>
      </c>
      <c r="F12" s="6">
        <f t="shared" si="2"/>
        <v>0.45269339607985271</v>
      </c>
      <c r="G12" s="7"/>
    </row>
    <row r="13" spans="2:7" x14ac:dyDescent="0.25">
      <c r="B13" s="7"/>
      <c r="C13" s="2">
        <f t="shared" si="1"/>
        <v>5047.9501620000001</v>
      </c>
      <c r="D13" s="6">
        <f>5047.950162/1000</f>
        <v>5.0479501620000002</v>
      </c>
      <c r="E13" s="6">
        <f t="shared" si="0"/>
        <v>17382.105049396087</v>
      </c>
      <c r="F13" s="6">
        <f t="shared" si="2"/>
        <v>0.45265898566135643</v>
      </c>
      <c r="G13" s="7"/>
    </row>
    <row r="14" spans="2:7" x14ac:dyDescent="0.25">
      <c r="B14" s="7">
        <v>64</v>
      </c>
      <c r="C14" s="2">
        <f t="shared" si="1"/>
        <v>3982.7164469999998</v>
      </c>
      <c r="D14" s="6">
        <f>3982.716447/1000</f>
        <v>3.9827164469999996</v>
      </c>
      <c r="E14" s="6">
        <f t="shared" si="0"/>
        <v>22031.194328708385</v>
      </c>
      <c r="F14" s="6">
        <f t="shared" si="2"/>
        <v>0.57372901897678086</v>
      </c>
      <c r="G14" s="7">
        <f t="shared" ref="G14" si="5">AVERAGE(F14:F16)</f>
        <v>0.57366575906765893</v>
      </c>
    </row>
    <row r="15" spans="2:7" x14ac:dyDescent="0.25">
      <c r="B15" s="7"/>
      <c r="C15" s="2">
        <f t="shared" si="1"/>
        <v>3984.113762</v>
      </c>
      <c r="D15" s="6">
        <f>3984.113762/1000</f>
        <v>3.9841137619999998</v>
      </c>
      <c r="E15" s="6">
        <f t="shared" si="0"/>
        <v>22023.467511618714</v>
      </c>
      <c r="F15" s="6">
        <f t="shared" si="2"/>
        <v>0.57352779978173729</v>
      </c>
      <c r="G15" s="7"/>
    </row>
    <row r="16" spans="2:7" x14ac:dyDescent="0.25">
      <c r="B16" s="7"/>
      <c r="C16" s="2">
        <f t="shared" si="1"/>
        <v>3982.6370379999998</v>
      </c>
      <c r="D16" s="6">
        <f>3982.637038/1000</f>
        <v>3.982637038</v>
      </c>
      <c r="E16" s="6">
        <f t="shared" si="0"/>
        <v>22031.633604267205</v>
      </c>
      <c r="F16" s="6">
        <f t="shared" si="2"/>
        <v>0.57374045844445842</v>
      </c>
      <c r="G16" s="7"/>
    </row>
    <row r="17" spans="2:7" x14ac:dyDescent="0.25">
      <c r="B17" s="7">
        <v>128</v>
      </c>
      <c r="C17" s="2">
        <f t="shared" si="1"/>
        <v>3424.833772</v>
      </c>
      <c r="D17" s="6">
        <f>3424.833772/1000</f>
        <v>3.4248337719999999</v>
      </c>
      <c r="E17" s="6">
        <f t="shared" si="0"/>
        <v>25619.929561941964</v>
      </c>
      <c r="F17" s="6">
        <f t="shared" si="2"/>
        <v>0.66718566567557203</v>
      </c>
      <c r="G17" s="7">
        <f t="shared" ref="G17" si="6">AVERAGE(F17:F19)</f>
        <v>0.66712701520982165</v>
      </c>
    </row>
    <row r="18" spans="2:7" x14ac:dyDescent="0.25">
      <c r="B18" s="7"/>
      <c r="C18" s="2">
        <f t="shared" si="1"/>
        <v>3425.1875190000001</v>
      </c>
      <c r="D18" s="6">
        <f>3425.187519/1000</f>
        <v>3.4251875190000001</v>
      </c>
      <c r="E18" s="6">
        <f t="shared" si="0"/>
        <v>25617.283583240805</v>
      </c>
      <c r="F18" s="6">
        <f t="shared" si="2"/>
        <v>0.66711675998022935</v>
      </c>
      <c r="G18" s="7"/>
    </row>
    <row r="19" spans="2:7" x14ac:dyDescent="0.25">
      <c r="B19" s="7"/>
      <c r="C19" s="2">
        <f t="shared" si="1"/>
        <v>3425.3833530000002</v>
      </c>
      <c r="D19" s="6">
        <f>3425.383353/1000</f>
        <v>3.425383353</v>
      </c>
      <c r="E19" s="6">
        <f t="shared" si="0"/>
        <v>25615.819006988677</v>
      </c>
      <c r="F19" s="6">
        <f t="shared" si="2"/>
        <v>0.66707861997366347</v>
      </c>
      <c r="G19" s="7"/>
    </row>
    <row r="20" spans="2:7" x14ac:dyDescent="0.25">
      <c r="B20" s="7">
        <v>256</v>
      </c>
      <c r="C20" s="2">
        <f t="shared" si="1"/>
        <v>3156.7105700000002</v>
      </c>
      <c r="D20" s="6">
        <f>3156.71057/1000</f>
        <v>3.15671057</v>
      </c>
      <c r="E20" s="6">
        <f t="shared" si="0"/>
        <v>27796.023124159907</v>
      </c>
      <c r="F20" s="6">
        <f t="shared" si="2"/>
        <v>0.72385476885833089</v>
      </c>
      <c r="G20" s="7">
        <f t="shared" ref="G20" si="7">AVERAGE(F20:F22)</f>
        <v>0.72382601553778592</v>
      </c>
    </row>
    <row r="21" spans="2:7" x14ac:dyDescent="0.25">
      <c r="B21" s="7"/>
      <c r="C21" s="2">
        <f t="shared" si="1"/>
        <v>3157.141282</v>
      </c>
      <c r="D21" s="6">
        <f>3157.141282/1000</f>
        <v>3.157141282</v>
      </c>
      <c r="E21" s="6">
        <f t="shared" si="0"/>
        <v>27792.231060504058</v>
      </c>
      <c r="F21" s="6">
        <f t="shared" si="2"/>
        <v>0.72375601720062654</v>
      </c>
      <c r="G21" s="7"/>
    </row>
    <row r="22" spans="2:7" x14ac:dyDescent="0.25">
      <c r="B22" s="7"/>
      <c r="C22" s="2">
        <v>3156.6560949999998</v>
      </c>
      <c r="D22" s="6">
        <f>C22/1000</f>
        <v>3.1566560949999998</v>
      </c>
      <c r="E22" s="6">
        <f t="shared" si="0"/>
        <v>27796.502805288965</v>
      </c>
      <c r="F22" s="6">
        <f t="shared" si="2"/>
        <v>0.72386726055440009</v>
      </c>
      <c r="G22" s="7"/>
    </row>
    <row r="23" spans="2:7" x14ac:dyDescent="0.25">
      <c r="B23" s="7">
        <v>512</v>
      </c>
      <c r="C23" s="2">
        <v>3026.1339800000001</v>
      </c>
      <c r="D23" s="6">
        <f t="shared" ref="D23:D28" si="8">C23/1000</f>
        <v>3.02613398</v>
      </c>
      <c r="E23" s="6">
        <f t="shared" si="0"/>
        <v>28995.411498601261</v>
      </c>
      <c r="F23" s="6">
        <f t="shared" si="2"/>
        <v>0.75508884110940788</v>
      </c>
      <c r="G23" s="7">
        <f t="shared" ref="G23" si="9">AVERAGE(F23:F25)</f>
        <v>0.75509110179073036</v>
      </c>
    </row>
    <row r="24" spans="2:7" x14ac:dyDescent="0.25">
      <c r="B24" s="7"/>
      <c r="C24" s="2">
        <v>3025.9916429999998</v>
      </c>
      <c r="D24" s="6">
        <f t="shared" si="8"/>
        <v>3.0259916429999998</v>
      </c>
      <c r="E24" s="6">
        <f t="shared" si="0"/>
        <v>28996.775388649017</v>
      </c>
      <c r="F24" s="6">
        <f t="shared" si="2"/>
        <v>0.75512435907940145</v>
      </c>
      <c r="G24" s="7"/>
    </row>
    <row r="25" spans="2:7" x14ac:dyDescent="0.25">
      <c r="B25" s="7"/>
      <c r="C25" s="2">
        <v>3026.2491479999999</v>
      </c>
      <c r="D25" s="6">
        <f t="shared" si="8"/>
        <v>3.0262491479999998</v>
      </c>
      <c r="E25" s="6">
        <f t="shared" si="0"/>
        <v>28994.308039041869</v>
      </c>
      <c r="F25" s="6">
        <f t="shared" si="2"/>
        <v>0.75506010518338196</v>
      </c>
      <c r="G25" s="7"/>
    </row>
    <row r="26" spans="2:7" x14ac:dyDescent="0.25">
      <c r="B26" s="7">
        <v>1024</v>
      </c>
      <c r="C26" s="2">
        <v>2955.0724289999998</v>
      </c>
      <c r="D26" s="6">
        <f t="shared" si="8"/>
        <v>2.9550724289999999</v>
      </c>
      <c r="E26" s="6">
        <f t="shared" si="0"/>
        <v>29692.673228213454</v>
      </c>
      <c r="F26" s="6">
        <f t="shared" si="2"/>
        <v>0.77324669865139206</v>
      </c>
      <c r="G26" s="7">
        <f t="shared" ref="G26" si="10">AVERAGE(F26:F28)</f>
        <v>0.77324726516237219</v>
      </c>
    </row>
    <row r="27" spans="2:7" x14ac:dyDescent="0.25">
      <c r="B27" s="7"/>
      <c r="C27" s="2">
        <v>2955.0696349999998</v>
      </c>
      <c r="D27" s="6">
        <f t="shared" si="8"/>
        <v>2.9550696349999996</v>
      </c>
      <c r="E27" s="6">
        <f t="shared" si="0"/>
        <v>29692.701302451715</v>
      </c>
      <c r="F27" s="6">
        <f t="shared" si="2"/>
        <v>0.77324742975134675</v>
      </c>
      <c r="G27" s="7"/>
    </row>
    <row r="28" spans="2:7" x14ac:dyDescent="0.25">
      <c r="B28" s="7"/>
      <c r="C28" s="2">
        <v>2955.0687280000002</v>
      </c>
      <c r="D28" s="6">
        <f t="shared" si="8"/>
        <v>2.9550687280000001</v>
      </c>
      <c r="E28" s="6">
        <f t="shared" si="0"/>
        <v>29692.71041604011</v>
      </c>
      <c r="F28" s="6">
        <f t="shared" si="2"/>
        <v>0.77324766708437787</v>
      </c>
      <c r="G28" s="7"/>
    </row>
  </sheetData>
  <mergeCells count="16">
    <mergeCell ref="G14:G16"/>
    <mergeCell ref="B23:B25"/>
    <mergeCell ref="B26:B28"/>
    <mergeCell ref="G5:G7"/>
    <mergeCell ref="G8:G10"/>
    <mergeCell ref="G11:G13"/>
    <mergeCell ref="G26:G28"/>
    <mergeCell ref="G23:G25"/>
    <mergeCell ref="G20:G22"/>
    <mergeCell ref="G17:G19"/>
    <mergeCell ref="B5:B7"/>
    <mergeCell ref="B8:B10"/>
    <mergeCell ref="B11:B13"/>
    <mergeCell ref="B14:B16"/>
    <mergeCell ref="B17:B19"/>
    <mergeCell ref="B20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F75B-36B8-4859-A1D4-51E2738D845D}">
  <dimension ref="B2:G28"/>
  <sheetViews>
    <sheetView tabSelected="1" workbookViewId="0">
      <selection activeCell="N25" sqref="N25"/>
    </sheetView>
  </sheetViews>
  <sheetFormatPr defaultRowHeight="15" x14ac:dyDescent="0.25"/>
  <cols>
    <col min="2" max="2" width="14.28515625" customWidth="1"/>
    <col min="3" max="3" width="16.140625" customWidth="1"/>
    <col min="4" max="4" width="12.42578125" customWidth="1"/>
    <col min="5" max="5" width="15.42578125" customWidth="1"/>
    <col min="6" max="6" width="14.5703125" customWidth="1"/>
    <col min="7" max="7" width="15.140625" customWidth="1"/>
  </cols>
  <sheetData>
    <row r="2" spans="2:7" x14ac:dyDescent="0.25">
      <c r="B2" s="2" t="s">
        <v>0</v>
      </c>
      <c r="C2" s="2">
        <v>10968</v>
      </c>
      <c r="E2" s="1"/>
      <c r="F2" s="1"/>
      <c r="G2" s="1"/>
    </row>
    <row r="3" spans="2:7" ht="30" customHeight="1" x14ac:dyDescent="0.25">
      <c r="B3" s="3" t="s">
        <v>2</v>
      </c>
      <c r="C3" s="2">
        <v>256</v>
      </c>
      <c r="E3" s="1"/>
      <c r="F3" s="1"/>
      <c r="G3" s="1"/>
    </row>
    <row r="4" spans="2:7" ht="21" customHeight="1" x14ac:dyDescent="0.25">
      <c r="B4" s="3" t="s">
        <v>1</v>
      </c>
      <c r="C4" s="3" t="s">
        <v>7</v>
      </c>
      <c r="D4" s="3" t="s">
        <v>3</v>
      </c>
      <c r="E4" s="3" t="s">
        <v>4</v>
      </c>
      <c r="F4" s="3" t="s">
        <v>5</v>
      </c>
      <c r="G4" s="3" t="s">
        <v>6</v>
      </c>
    </row>
    <row r="5" spans="2:7" x14ac:dyDescent="0.25">
      <c r="B5" s="7">
        <v>1200</v>
      </c>
      <c r="C5" s="5">
        <v>101887.686311</v>
      </c>
      <c r="D5" s="6">
        <f t="shared" ref="D5:D18" si="0">C5/1000</f>
        <v>101.887686311</v>
      </c>
      <c r="E5" s="6">
        <f t="shared" ref="E5:E28" si="1">$C$2*8/D5</f>
        <v>861.18355590264287</v>
      </c>
      <c r="F5" s="6">
        <f>E5/B5</f>
        <v>0.7176529632522024</v>
      </c>
      <c r="G5" s="7">
        <f t="shared" ref="G5" si="2">AVERAGE(F5:F7)</f>
        <v>0.7176558328734991</v>
      </c>
    </row>
    <row r="6" spans="2:7" x14ac:dyDescent="0.25">
      <c r="B6" s="7"/>
      <c r="C6" s="5">
        <v>101887.093777</v>
      </c>
      <c r="D6" s="6">
        <f t="shared" si="0"/>
        <v>101.887093777</v>
      </c>
      <c r="E6" s="6">
        <f t="shared" si="1"/>
        <v>861.1885641968064</v>
      </c>
      <c r="F6" s="6">
        <f>E6/B5</f>
        <v>0.717657136830672</v>
      </c>
      <c r="G6" s="7"/>
    </row>
    <row r="7" spans="2:7" x14ac:dyDescent="0.25">
      <c r="B7" s="7"/>
      <c r="C7" s="5">
        <v>101887.056622</v>
      </c>
      <c r="D7" s="6">
        <f t="shared" si="0"/>
        <v>101.887056622</v>
      </c>
      <c r="E7" s="6">
        <f t="shared" si="1"/>
        <v>861.18887824514741</v>
      </c>
      <c r="F7" s="6">
        <f>E7/B5</f>
        <v>0.71765739853762289</v>
      </c>
      <c r="G7" s="7"/>
    </row>
    <row r="8" spans="2:7" x14ac:dyDescent="0.25">
      <c r="B8" s="7">
        <v>2400</v>
      </c>
      <c r="C8" s="5">
        <v>50964.361159</v>
      </c>
      <c r="D8" s="6">
        <f t="shared" si="0"/>
        <v>50.964361158999999</v>
      </c>
      <c r="E8" s="6">
        <f t="shared" si="1"/>
        <v>1721.6736951975888</v>
      </c>
      <c r="F8" s="6">
        <f t="shared" ref="F8" si="3">E8/B8</f>
        <v>0.71736403966566198</v>
      </c>
      <c r="G8" s="7">
        <f t="shared" ref="G8" si="4">AVERAGE(F8:F10)</f>
        <v>0.73887121779157028</v>
      </c>
    </row>
    <row r="9" spans="2:7" x14ac:dyDescent="0.25">
      <c r="B9" s="7"/>
      <c r="C9" s="5">
        <v>48771.231959999997</v>
      </c>
      <c r="D9" s="6">
        <f t="shared" si="0"/>
        <v>48.771231959999994</v>
      </c>
      <c r="E9" s="6">
        <f t="shared" si="1"/>
        <v>1799.0933686473975</v>
      </c>
      <c r="F9" s="6">
        <f>E9/B8</f>
        <v>0.74962223693641561</v>
      </c>
      <c r="G9" s="7"/>
    </row>
    <row r="10" spans="2:7" x14ac:dyDescent="0.25">
      <c r="B10" s="7"/>
      <c r="C10" s="5">
        <v>48770.897558999997</v>
      </c>
      <c r="D10" s="6">
        <f t="shared" si="0"/>
        <v>48.770897558999998</v>
      </c>
      <c r="E10" s="6">
        <f t="shared" si="1"/>
        <v>1799.1057042543202</v>
      </c>
      <c r="F10" s="6">
        <f>E10/B8</f>
        <v>0.74962737677263347</v>
      </c>
      <c r="G10" s="7"/>
    </row>
    <row r="11" spans="2:7" x14ac:dyDescent="0.25">
      <c r="B11" s="7">
        <v>4800</v>
      </c>
      <c r="C11" s="5">
        <v>24389.790426</v>
      </c>
      <c r="D11" s="6">
        <f t="shared" si="0"/>
        <v>24.389790426000001</v>
      </c>
      <c r="E11" s="6">
        <f t="shared" si="1"/>
        <v>3597.5708879590516</v>
      </c>
      <c r="F11" s="6">
        <f>E11/$B$11</f>
        <v>0.7494939349914691</v>
      </c>
      <c r="G11" s="7">
        <f t="shared" ref="G11" si="5">AVERAGE(F11:F13)</f>
        <v>0.74949576783802685</v>
      </c>
    </row>
    <row r="12" spans="2:7" x14ac:dyDescent="0.25">
      <c r="B12" s="7"/>
      <c r="C12" s="5">
        <v>24389.726172999999</v>
      </c>
      <c r="D12" s="6">
        <f t="shared" si="0"/>
        <v>24.389726173</v>
      </c>
      <c r="E12" s="6">
        <f t="shared" si="1"/>
        <v>3597.5803655038435</v>
      </c>
      <c r="F12" s="6">
        <f t="shared" ref="F12:F13" si="6">E12/$B$11</f>
        <v>0.74949590947996736</v>
      </c>
      <c r="G12" s="7"/>
    </row>
    <row r="13" spans="2:7" x14ac:dyDescent="0.25">
      <c r="B13" s="7"/>
      <c r="C13" s="5">
        <v>24389.675748000001</v>
      </c>
      <c r="D13" s="6">
        <f t="shared" si="0"/>
        <v>24.389675748000002</v>
      </c>
      <c r="E13" s="6">
        <f t="shared" si="1"/>
        <v>3597.5878034046914</v>
      </c>
      <c r="F13" s="6">
        <f t="shared" si="6"/>
        <v>0.74949745904264409</v>
      </c>
      <c r="G13" s="7"/>
    </row>
    <row r="14" spans="2:7" x14ac:dyDescent="0.25">
      <c r="B14" s="7">
        <v>9600</v>
      </c>
      <c r="C14" s="5">
        <v>12199.002438</v>
      </c>
      <c r="D14" s="6">
        <f t="shared" si="0"/>
        <v>12.199002437999999</v>
      </c>
      <c r="E14" s="6">
        <f t="shared" si="1"/>
        <v>7192.7192773301422</v>
      </c>
      <c r="F14" s="6">
        <f>E14/$B$14</f>
        <v>0.7492415913885565</v>
      </c>
      <c r="G14" s="7">
        <f t="shared" ref="G14" si="7">AVERAGE(F14:F16)</f>
        <v>0.74924301691169226</v>
      </c>
    </row>
    <row r="15" spans="2:7" x14ac:dyDescent="0.25">
      <c r="B15" s="7"/>
      <c r="C15" s="5">
        <v>12198.949639</v>
      </c>
      <c r="D15" s="6">
        <f t="shared" si="0"/>
        <v>12.198949639</v>
      </c>
      <c r="E15" s="6">
        <f t="shared" si="1"/>
        <v>7192.7504085665487</v>
      </c>
      <c r="F15" s="6">
        <f t="shared" ref="F15:F16" si="8">E15/$B$14</f>
        <v>0.74924483422568211</v>
      </c>
      <c r="G15" s="7"/>
    </row>
    <row r="16" spans="2:7" x14ac:dyDescent="0.25">
      <c r="B16" s="7"/>
      <c r="C16" s="5">
        <v>12198.985607000001</v>
      </c>
      <c r="D16" s="6">
        <f t="shared" si="0"/>
        <v>12.198985607000001</v>
      </c>
      <c r="E16" s="6">
        <f t="shared" si="1"/>
        <v>7192.7292011600448</v>
      </c>
      <c r="F16" s="6">
        <f t="shared" si="8"/>
        <v>0.74924262512083795</v>
      </c>
      <c r="G16" s="7"/>
    </row>
    <row r="17" spans="2:7" x14ac:dyDescent="0.25">
      <c r="B17" s="7">
        <v>19200</v>
      </c>
      <c r="C17" s="5">
        <v>6103.5222960000001</v>
      </c>
      <c r="D17" s="6">
        <f t="shared" si="0"/>
        <v>6.1035222960000004</v>
      </c>
      <c r="E17" s="6">
        <f t="shared" si="1"/>
        <v>14375.961247410178</v>
      </c>
      <c r="F17" s="6">
        <f>E17/$B$17</f>
        <v>0.7487479816359468</v>
      </c>
      <c r="G17" s="7">
        <f t="shared" ref="G17" si="9">AVERAGE(F17:F19)</f>
        <v>0.7487345912354767</v>
      </c>
    </row>
    <row r="18" spans="2:7" x14ac:dyDescent="0.25">
      <c r="B18" s="7"/>
      <c r="C18" s="5">
        <v>6103.2988210000003</v>
      </c>
      <c r="D18" s="6">
        <f t="shared" si="0"/>
        <v>6.1032988210000001</v>
      </c>
      <c r="E18" s="6">
        <f t="shared" si="1"/>
        <v>14376.487629623141</v>
      </c>
      <c r="F18" s="6">
        <f t="shared" ref="F18:F19" si="10">E18/$B$17</f>
        <v>0.74877539737620524</v>
      </c>
      <c r="G18" s="7"/>
    </row>
    <row r="19" spans="2:7" x14ac:dyDescent="0.25">
      <c r="B19" s="7"/>
      <c r="C19" s="5">
        <v>6104.0732900000003</v>
      </c>
      <c r="D19" s="6">
        <f>C19/1000</f>
        <v>6.1040732900000005</v>
      </c>
      <c r="E19" s="6">
        <f t="shared" si="1"/>
        <v>14374.663578130136</v>
      </c>
      <c r="F19" s="6">
        <f t="shared" si="10"/>
        <v>0.74868039469427794</v>
      </c>
      <c r="G19" s="7"/>
    </row>
    <row r="20" spans="2:7" x14ac:dyDescent="0.25">
      <c r="B20" s="7">
        <v>38400</v>
      </c>
      <c r="C20" s="5">
        <v>3059.7173010000001</v>
      </c>
      <c r="D20" s="6">
        <f t="shared" ref="D20:D28" si="11">C20/1000</f>
        <v>3.0597173010000001</v>
      </c>
      <c r="E20" s="6">
        <f t="shared" si="1"/>
        <v>28677.159151704258</v>
      </c>
      <c r="F20" s="6">
        <f>E20/$B$20</f>
        <v>0.74680101957563172</v>
      </c>
      <c r="G20" s="7">
        <f t="shared" ref="G20" si="12">AVERAGE(F20:F22)</f>
        <v>0.74736366775204799</v>
      </c>
    </row>
    <row r="21" spans="2:7" x14ac:dyDescent="0.25">
      <c r="B21" s="7"/>
      <c r="C21" s="5">
        <v>3056.7345190000001</v>
      </c>
      <c r="D21" s="6">
        <f t="shared" si="11"/>
        <v>3.0567345189999999</v>
      </c>
      <c r="E21" s="6">
        <f t="shared" si="1"/>
        <v>28705.142515518535</v>
      </c>
      <c r="F21" s="6">
        <f t="shared" ref="F21:F22" si="13">E21/$B$20</f>
        <v>0.74752975300829516</v>
      </c>
      <c r="G21" s="7"/>
    </row>
    <row r="22" spans="2:7" x14ac:dyDescent="0.25">
      <c r="B22" s="7"/>
      <c r="C22" s="5">
        <v>3055.7923599999999</v>
      </c>
      <c r="D22" s="6">
        <f t="shared" si="11"/>
        <v>3.0557923599999999</v>
      </c>
      <c r="E22" s="6">
        <f t="shared" si="1"/>
        <v>28713.992857813155</v>
      </c>
      <c r="F22" s="6">
        <f t="shared" si="13"/>
        <v>0.74776023067221753</v>
      </c>
      <c r="G22" s="7"/>
    </row>
    <row r="23" spans="2:7" x14ac:dyDescent="0.25">
      <c r="B23" s="7">
        <v>57600</v>
      </c>
      <c r="C23" s="5">
        <v>2039.873855</v>
      </c>
      <c r="D23" s="6">
        <f t="shared" si="11"/>
        <v>2.0398738550000002</v>
      </c>
      <c r="E23" s="6">
        <f t="shared" si="1"/>
        <v>43014.424536560371</v>
      </c>
      <c r="F23" s="6">
        <f>E23/$B$23</f>
        <v>0.7467782037597287</v>
      </c>
      <c r="G23" s="7">
        <f t="shared" ref="G23:G26" si="14">AVERAGE(F23:F25)</f>
        <v>0.74672105375992504</v>
      </c>
    </row>
    <row r="24" spans="2:7" x14ac:dyDescent="0.25">
      <c r="B24" s="7"/>
      <c r="C24" s="5">
        <v>2040.3253099999999</v>
      </c>
      <c r="D24" s="6">
        <f t="shared" si="11"/>
        <v>2.0403253100000001</v>
      </c>
      <c r="E24" s="6">
        <f t="shared" si="1"/>
        <v>43004.906898890549</v>
      </c>
      <c r="F24" s="6">
        <f t="shared" ref="F24:F25" si="15">E24/$B$23</f>
        <v>0.74661296699462754</v>
      </c>
      <c r="G24" s="7"/>
    </row>
    <row r="25" spans="2:7" x14ac:dyDescent="0.25">
      <c r="B25" s="7"/>
      <c r="C25" s="5">
        <v>2039.8908269999999</v>
      </c>
      <c r="D25" s="6">
        <f t="shared" si="11"/>
        <v>2.0398908269999998</v>
      </c>
      <c r="E25" s="6">
        <f t="shared" si="1"/>
        <v>43014.066654264141</v>
      </c>
      <c r="F25" s="6">
        <f t="shared" si="15"/>
        <v>0.74677199052541909</v>
      </c>
      <c r="G25" s="7"/>
    </row>
    <row r="26" spans="2:7" x14ac:dyDescent="0.25">
      <c r="B26" s="7">
        <v>115200</v>
      </c>
      <c r="C26" s="5">
        <v>1024.019605</v>
      </c>
      <c r="D26" s="6">
        <f t="shared" si="11"/>
        <v>1.0240196049999999</v>
      </c>
      <c r="E26" s="6">
        <f t="shared" si="1"/>
        <v>85685.85950070752</v>
      </c>
      <c r="F26" s="6">
        <f>E26/$B$26</f>
        <v>0.7438008637214194</v>
      </c>
      <c r="G26" s="7">
        <f t="shared" si="14"/>
        <v>0.74380923436994062</v>
      </c>
    </row>
    <row r="27" spans="2:7" x14ac:dyDescent="0.25">
      <c r="B27" s="7"/>
      <c r="C27" s="5">
        <v>1024.0045190000001</v>
      </c>
      <c r="D27" s="6">
        <f t="shared" si="11"/>
        <v>1.024004519</v>
      </c>
      <c r="E27" s="6">
        <f t="shared" si="1"/>
        <v>85687.121855367513</v>
      </c>
      <c r="F27" s="6">
        <f t="shared" ref="F27:F28" si="16">E27/$B$26</f>
        <v>0.74381182166117632</v>
      </c>
      <c r="G27" s="7"/>
    </row>
    <row r="28" spans="2:7" x14ac:dyDescent="0.25">
      <c r="B28" s="7"/>
      <c r="C28" s="5">
        <v>1024.000119</v>
      </c>
      <c r="D28" s="6">
        <f t="shared" si="11"/>
        <v>1.0240001190000001</v>
      </c>
      <c r="E28" s="6">
        <f t="shared" si="1"/>
        <v>85687.490042176447</v>
      </c>
      <c r="F28" s="6">
        <f t="shared" si="16"/>
        <v>0.74381501772722614</v>
      </c>
      <c r="G28" s="7"/>
    </row>
  </sheetData>
  <mergeCells count="16">
    <mergeCell ref="B5:B7"/>
    <mergeCell ref="G5:G7"/>
    <mergeCell ref="B8:B10"/>
    <mergeCell ref="G8:G10"/>
    <mergeCell ref="B11:B13"/>
    <mergeCell ref="G11:G13"/>
    <mergeCell ref="B14:B16"/>
    <mergeCell ref="G14:G16"/>
    <mergeCell ref="B17:B19"/>
    <mergeCell ref="G17:G19"/>
    <mergeCell ref="G23:G25"/>
    <mergeCell ref="G26:G28"/>
    <mergeCell ref="B20:B22"/>
    <mergeCell ref="G20:G22"/>
    <mergeCell ref="B23:B25"/>
    <mergeCell ref="B26:B2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22B9-2BC3-4574-A1A8-CE4297F55136}">
  <dimension ref="B2:G26"/>
  <sheetViews>
    <sheetView workbookViewId="0">
      <selection activeCell="I23" sqref="I23"/>
    </sheetView>
  </sheetViews>
  <sheetFormatPr defaultRowHeight="15" x14ac:dyDescent="0.25"/>
  <cols>
    <col min="2" max="2" width="17.5703125" customWidth="1"/>
    <col min="3" max="3" width="15.28515625" customWidth="1"/>
    <col min="4" max="4" width="14.5703125" customWidth="1"/>
    <col min="5" max="5" width="15" customWidth="1"/>
    <col min="6" max="6" width="15.7109375" customWidth="1"/>
    <col min="7" max="7" width="15.42578125" customWidth="1"/>
  </cols>
  <sheetData>
    <row r="2" spans="2:7" x14ac:dyDescent="0.25">
      <c r="B2" s="2" t="s">
        <v>0</v>
      </c>
      <c r="C2" s="2">
        <v>10968</v>
      </c>
      <c r="E2" s="1"/>
      <c r="F2" s="1"/>
      <c r="G2" s="1"/>
    </row>
    <row r="3" spans="2:7" ht="27.75" customHeight="1" x14ac:dyDescent="0.25">
      <c r="B3" s="3" t="s">
        <v>8</v>
      </c>
      <c r="C3" s="2">
        <v>128</v>
      </c>
      <c r="E3" s="1"/>
      <c r="F3" s="1"/>
      <c r="G3" s="1"/>
    </row>
    <row r="4" spans="2:7" x14ac:dyDescent="0.25">
      <c r="B4" s="2" t="s">
        <v>1</v>
      </c>
      <c r="C4" s="2">
        <v>38400</v>
      </c>
      <c r="E4" s="1"/>
      <c r="F4" s="1"/>
      <c r="G4" s="1"/>
    </row>
    <row r="5" spans="2:7" ht="60" customHeight="1" x14ac:dyDescent="0.25">
      <c r="B5" s="3" t="s">
        <v>9</v>
      </c>
      <c r="C5" s="3" t="s">
        <v>7</v>
      </c>
      <c r="D5" s="3" t="s">
        <v>3</v>
      </c>
      <c r="E5" s="3" t="s">
        <v>4</v>
      </c>
      <c r="F5" s="3" t="s">
        <v>5</v>
      </c>
      <c r="G5" s="3" t="s">
        <v>6</v>
      </c>
    </row>
    <row r="6" spans="2:7" x14ac:dyDescent="0.25">
      <c r="B6" s="7">
        <v>0</v>
      </c>
      <c r="C6" s="5">
        <v>3327.764236</v>
      </c>
      <c r="D6" s="6">
        <f t="shared" ref="D6:D22" si="0">C6/1000</f>
        <v>3.3277642360000002</v>
      </c>
      <c r="E6" s="6">
        <f t="shared" ref="E6:E26" si="1">$C$2*8/D6</f>
        <v>26367.252538740246</v>
      </c>
      <c r="F6" s="6">
        <f t="shared" ref="F6:F26" si="2">E6/$C$4</f>
        <v>0.68664720152969394</v>
      </c>
      <c r="G6" s="7">
        <f>AVERAGE(F6:F8)</f>
        <v>0.68666816094692706</v>
      </c>
    </row>
    <row r="7" spans="2:7" x14ac:dyDescent="0.25">
      <c r="B7" s="7"/>
      <c r="C7" s="5">
        <v>3327.6517210000002</v>
      </c>
      <c r="D7" s="6">
        <f t="shared" si="0"/>
        <v>3.3276517210000001</v>
      </c>
      <c r="E7" s="6">
        <f t="shared" si="1"/>
        <v>26368.144071769584</v>
      </c>
      <c r="F7" s="6">
        <f t="shared" si="2"/>
        <v>0.68667041853566624</v>
      </c>
      <c r="G7" s="7"/>
    </row>
    <row r="8" spans="2:7" x14ac:dyDescent="0.25">
      <c r="B8" s="7"/>
      <c r="C8" s="5">
        <v>3327.5720329999999</v>
      </c>
      <c r="D8" s="6">
        <f t="shared" si="0"/>
        <v>3.327572033</v>
      </c>
      <c r="E8" s="6">
        <f t="shared" si="1"/>
        <v>26368.775530576171</v>
      </c>
      <c r="F8" s="6">
        <f t="shared" si="2"/>
        <v>0.68668686277542113</v>
      </c>
      <c r="G8" s="7"/>
    </row>
    <row r="9" spans="2:7" x14ac:dyDescent="0.25">
      <c r="B9" s="7">
        <v>2</v>
      </c>
      <c r="C9" s="5">
        <v>3443.7860430000001</v>
      </c>
      <c r="D9" s="6">
        <f t="shared" si="0"/>
        <v>3.4437860430000002</v>
      </c>
      <c r="E9" s="6">
        <f t="shared" si="1"/>
        <v>25478.934784102672</v>
      </c>
      <c r="F9" s="6">
        <f t="shared" si="2"/>
        <v>0.66351392666934039</v>
      </c>
      <c r="G9" s="7">
        <f t="shared" ref="G9" si="3">AVERAGE(F9:F11)</f>
        <v>0.66353449343656978</v>
      </c>
    </row>
    <row r="10" spans="2:7" x14ac:dyDescent="0.25">
      <c r="B10" s="7"/>
      <c r="C10" s="5">
        <v>3443.5962840000002</v>
      </c>
      <c r="D10" s="6">
        <f t="shared" si="0"/>
        <v>3.4435962840000003</v>
      </c>
      <c r="E10" s="6">
        <f t="shared" si="1"/>
        <v>25480.338798042445</v>
      </c>
      <c r="F10" s="6">
        <f t="shared" si="2"/>
        <v>0.66355048953235529</v>
      </c>
      <c r="G10" s="7"/>
    </row>
    <row r="11" spans="2:7" x14ac:dyDescent="0.25">
      <c r="B11" s="7"/>
      <c r="C11" s="5">
        <v>3443.6555790000002</v>
      </c>
      <c r="D11" s="6">
        <f t="shared" si="0"/>
        <v>3.4436555790000001</v>
      </c>
      <c r="E11" s="6">
        <f t="shared" si="1"/>
        <v>25479.900061747725</v>
      </c>
      <c r="F11" s="6">
        <f t="shared" si="2"/>
        <v>0.66353906410801367</v>
      </c>
      <c r="G11" s="7"/>
    </row>
    <row r="12" spans="2:7" x14ac:dyDescent="0.25">
      <c r="B12" s="7">
        <v>4</v>
      </c>
      <c r="C12" s="5">
        <v>3559.3247580000002</v>
      </c>
      <c r="D12" s="6">
        <f t="shared" si="0"/>
        <v>3.5593247580000003</v>
      </c>
      <c r="E12" s="6">
        <f t="shared" si="1"/>
        <v>24651.866847155507</v>
      </c>
      <c r="F12" s="6">
        <f t="shared" si="2"/>
        <v>0.64197569914467467</v>
      </c>
      <c r="G12" s="7">
        <f t="shared" ref="G12" si="4">AVERAGE(F12:F14)</f>
        <v>0.64200788904310579</v>
      </c>
    </row>
    <row r="13" spans="2:7" x14ac:dyDescent="0.25">
      <c r="B13" s="7"/>
      <c r="C13" s="5">
        <v>3559.3269930000001</v>
      </c>
      <c r="D13" s="6">
        <f t="shared" si="0"/>
        <v>3.559326993</v>
      </c>
      <c r="E13" s="6">
        <f t="shared" si="1"/>
        <v>24651.851367565541</v>
      </c>
      <c r="F13" s="6">
        <f t="shared" si="2"/>
        <v>0.64197529603035264</v>
      </c>
      <c r="G13" s="7"/>
    </row>
    <row r="14" spans="2:7" x14ac:dyDescent="0.25">
      <c r="B14" s="7"/>
      <c r="C14" s="5">
        <v>3558.78719</v>
      </c>
      <c r="D14" s="6">
        <f t="shared" si="0"/>
        <v>3.5587871899999999</v>
      </c>
      <c r="E14" s="6">
        <f t="shared" si="1"/>
        <v>24655.59060304474</v>
      </c>
      <c r="F14" s="6">
        <f t="shared" si="2"/>
        <v>0.64207267195429008</v>
      </c>
      <c r="G14" s="7"/>
    </row>
    <row r="15" spans="2:7" x14ac:dyDescent="0.25">
      <c r="B15" s="7">
        <v>6</v>
      </c>
      <c r="C15" s="5">
        <v>3702.799986</v>
      </c>
      <c r="D15" s="6">
        <f t="shared" si="0"/>
        <v>3.702799986</v>
      </c>
      <c r="E15" s="6">
        <f t="shared" si="1"/>
        <v>23696.662075119712</v>
      </c>
      <c r="F15" s="6">
        <f t="shared" si="2"/>
        <v>0.61710057487290915</v>
      </c>
      <c r="G15" s="7">
        <f t="shared" ref="G15" si="5">AVERAGE(F15:F17)</f>
        <v>0.61713354479418714</v>
      </c>
    </row>
    <row r="16" spans="2:7" x14ac:dyDescent="0.25">
      <c r="B16" s="7"/>
      <c r="C16" s="5">
        <v>3702.5344490000002</v>
      </c>
      <c r="D16" s="6">
        <f t="shared" si="0"/>
        <v>3.7025344490000003</v>
      </c>
      <c r="E16" s="6">
        <f t="shared" si="1"/>
        <v>23698.361543590327</v>
      </c>
      <c r="F16" s="6">
        <f t="shared" si="2"/>
        <v>0.61714483186433144</v>
      </c>
      <c r="G16" s="7"/>
    </row>
    <row r="17" spans="2:7" x14ac:dyDescent="0.25">
      <c r="B17" s="7"/>
      <c r="C17" s="5">
        <v>3702.4720809999999</v>
      </c>
      <c r="D17" s="6">
        <f t="shared" si="0"/>
        <v>3.7024720809999998</v>
      </c>
      <c r="E17" s="6">
        <f t="shared" si="1"/>
        <v>23698.760741580325</v>
      </c>
      <c r="F17" s="6">
        <f t="shared" si="2"/>
        <v>0.61715522764532094</v>
      </c>
      <c r="G17" s="7"/>
    </row>
    <row r="18" spans="2:7" x14ac:dyDescent="0.25">
      <c r="B18" s="7">
        <v>8</v>
      </c>
      <c r="C18" s="5">
        <v>3790.1149999999998</v>
      </c>
      <c r="D18" s="6">
        <f t="shared" si="0"/>
        <v>3.7901149999999997</v>
      </c>
      <c r="E18" s="6">
        <f t="shared" si="1"/>
        <v>23150.74872398331</v>
      </c>
      <c r="F18" s="6">
        <f t="shared" si="2"/>
        <v>0.60288408135373206</v>
      </c>
      <c r="G18" s="7">
        <f t="shared" ref="G18" si="6">AVERAGE(F18:F20)</f>
        <v>0.60289609654241805</v>
      </c>
    </row>
    <row r="19" spans="2:7" x14ac:dyDescent="0.25">
      <c r="B19" s="7"/>
      <c r="C19" s="5">
        <v>3790.254473</v>
      </c>
      <c r="D19" s="6">
        <f t="shared" si="0"/>
        <v>3.7902544730000001</v>
      </c>
      <c r="E19" s="6">
        <f t="shared" si="1"/>
        <v>23149.896827521006</v>
      </c>
      <c r="F19" s="6">
        <f t="shared" si="2"/>
        <v>0.6028618965500262</v>
      </c>
      <c r="G19" s="7"/>
    </row>
    <row r="20" spans="2:7" x14ac:dyDescent="0.25">
      <c r="B20" s="7"/>
      <c r="C20" s="5">
        <v>3789.7489620000001</v>
      </c>
      <c r="D20" s="6">
        <f t="shared" si="0"/>
        <v>3.789748962</v>
      </c>
      <c r="E20" s="6">
        <f t="shared" si="1"/>
        <v>23152.984770182251</v>
      </c>
      <c r="F20" s="6">
        <f t="shared" si="2"/>
        <v>0.6029423117234961</v>
      </c>
      <c r="G20" s="7"/>
    </row>
    <row r="21" spans="2:7" x14ac:dyDescent="0.25">
      <c r="B21" s="7">
        <v>10</v>
      </c>
      <c r="C21" s="5">
        <v>3982.7072290000001</v>
      </c>
      <c r="D21" s="6">
        <f t="shared" si="0"/>
        <v>3.9827072290000003</v>
      </c>
      <c r="E21" s="6">
        <f t="shared" si="1"/>
        <v>22031.245320041071</v>
      </c>
      <c r="F21" s="6">
        <f t="shared" si="2"/>
        <v>0.57373034687606961</v>
      </c>
      <c r="G21" s="7">
        <f t="shared" ref="G21" si="7">AVERAGE(F21:F23)</f>
        <v>0.57374952086710274</v>
      </c>
    </row>
    <row r="22" spans="2:7" x14ac:dyDescent="0.25">
      <c r="B22" s="7"/>
      <c r="C22" s="5">
        <v>3982.5422629999998</v>
      </c>
      <c r="D22" s="6">
        <f t="shared" si="0"/>
        <v>3.982542263</v>
      </c>
      <c r="E22" s="6">
        <f t="shared" si="1"/>
        <v>22032.15790456007</v>
      </c>
      <c r="F22" s="6">
        <f t="shared" si="2"/>
        <v>0.57375411209791849</v>
      </c>
      <c r="G22" s="7"/>
    </row>
    <row r="23" spans="2:7" x14ac:dyDescent="0.25">
      <c r="B23" s="7"/>
      <c r="C23" s="5">
        <v>3982.4729109999998</v>
      </c>
      <c r="D23" s="6">
        <f>C23/1000</f>
        <v>3.9824729109999999</v>
      </c>
      <c r="E23" s="6">
        <f t="shared" si="1"/>
        <v>22032.5415792891</v>
      </c>
      <c r="F23" s="6">
        <f t="shared" si="2"/>
        <v>0.57376410362732033</v>
      </c>
      <c r="G23" s="7"/>
    </row>
    <row r="24" spans="2:7" x14ac:dyDescent="0.25">
      <c r="B24" s="7">
        <v>12</v>
      </c>
      <c r="C24" s="5">
        <v>4283.9615990000002</v>
      </c>
      <c r="D24" s="6">
        <f t="shared" ref="D24:D26" si="8">C24/1000</f>
        <v>4.2839615990000004</v>
      </c>
      <c r="E24" s="6">
        <f t="shared" si="1"/>
        <v>20481.976313812422</v>
      </c>
      <c r="F24" s="6">
        <f t="shared" si="2"/>
        <v>0.53338479983886511</v>
      </c>
      <c r="G24" s="7">
        <f t="shared" ref="G24" si="9">AVERAGE(F24:F26)</f>
        <v>0.53338126203985159</v>
      </c>
    </row>
    <row r="25" spans="2:7" x14ac:dyDescent="0.25">
      <c r="B25" s="7"/>
      <c r="C25" s="5">
        <v>4283.7382470000002</v>
      </c>
      <c r="D25" s="6">
        <f t="shared" si="8"/>
        <v>4.2837382470000005</v>
      </c>
      <c r="E25" s="6">
        <f t="shared" si="1"/>
        <v>20483.044233958302</v>
      </c>
      <c r="F25" s="6">
        <f t="shared" si="2"/>
        <v>0.53341261025933084</v>
      </c>
      <c r="G25" s="7"/>
    </row>
    <row r="26" spans="2:7" x14ac:dyDescent="0.25">
      <c r="B26" s="7"/>
      <c r="C26" s="5">
        <v>4284.2702280000003</v>
      </c>
      <c r="D26" s="6">
        <f t="shared" si="8"/>
        <v>4.2842702280000005</v>
      </c>
      <c r="E26" s="6">
        <f t="shared" si="1"/>
        <v>20480.500839220171</v>
      </c>
      <c r="F26" s="6">
        <f t="shared" si="2"/>
        <v>0.53334637602135859</v>
      </c>
      <c r="G26" s="7"/>
    </row>
  </sheetData>
  <mergeCells count="14">
    <mergeCell ref="B6:B8"/>
    <mergeCell ref="G6:G8"/>
    <mergeCell ref="B9:B11"/>
    <mergeCell ref="G9:G11"/>
    <mergeCell ref="B12:B14"/>
    <mergeCell ref="G12:G14"/>
    <mergeCell ref="B24:B26"/>
    <mergeCell ref="G24:G26"/>
    <mergeCell ref="B15:B17"/>
    <mergeCell ref="G15:G17"/>
    <mergeCell ref="B18:B20"/>
    <mergeCell ref="G18:G20"/>
    <mergeCell ref="B21:B23"/>
    <mergeCell ref="G21:G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469A-7951-4113-A174-7D155D0C8BE8}">
  <dimension ref="B2:G23"/>
  <sheetViews>
    <sheetView workbookViewId="0">
      <selection activeCell="D24" sqref="D24"/>
    </sheetView>
  </sheetViews>
  <sheetFormatPr defaultRowHeight="15" x14ac:dyDescent="0.25"/>
  <cols>
    <col min="2" max="2" width="16.7109375" customWidth="1"/>
    <col min="3" max="3" width="14.28515625" customWidth="1"/>
    <col min="4" max="4" width="13.7109375" customWidth="1"/>
    <col min="5" max="5" width="14.7109375" customWidth="1"/>
    <col min="6" max="6" width="14.5703125" customWidth="1"/>
    <col min="7" max="7" width="15.5703125" customWidth="1"/>
  </cols>
  <sheetData>
    <row r="2" spans="2:7" x14ac:dyDescent="0.25">
      <c r="B2" s="4" t="s">
        <v>0</v>
      </c>
      <c r="C2" s="4">
        <v>10968</v>
      </c>
      <c r="E2" s="1"/>
      <c r="F2" s="1"/>
      <c r="G2" s="1"/>
    </row>
    <row r="3" spans="2:7" ht="60" x14ac:dyDescent="0.25">
      <c r="B3" s="3" t="s">
        <v>8</v>
      </c>
      <c r="C3" s="4">
        <v>128</v>
      </c>
      <c r="E3" s="1"/>
      <c r="F3" s="1"/>
      <c r="G3" s="1"/>
    </row>
    <row r="4" spans="2:7" x14ac:dyDescent="0.25">
      <c r="B4" s="4" t="s">
        <v>1</v>
      </c>
      <c r="C4" s="4">
        <v>38400</v>
      </c>
      <c r="E4" s="1"/>
      <c r="F4" s="1"/>
      <c r="G4" s="1"/>
    </row>
    <row r="5" spans="2:7" ht="24.75" customHeight="1" x14ac:dyDescent="0.25">
      <c r="B5" s="3" t="s">
        <v>10</v>
      </c>
      <c r="C5" s="3" t="s">
        <v>7</v>
      </c>
      <c r="D5" s="3" t="s">
        <v>3</v>
      </c>
      <c r="E5" s="3" t="s">
        <v>4</v>
      </c>
      <c r="F5" s="3" t="s">
        <v>5</v>
      </c>
      <c r="G5" s="3" t="s">
        <v>6</v>
      </c>
    </row>
    <row r="6" spans="2:7" x14ac:dyDescent="0.25">
      <c r="B6" s="7">
        <v>1E-4</v>
      </c>
      <c r="C6" s="5">
        <v>3424.5590000000002</v>
      </c>
      <c r="D6" s="6">
        <f t="shared" ref="D6:D19" si="0">C6/1000</f>
        <v>3.4245590000000004</v>
      </c>
      <c r="E6" s="6">
        <f t="shared" ref="E6:E23" si="1">$C$2*8/D6</f>
        <v>25621.98519575805</v>
      </c>
      <c r="F6" s="6">
        <f t="shared" ref="F6:F23" si="2">E6/$C$4</f>
        <v>0.66723919780619922</v>
      </c>
      <c r="G6" s="7">
        <f t="shared" ref="G6" si="3">AVERAGE(F6:F8)</f>
        <v>0.66723945263971107</v>
      </c>
    </row>
    <row r="7" spans="2:7" x14ac:dyDescent="0.25">
      <c r="B7" s="7"/>
      <c r="C7" s="5">
        <v>3424.7159339999998</v>
      </c>
      <c r="D7" s="6">
        <f t="shared" si="0"/>
        <v>3.424715934</v>
      </c>
      <c r="E7" s="6">
        <f t="shared" si="1"/>
        <v>25620.811095277255</v>
      </c>
      <c r="F7" s="6">
        <f t="shared" si="2"/>
        <v>0.66720862227284516</v>
      </c>
      <c r="G7" s="7"/>
    </row>
    <row r="8" spans="2:7" x14ac:dyDescent="0.25">
      <c r="B8" s="7"/>
      <c r="C8" s="5">
        <v>3424.3981570000001</v>
      </c>
      <c r="D8" s="6">
        <f t="shared" si="0"/>
        <v>3.4243981570000002</v>
      </c>
      <c r="E8" s="6">
        <f t="shared" si="1"/>
        <v>25623.18865305942</v>
      </c>
      <c r="F8" s="6">
        <f t="shared" si="2"/>
        <v>0.66727053784008905</v>
      </c>
      <c r="G8" s="7"/>
    </row>
    <row r="9" spans="2:7" x14ac:dyDescent="0.25">
      <c r="B9" s="7">
        <v>1E-3</v>
      </c>
      <c r="C9" s="5">
        <v>3503.4078370000002</v>
      </c>
      <c r="D9" s="6">
        <f t="shared" si="0"/>
        <v>3.5034078370000001</v>
      </c>
      <c r="E9" s="6">
        <f t="shared" si="1"/>
        <v>25045.328458001048</v>
      </c>
      <c r="F9" s="6">
        <f t="shared" si="2"/>
        <v>0.65222209526044395</v>
      </c>
      <c r="G9" s="7">
        <f t="shared" ref="G9" si="4">AVERAGE(F9:F11)</f>
        <v>0.65220560539301198</v>
      </c>
    </row>
    <row r="10" spans="2:7" x14ac:dyDescent="0.25">
      <c r="B10" s="7"/>
      <c r="C10" s="5">
        <v>3503.3945669999998</v>
      </c>
      <c r="D10" s="6">
        <f t="shared" si="0"/>
        <v>3.503394567</v>
      </c>
      <c r="E10" s="6">
        <f t="shared" si="1"/>
        <v>25045.423323567084</v>
      </c>
      <c r="F10" s="6">
        <f t="shared" si="2"/>
        <v>0.65222456571789278</v>
      </c>
      <c r="G10" s="7"/>
    </row>
    <row r="11" spans="2:7" x14ac:dyDescent="0.25">
      <c r="B11" s="7"/>
      <c r="C11" s="5">
        <v>3503.6868549999999</v>
      </c>
      <c r="D11" s="6">
        <f t="shared" si="0"/>
        <v>3.5036868549999998</v>
      </c>
      <c r="E11" s="6">
        <f t="shared" si="1"/>
        <v>25043.333959706855</v>
      </c>
      <c r="F11" s="6">
        <f t="shared" si="2"/>
        <v>0.65217015520069932</v>
      </c>
      <c r="G11" s="7"/>
    </row>
    <row r="12" spans="2:7" x14ac:dyDescent="0.25">
      <c r="B12" s="7">
        <v>0.01</v>
      </c>
      <c r="C12" s="5">
        <v>4295.8495050000001</v>
      </c>
      <c r="D12" s="6">
        <f t="shared" si="0"/>
        <v>4.2958495050000005</v>
      </c>
      <c r="E12" s="6">
        <f t="shared" si="1"/>
        <v>20425.296532821623</v>
      </c>
      <c r="F12" s="6">
        <f t="shared" si="2"/>
        <v>0.53190876387556307</v>
      </c>
      <c r="G12" s="7">
        <f t="shared" ref="G12" si="5">AVERAGE(F12:F14)</f>
        <v>0.53193517887873598</v>
      </c>
    </row>
    <row r="13" spans="2:7" x14ac:dyDescent="0.25">
      <c r="B13" s="7">
        <v>1.1999999999999999E-3</v>
      </c>
      <c r="C13" s="5">
        <v>4295.535707</v>
      </c>
      <c r="D13" s="6">
        <f t="shared" si="0"/>
        <v>4.295535707</v>
      </c>
      <c r="E13" s="6">
        <f t="shared" si="1"/>
        <v>20426.788644082852</v>
      </c>
      <c r="F13" s="6">
        <f t="shared" si="2"/>
        <v>0.53194762093965764</v>
      </c>
      <c r="G13" s="7"/>
    </row>
    <row r="14" spans="2:7" x14ac:dyDescent="0.25">
      <c r="B14" s="7">
        <v>1.3666666666666701E-3</v>
      </c>
      <c r="C14" s="5">
        <v>4295.5233449999996</v>
      </c>
      <c r="D14" s="6">
        <f t="shared" si="0"/>
        <v>4.2955233449999994</v>
      </c>
      <c r="E14" s="6">
        <f t="shared" si="1"/>
        <v>20426.847429925914</v>
      </c>
      <c r="F14" s="6">
        <f t="shared" si="2"/>
        <v>0.53194915182098734</v>
      </c>
      <c r="G14" s="7"/>
    </row>
    <row r="15" spans="2:7" x14ac:dyDescent="0.25">
      <c r="B15" s="7">
        <v>0.1</v>
      </c>
      <c r="C15" s="5">
        <v>12216.206369</v>
      </c>
      <c r="D15" s="6">
        <f t="shared" si="0"/>
        <v>12.216206369</v>
      </c>
      <c r="E15" s="6">
        <f t="shared" si="1"/>
        <v>7182.5898605200618</v>
      </c>
      <c r="F15" s="6">
        <f t="shared" si="2"/>
        <v>0.18704661095104327</v>
      </c>
      <c r="G15" s="7">
        <f t="shared" ref="G15" si="6">AVERAGE(F15:F17)</f>
        <v>0.1870479833201549</v>
      </c>
    </row>
    <row r="16" spans="2:7" x14ac:dyDescent="0.25">
      <c r="B16" s="7">
        <v>1.6999999999999999E-3</v>
      </c>
      <c r="C16" s="5">
        <v>12216.013886999999</v>
      </c>
      <c r="D16" s="6">
        <f t="shared" si="0"/>
        <v>12.216013886999999</v>
      </c>
      <c r="E16" s="6">
        <f t="shared" si="1"/>
        <v>7182.7030332189743</v>
      </c>
      <c r="F16" s="6">
        <f t="shared" si="2"/>
        <v>0.18704955815674412</v>
      </c>
      <c r="G16" s="7"/>
    </row>
    <row r="17" spans="2:7" x14ac:dyDescent="0.25">
      <c r="B17" s="7">
        <v>1.8666666666666699E-3</v>
      </c>
      <c r="C17" s="5">
        <v>12216.129962000001</v>
      </c>
      <c r="D17" s="6">
        <f t="shared" si="0"/>
        <v>12.216129962</v>
      </c>
      <c r="E17" s="6">
        <f t="shared" si="1"/>
        <v>7182.6347847428051</v>
      </c>
      <c r="F17" s="6">
        <f t="shared" si="2"/>
        <v>0.1870477808526772</v>
      </c>
      <c r="G17" s="7"/>
    </row>
    <row r="18" spans="2:7" x14ac:dyDescent="0.25">
      <c r="B18" s="7">
        <v>1</v>
      </c>
      <c r="C18" s="5">
        <v>91414.701881999994</v>
      </c>
      <c r="D18" s="6">
        <f t="shared" si="0"/>
        <v>91.414701881999989</v>
      </c>
      <c r="E18" s="6">
        <f t="shared" si="1"/>
        <v>959.84560681783762</v>
      </c>
      <c r="F18" s="6">
        <f t="shared" si="2"/>
        <v>2.4995979344214523E-2</v>
      </c>
      <c r="G18" s="7">
        <f t="shared" ref="G18" si="7">AVERAGE(F18:F20)</f>
        <v>2.4996027761491305E-2</v>
      </c>
    </row>
    <row r="19" spans="2:7" x14ac:dyDescent="0.25">
      <c r="B19" s="7"/>
      <c r="C19" s="5">
        <v>91414.433902000004</v>
      </c>
      <c r="D19" s="6">
        <f t="shared" si="0"/>
        <v>91.414433901999999</v>
      </c>
      <c r="E19" s="6">
        <f t="shared" si="1"/>
        <v>959.84842059039761</v>
      </c>
      <c r="F19" s="6">
        <f t="shared" si="2"/>
        <v>2.4996052619541603E-2</v>
      </c>
      <c r="G19" s="7"/>
    </row>
    <row r="20" spans="2:7" x14ac:dyDescent="0.25">
      <c r="B20" s="7"/>
      <c r="C20" s="5">
        <v>91414.438651999997</v>
      </c>
      <c r="D20" s="6">
        <f>C20/1000</f>
        <v>91.414438652000001</v>
      </c>
      <c r="E20" s="6">
        <f t="shared" si="1"/>
        <v>959.84837071556308</v>
      </c>
      <c r="F20" s="6">
        <f t="shared" si="2"/>
        <v>2.4996051320717787E-2</v>
      </c>
      <c r="G20" s="7"/>
    </row>
    <row r="21" spans="2:7" x14ac:dyDescent="0.25">
      <c r="B21" s="7">
        <v>4</v>
      </c>
      <c r="C21" s="5">
        <v>352037.50629799999</v>
      </c>
      <c r="D21" s="6">
        <f t="shared" ref="D21:D23" si="8">C21/1000</f>
        <v>352.03750629799998</v>
      </c>
      <c r="E21" s="6">
        <f t="shared" si="1"/>
        <v>249.24616959911268</v>
      </c>
      <c r="F21" s="6">
        <f t="shared" si="2"/>
        <v>6.4907856666435596E-3</v>
      </c>
      <c r="G21" s="7">
        <f t="shared" ref="G21" si="9">AVERAGE(F21:F23)</f>
        <v>6.4907859980272804E-3</v>
      </c>
    </row>
    <row r="22" spans="2:7" x14ac:dyDescent="0.25">
      <c r="B22" s="7">
        <v>2.3666666666666701E-3</v>
      </c>
      <c r="C22" s="5">
        <v>352037.00525599997</v>
      </c>
      <c r="D22" s="6">
        <f t="shared" si="8"/>
        <v>352.03700525599999</v>
      </c>
      <c r="E22" s="6">
        <f t="shared" si="1"/>
        <v>249.24652434249887</v>
      </c>
      <c r="F22" s="6">
        <f t="shared" si="2"/>
        <v>6.4907949047525752E-3</v>
      </c>
      <c r="G22" s="7"/>
    </row>
    <row r="23" spans="2:7" x14ac:dyDescent="0.25">
      <c r="B23" s="7">
        <v>2.5333333333333401E-3</v>
      </c>
      <c r="C23" s="5">
        <v>352037.95342199999</v>
      </c>
      <c r="D23" s="6">
        <f t="shared" si="8"/>
        <v>352.03795342199999</v>
      </c>
      <c r="E23" s="6">
        <f t="shared" si="1"/>
        <v>249.24585303113113</v>
      </c>
      <c r="F23" s="6">
        <f t="shared" si="2"/>
        <v>6.4907774226857064E-3</v>
      </c>
      <c r="G23" s="7"/>
    </row>
  </sheetData>
  <mergeCells count="12">
    <mergeCell ref="B6:B8"/>
    <mergeCell ref="G6:G8"/>
    <mergeCell ref="B9:B11"/>
    <mergeCell ref="G9:G11"/>
    <mergeCell ref="B21:B23"/>
    <mergeCell ref="G21:G23"/>
    <mergeCell ref="B12:B14"/>
    <mergeCell ref="G12:G14"/>
    <mergeCell ref="B15:B17"/>
    <mergeCell ref="G15:G17"/>
    <mergeCell ref="B18:B20"/>
    <mergeCell ref="G18:G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var packet size</vt:lpstr>
      <vt:lpstr>var baudrate</vt:lpstr>
      <vt:lpstr>var erro</vt:lpstr>
      <vt:lpstr>var 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Teixeira</dc:creator>
  <cp:lastModifiedBy>Gonçalo Teixeira</cp:lastModifiedBy>
  <dcterms:created xsi:type="dcterms:W3CDTF">2020-11-08T18:31:30Z</dcterms:created>
  <dcterms:modified xsi:type="dcterms:W3CDTF">2020-11-09T16:30:50Z</dcterms:modified>
</cp:coreProperties>
</file>